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5" activeTab="0"/>
  </bookViews>
  <sheets>
    <sheet name="Zestawienie ogólne" sheetId="1" r:id="rId1"/>
    <sheet name="+Gmina Mrozy" sheetId="2" r:id="rId2"/>
    <sheet name="+Miasto Mińsk Mazowiecki" sheetId="3" r:id="rId3"/>
    <sheet name="+Gmina Mińsk Mazowiecki" sheetId="4" r:id="rId4"/>
    <sheet name="+Gmina Halinów" sheetId="5" r:id="rId5"/>
    <sheet name="+Gmina Dębe Wielkie " sheetId="6" r:id="rId6"/>
    <sheet name="+Gmina Siennica" sheetId="7" r:id="rId7"/>
    <sheet name="+Gmina Latowicz" sheetId="8" r:id="rId8"/>
    <sheet name="+Gmina Cegłów" sheetId="9" r:id="rId9"/>
    <sheet name="+Miasto Sulejówek" sheetId="10" r:id="rId10"/>
    <sheet name="+Gmina Dobre" sheetId="11" r:id="rId11"/>
    <sheet name="+Gmina Jakubów" sheetId="12" r:id="rId12"/>
    <sheet name="+Gmina Kałuszyn" sheetId="13" r:id="rId13"/>
    <sheet name="+Gmina Stanisławów" sheetId="14" r:id="rId14"/>
    <sheet name="+Gmina Kotuń" sheetId="15" r:id="rId15"/>
  </sheets>
  <definedNames/>
  <calcPr fullCalcOnLoad="1"/>
</workbook>
</file>

<file path=xl/sharedStrings.xml><?xml version="1.0" encoding="utf-8"?>
<sst xmlns="http://schemas.openxmlformats.org/spreadsheetml/2006/main" count="9495" uniqueCount="2102">
  <si>
    <t>Zmiana sprzedawcy</t>
  </si>
  <si>
    <t>Nazwa obiektu</t>
  </si>
  <si>
    <t>Miejscowość</t>
  </si>
  <si>
    <t>Ulica</t>
  </si>
  <si>
    <t>Nr posesji</t>
  </si>
  <si>
    <t>Kod pocztowy</t>
  </si>
  <si>
    <t>Poczta</t>
  </si>
  <si>
    <t>Kod PPE</t>
  </si>
  <si>
    <t>Numer ewidencyjny</t>
  </si>
  <si>
    <t>Moc umowna   [kW]</t>
  </si>
  <si>
    <t>Zużycie łączne</t>
  </si>
  <si>
    <t>K</t>
  </si>
  <si>
    <t>Oświetlenie uliczne</t>
  </si>
  <si>
    <t>05-317</t>
  </si>
  <si>
    <t>Jeruzal</t>
  </si>
  <si>
    <t>PL_ZEWD_1412000347_09</t>
  </si>
  <si>
    <t>C12a</t>
  </si>
  <si>
    <t>PL_ZEWD_1412000348_01</t>
  </si>
  <si>
    <t>Kuflew</t>
  </si>
  <si>
    <t>05-320</t>
  </si>
  <si>
    <t>Mrozy</t>
  </si>
  <si>
    <t>PL_ZEWD_1412000349_03</t>
  </si>
  <si>
    <t>PL_ZEWD_1412000350_04</t>
  </si>
  <si>
    <t>Kołacz</t>
  </si>
  <si>
    <t>PL_ZEWD_1412000351_06</t>
  </si>
  <si>
    <t>PL_ZEWD_1412000352_08</t>
  </si>
  <si>
    <t>PL_ZEWD_1412000354_02</t>
  </si>
  <si>
    <t xml:space="preserve">Łukówiec </t>
  </si>
  <si>
    <t>PL_ZEWD_1412000355_04</t>
  </si>
  <si>
    <t>Mała Wieś</t>
  </si>
  <si>
    <t>PL_ZEWD_1412000356_06</t>
  </si>
  <si>
    <t>PL_ZEWD_1412000357_08</t>
  </si>
  <si>
    <t>PL_ZEWD_1412000358_00</t>
  </si>
  <si>
    <t>Płomieniec</t>
  </si>
  <si>
    <t>PL_ZEWD_1412000359_02</t>
  </si>
  <si>
    <t>Lipiny</t>
  </si>
  <si>
    <t>PL_ZEWD_1412000360_03</t>
  </si>
  <si>
    <t>PL_ZEWD_1412000362_07</t>
  </si>
  <si>
    <t>PL_ZEWD_1412000364_01</t>
  </si>
  <si>
    <t>Dębowce</t>
  </si>
  <si>
    <t>PL_ZEWD_1412000365_03</t>
  </si>
  <si>
    <t>PL_ZEWD_1412000366_05</t>
  </si>
  <si>
    <t>PL_ZEWD_1412000367_07</t>
  </si>
  <si>
    <t>Nadrzeczna</t>
  </si>
  <si>
    <t>PL_ZEWD_1412000410_06</t>
  </si>
  <si>
    <t>Zwycięstwa</t>
  </si>
  <si>
    <t>PL_ZEWD_1412000411_08</t>
  </si>
  <si>
    <t>3-go Maja</t>
  </si>
  <si>
    <t>PL_ZEWD_1412000412_00</t>
  </si>
  <si>
    <t>PL_ZEWD_1412000413_02</t>
  </si>
  <si>
    <t>Mickiewicza</t>
  </si>
  <si>
    <t>PL_ZEWD_1412000414_04</t>
  </si>
  <si>
    <t>Kruki</t>
  </si>
  <si>
    <t>16A</t>
  </si>
  <si>
    <t>PL_ZEWD_1412000368_09</t>
  </si>
  <si>
    <t>PL_ZEWD_1412000415_06</t>
  </si>
  <si>
    <t>Letnia</t>
  </si>
  <si>
    <t>PL_ZEWD_1412000416_08</t>
  </si>
  <si>
    <t>Wspólna</t>
  </si>
  <si>
    <t>PL_ZEWD_1412000370_02</t>
  </si>
  <si>
    <t>PL_ZEWD_1412000417_00</t>
  </si>
  <si>
    <t>Słoneczna</t>
  </si>
  <si>
    <t>PL_ZEWD_1412000419_04</t>
  </si>
  <si>
    <t>Pokoju</t>
  </si>
  <si>
    <t>PL_ZEWD_1412000420_05</t>
  </si>
  <si>
    <t>Sienkiewicza</t>
  </si>
  <si>
    <t>PL_ZEWD_1412000421_07</t>
  </si>
  <si>
    <t>Semanowicza</t>
  </si>
  <si>
    <t>PL_ZEWD_1412000422_09</t>
  </si>
  <si>
    <t xml:space="preserve">Pokoju </t>
  </si>
  <si>
    <t>PL_ZEWD_1412000423_01</t>
  </si>
  <si>
    <t>PL_ZEWD_1412000424_03</t>
  </si>
  <si>
    <t>Wola Paprotnia</t>
  </si>
  <si>
    <t>PL_ZEWD_1412000372_06</t>
  </si>
  <si>
    <t>PL_ZEWD_1412000373_08</t>
  </si>
  <si>
    <t>Kilińskiego</t>
  </si>
  <si>
    <t>PL_ZEWD_1412000425_05</t>
  </si>
  <si>
    <t>Wolności</t>
  </si>
  <si>
    <t>PL_ZEWD_1412000426_07</t>
  </si>
  <si>
    <t>Akacjowa</t>
  </si>
  <si>
    <t>PL_ZEWD_1412000427_09</t>
  </si>
  <si>
    <t>Długa</t>
  </si>
  <si>
    <t>PL_ZEWD_1412000428_01</t>
  </si>
  <si>
    <t>Okrężna</t>
  </si>
  <si>
    <t>PL_ZEWD_1412000429_03</t>
  </si>
  <si>
    <t>Zachodnia</t>
  </si>
  <si>
    <t>PL_ZEWD_1412000430_04</t>
  </si>
  <si>
    <t>Graniczna</t>
  </si>
  <si>
    <t>PL_ZEWD_1412000431_06</t>
  </si>
  <si>
    <t>Spółdzielcza</t>
  </si>
  <si>
    <t>PL_ZEWD_1412000432_08</t>
  </si>
  <si>
    <t>Licealna</t>
  </si>
  <si>
    <t>PL_ZEWD_1412000433_00</t>
  </si>
  <si>
    <t>PL_ZEWD_1412000434_02</t>
  </si>
  <si>
    <t>Szkolna</t>
  </si>
  <si>
    <t>PL_ZEWD_1412000435_04</t>
  </si>
  <si>
    <t>PL_ZEWD_1412000436_06</t>
  </si>
  <si>
    <t>PL_ZEWD_1412000376_04</t>
  </si>
  <si>
    <t>Dąbrowa</t>
  </si>
  <si>
    <t>PL_ZEWD_1412000377_06</t>
  </si>
  <si>
    <t>Sokolnik</t>
  </si>
  <si>
    <t>PL_ZEWD_1412000378_08</t>
  </si>
  <si>
    <t>Lubomin</t>
  </si>
  <si>
    <t>PL_ZEWD_1412000379_00</t>
  </si>
  <si>
    <t>47A</t>
  </si>
  <si>
    <t>PL_ZEWD_1412000380_01</t>
  </si>
  <si>
    <t>Guzew</t>
  </si>
  <si>
    <t>PL_ZEWD_1412000381_03</t>
  </si>
  <si>
    <t>PL_ZEWD_1412000382_05</t>
  </si>
  <si>
    <t>PL_ZEWD_1412000383_07</t>
  </si>
  <si>
    <t>Gójszcz</t>
  </si>
  <si>
    <t>PL_ZEWD_1412000386_03</t>
  </si>
  <si>
    <t>PL_ZEWD_1412000387_05</t>
  </si>
  <si>
    <t>Grodzisk</t>
  </si>
  <si>
    <t>PL_ZEWD_1412000437_08</t>
  </si>
  <si>
    <t>PL_ZEWD_1412000438_00</t>
  </si>
  <si>
    <t>PL_ZEWD_1412000439_02</t>
  </si>
  <si>
    <t>Mazowiecka</t>
  </si>
  <si>
    <t>PL_ZEWD_1412000440_03</t>
  </si>
  <si>
    <t>PL_ZEWD_1412000441_05</t>
  </si>
  <si>
    <t>Choszcze</t>
  </si>
  <si>
    <t>PL_ZEWD_1412000388_07</t>
  </si>
  <si>
    <t>Porzewnica</t>
  </si>
  <si>
    <t>PL_ZEWD_1412000389_09</t>
  </si>
  <si>
    <t>Rudka</t>
  </si>
  <si>
    <t>PL_ZEWD_1412000390_00</t>
  </si>
  <si>
    <t>PL_ZEWD_1412000391_02</t>
  </si>
  <si>
    <t>PL_ZEWD_1412000443_09</t>
  </si>
  <si>
    <t>Skruda</t>
  </si>
  <si>
    <t>PL_ZEWD_1412000392_04</t>
  </si>
  <si>
    <t>PL_ZEWD_1412000393_06</t>
  </si>
  <si>
    <t>PL_ZEWD_1412000394_08</t>
  </si>
  <si>
    <t>PL_ZEWD_1412000396_02</t>
  </si>
  <si>
    <t>Trojanów</t>
  </si>
  <si>
    <t>PL_ZEWD_1412000397_04</t>
  </si>
  <si>
    <t>PL_ZEWD_1412000398_06</t>
  </si>
  <si>
    <t>PL_ZEWD_1412000399_08</t>
  </si>
  <si>
    <t>Dębowa</t>
  </si>
  <si>
    <t>PL_ZEWD_1412000401_09</t>
  </si>
  <si>
    <t>Lipowa</t>
  </si>
  <si>
    <t>PL_ZEWD_1412000402_01</t>
  </si>
  <si>
    <t>PL_ZEWD_1412000403_03</t>
  </si>
  <si>
    <t>Topór</t>
  </si>
  <si>
    <t>PL_ZEWD_1412000405_07</t>
  </si>
  <si>
    <t>PL_ZEWD_1412000406_09</t>
  </si>
  <si>
    <t>PL_ZEWD_1412000407_01</t>
  </si>
  <si>
    <t>I</t>
  </si>
  <si>
    <t>PL_ZEWD_1412000384_09</t>
  </si>
  <si>
    <t>PL_ZEWD_1412000408_03</t>
  </si>
  <si>
    <t>Browarna</t>
  </si>
  <si>
    <t>PL_ZEWD_1412000409_05</t>
  </si>
  <si>
    <t>PL_ZEWD_1412000966_03</t>
  </si>
  <si>
    <t>C11</t>
  </si>
  <si>
    <t>PL_ZEWD_1412000951_04</t>
  </si>
  <si>
    <t>C11o</t>
  </si>
  <si>
    <t>Nabywca:</t>
  </si>
  <si>
    <t>Suma</t>
  </si>
  <si>
    <t>Grupa taryfowa</t>
  </si>
  <si>
    <t>Liczba PPE</t>
  </si>
  <si>
    <t>całodobowe</t>
  </si>
  <si>
    <t>Suma:</t>
  </si>
  <si>
    <t>Suma zużycia:</t>
  </si>
  <si>
    <t>oświetlenie uliczne</t>
  </si>
  <si>
    <t>Mińsk Mazowiecki</t>
  </si>
  <si>
    <t>05-300</t>
  </si>
  <si>
    <t>PL_ZEWD_1412000878_08</t>
  </si>
  <si>
    <t>32/40</t>
  </si>
  <si>
    <t>PL_ZEWD_1412000873_08</t>
  </si>
  <si>
    <t>PL_ZEWD_1412000893_06</t>
  </si>
  <si>
    <t>Kolejowa</t>
  </si>
  <si>
    <t>PL_ZEWD_1412000870_02</t>
  </si>
  <si>
    <t>Polowa</t>
  </si>
  <si>
    <t>PL_ZEWD_1412000880_01</t>
  </si>
  <si>
    <t xml:space="preserve">Zachodnia </t>
  </si>
  <si>
    <t>PL_ZEWD_1412000860_03</t>
  </si>
  <si>
    <t>PL_ZEWD_1412000894_08</t>
  </si>
  <si>
    <t>PL_ZEWD_1412000901_09</t>
  </si>
  <si>
    <t>PL_ZEWD_1412000889_09</t>
  </si>
  <si>
    <t>Świętokrzyska</t>
  </si>
  <si>
    <t>PL_ZEWD_1412000899_08</t>
  </si>
  <si>
    <t>PL_ZEWD_1412000881_03</t>
  </si>
  <si>
    <t xml:space="preserve">Nowy Świat </t>
  </si>
  <si>
    <t>PL_ZEWD_1412000918_02</t>
  </si>
  <si>
    <t>PL_ZEWD_1412000911_08</t>
  </si>
  <si>
    <t>Jagiellońska</t>
  </si>
  <si>
    <t>PL_ZEWD_1412000835_06</t>
  </si>
  <si>
    <t>Królewiecka betoniarnia</t>
  </si>
  <si>
    <t>PL_ZEWD_1412000928_01</t>
  </si>
  <si>
    <t>PL_ZEWD_1412000857_08</t>
  </si>
  <si>
    <t>Bagnista</t>
  </si>
  <si>
    <t>PL_ZEWD_1412000924_03</t>
  </si>
  <si>
    <t>Boczna</t>
  </si>
  <si>
    <t>PL_ZEWD_1412000874_00</t>
  </si>
  <si>
    <t xml:space="preserve">Boczna </t>
  </si>
  <si>
    <t>PL_ZEWD_1412000892_04</t>
  </si>
  <si>
    <t>Kołowa</t>
  </si>
  <si>
    <t>PL_ZEWD_1412000858_00</t>
  </si>
  <si>
    <t>Warszt. Tech. Budowl.</t>
  </si>
  <si>
    <t>PL_ZEWD_1412000908_03</t>
  </si>
  <si>
    <t>Kościelna</t>
  </si>
  <si>
    <t>PL_ZEWD_1412000898_06</t>
  </si>
  <si>
    <t>Czarnieckiego</t>
  </si>
  <si>
    <t>PL_ZEWD_1412000890_00</t>
  </si>
  <si>
    <t xml:space="preserve">Żwirowa </t>
  </si>
  <si>
    <t>PL_ZEWD_1412000914_04</t>
  </si>
  <si>
    <t>Przemysłowa</t>
  </si>
  <si>
    <t>PL_ZEWD_1412000855_04</t>
  </si>
  <si>
    <t>PL_ZEWD_1412000887_05</t>
  </si>
  <si>
    <t>PL_ZEWD_1412000886_03</t>
  </si>
  <si>
    <t>Warszawska</t>
  </si>
  <si>
    <t>PL_ZEWD_1412000872_06</t>
  </si>
  <si>
    <t>Warszawska /GKO</t>
  </si>
  <si>
    <t>PL_ZEWD_1412000896_02</t>
  </si>
  <si>
    <t>Warszawska / osiedle woj..</t>
  </si>
  <si>
    <t>PL_ZEWD_1412000865_03</t>
  </si>
  <si>
    <t>PL_ZEWD_1412000907_01</t>
  </si>
  <si>
    <t>PL_ZEWD_1412000883_07</t>
  </si>
  <si>
    <t>Armii Krajowej</t>
  </si>
  <si>
    <t>PL_ZEWD_1412000900_07</t>
  </si>
  <si>
    <t xml:space="preserve">Szpitalna </t>
  </si>
  <si>
    <t>PL_ZEWD_1412000921_07</t>
  </si>
  <si>
    <t>1-GO P.L.M "Warszawa"</t>
  </si>
  <si>
    <t>PL_ZEWD_1412000923_01</t>
  </si>
  <si>
    <t>Błonie</t>
  </si>
  <si>
    <t>PL_ZEWD_1412000849_03</t>
  </si>
  <si>
    <t>PL_ZEWD_1412000848_01</t>
  </si>
  <si>
    <t>PL_ZEWD_1412000888_07</t>
  </si>
  <si>
    <t>Rodziny Sażyńskich</t>
  </si>
  <si>
    <t>PL_ZEWD_1412000877_06</t>
  </si>
  <si>
    <t>Obok kościoła Mariawickiego</t>
  </si>
  <si>
    <t>PL_ZEWD_1412000834_04</t>
  </si>
  <si>
    <t>PL_ZEWD_1412000829_05</t>
  </si>
  <si>
    <t>Kościuszki</t>
  </si>
  <si>
    <t>PL_ZEWD_1412000852_08</t>
  </si>
  <si>
    <t>Konstytucji 3-Go Maja - Przedszk.</t>
  </si>
  <si>
    <t>PL_ZEWD_1412001095_03</t>
  </si>
  <si>
    <t>Sosnkowskiego</t>
  </si>
  <si>
    <t>PL_ZEWD_1412000915_06</t>
  </si>
  <si>
    <t>Wiejska</t>
  </si>
  <si>
    <t>PL_ZEWD_1412000846_07</t>
  </si>
  <si>
    <t>PL_ZEWD_1412000904_05</t>
  </si>
  <si>
    <t>Piłsudkiego</t>
  </si>
  <si>
    <t>PL_ZEWD_1412000851_06</t>
  </si>
  <si>
    <t>05-307</t>
  </si>
  <si>
    <t>PL_ZEWD_1412000919_04</t>
  </si>
  <si>
    <t>Warszawska obok NBP</t>
  </si>
  <si>
    <t>PL_ZEWD_1412000897_04</t>
  </si>
  <si>
    <t>113A</t>
  </si>
  <si>
    <t>PL_ZEWD_1412000917_00</t>
  </si>
  <si>
    <t>PL_ZEWD_1412000864_01</t>
  </si>
  <si>
    <t>Chrościelewskiego</t>
  </si>
  <si>
    <t>PL_ZEWD_1412000838_02</t>
  </si>
  <si>
    <t>PL_ZEWD_1412000927_09</t>
  </si>
  <si>
    <t>Jaśminowa</t>
  </si>
  <si>
    <t>PL_ZEWD_1412000905_07</t>
  </si>
  <si>
    <t>PL_ZEWD_1412000906_09</t>
  </si>
  <si>
    <t>PL_ZEWD_1412000909_05</t>
  </si>
  <si>
    <t>PL_ZEWD_1412000841_07</t>
  </si>
  <si>
    <t>PL_ZEWD_1412000850_04</t>
  </si>
  <si>
    <t>Kresowa</t>
  </si>
  <si>
    <t>PL_ZEWD_1412000842_09</t>
  </si>
  <si>
    <t xml:space="preserve">Kołowa </t>
  </si>
  <si>
    <t>PL_ZEWD_1412000925_05</t>
  </si>
  <si>
    <t>Warszawskie Przedmieście</t>
  </si>
  <si>
    <t>PL_ZEWD_1412000913_02</t>
  </si>
  <si>
    <t>PL_ZEWD_1412000843_01</t>
  </si>
  <si>
    <t>PL_ZEWD_1412000930_04</t>
  </si>
  <si>
    <t>PL_ZEWD_1412000868_09</t>
  </si>
  <si>
    <t>Klonowa</t>
  </si>
  <si>
    <t>PL_ZEWD_1412000929_03</t>
  </si>
  <si>
    <t>Kościuszki obok lotto</t>
  </si>
  <si>
    <t>PL_ZEWD_1412000903_03</t>
  </si>
  <si>
    <t>Dąbrówki</t>
  </si>
  <si>
    <t>PL_ZEWD_1412000827_01</t>
  </si>
  <si>
    <t>Spacerowa</t>
  </si>
  <si>
    <t>PL_ZEWD_1412000876_04</t>
  </si>
  <si>
    <t>PL_ZEWD_1412000832_00</t>
  </si>
  <si>
    <t>wokół dworca pks</t>
  </si>
  <si>
    <t>PL_ZEWD_1412000831_08</t>
  </si>
  <si>
    <t>PL_ZEWD_1412000845_05</t>
  </si>
  <si>
    <t>Monte Cassino</t>
  </si>
  <si>
    <t>PL_ZEWD_1412000863_09</t>
  </si>
  <si>
    <t>Kazikowskiego ośw. Fontanny</t>
  </si>
  <si>
    <t>PL_ZEWD-1412000828_03</t>
  </si>
  <si>
    <t>Miasto Mińsk Mazowiecki</t>
  </si>
  <si>
    <t>ul. Konstytucji 3-go Maja 1</t>
  </si>
  <si>
    <t>05-300 Mińsk Mazowiecki</t>
  </si>
  <si>
    <t>PL_ZEWD_1412000837_00</t>
  </si>
  <si>
    <t>PL_ZEWD_1412000910_06</t>
  </si>
  <si>
    <t>PL_ZEWD_1412000830_06</t>
  </si>
  <si>
    <t>PL_ZEWD_1412000926_07</t>
  </si>
  <si>
    <t>Chabrowa</t>
  </si>
  <si>
    <t>PL_ZEWD_1412000847_09</t>
  </si>
  <si>
    <t>PL_ZEWD_1412000912_00</t>
  </si>
  <si>
    <t>Zgoda</t>
  </si>
  <si>
    <t>PL_Z\EWD_1412000833_02</t>
  </si>
  <si>
    <t>Szczecińska</t>
  </si>
  <si>
    <t>PL_ZEWD_1412000895_00</t>
  </si>
  <si>
    <t>PL_ZEWD_1412000920_05</t>
  </si>
  <si>
    <t>Cicha</t>
  </si>
  <si>
    <t>PL_ZEWD_1412000839_04</t>
  </si>
  <si>
    <t>Żwirowa</t>
  </si>
  <si>
    <t>PL_ZEWD_1412000840_05</t>
  </si>
  <si>
    <t>Stary Rynek</t>
  </si>
  <si>
    <t>PL_ZEWD_1412000836_08</t>
  </si>
  <si>
    <t>Królewiec</t>
  </si>
  <si>
    <t>Chmielew</t>
  </si>
  <si>
    <t>Gliniak</t>
  </si>
  <si>
    <t>Cielechowizna</t>
  </si>
  <si>
    <t>Huta Mińska</t>
  </si>
  <si>
    <t>Marianka</t>
  </si>
  <si>
    <t>Grabina</t>
  </si>
  <si>
    <t>Stare Zakole</t>
  </si>
  <si>
    <t>Podrudzie</t>
  </si>
  <si>
    <t>8A</t>
  </si>
  <si>
    <t>Józefów</t>
  </si>
  <si>
    <t>Stojadła</t>
  </si>
  <si>
    <t>Książęca</t>
  </si>
  <si>
    <t>Krótka</t>
  </si>
  <si>
    <t>IV</t>
  </si>
  <si>
    <t>Wiśniowa</t>
  </si>
  <si>
    <t>Zamienie</t>
  </si>
  <si>
    <t>Topolowa</t>
  </si>
  <si>
    <t>Kluki</t>
  </si>
  <si>
    <t>Maliszew</t>
  </si>
  <si>
    <t>Grębiszew</t>
  </si>
  <si>
    <t>Chochół</t>
  </si>
  <si>
    <t>Tartak</t>
  </si>
  <si>
    <t>Iłówiec</t>
  </si>
  <si>
    <t>Wólka Iłowiecka</t>
  </si>
  <si>
    <t>Barcząca</t>
  </si>
  <si>
    <t>Budy Barcząckie</t>
  </si>
  <si>
    <t>Anielew</t>
  </si>
  <si>
    <t>Targówka</t>
  </si>
  <si>
    <t>Zakole Wiktorowo</t>
  </si>
  <si>
    <t>Janów</t>
  </si>
  <si>
    <t>Budy Janowskie</t>
  </si>
  <si>
    <t>Dziękowizna</t>
  </si>
  <si>
    <t>Kolonia Janów</t>
  </si>
  <si>
    <t>Leśna</t>
  </si>
  <si>
    <t>Ignaców</t>
  </si>
  <si>
    <t>Osiny</t>
  </si>
  <si>
    <t>Nowe Osiny</t>
  </si>
  <si>
    <t>Piękna</t>
  </si>
  <si>
    <t>Św. Józefa</t>
  </si>
  <si>
    <t>56A</t>
  </si>
  <si>
    <t>Słoneczka</t>
  </si>
  <si>
    <t>26A</t>
  </si>
  <si>
    <t>Stara Niedziałka</t>
  </si>
  <si>
    <t>Radość</t>
  </si>
  <si>
    <t>Jesionowa</t>
  </si>
  <si>
    <t>Karolina</t>
  </si>
  <si>
    <t>Miłosza</t>
  </si>
  <si>
    <t>VIII</t>
  </si>
  <si>
    <t>VI</t>
  </si>
  <si>
    <t>Niedziałka Druga</t>
  </si>
  <si>
    <t>Olszowa</t>
  </si>
  <si>
    <t>Wólka Mińska</t>
  </si>
  <si>
    <t>Familijna</t>
  </si>
  <si>
    <t>Arynów</t>
  </si>
  <si>
    <t>Żuków</t>
  </si>
  <si>
    <t>Brzóze</t>
  </si>
  <si>
    <t>Strażacka</t>
  </si>
  <si>
    <t>Ogrodowa</t>
  </si>
  <si>
    <t>Miła</t>
  </si>
  <si>
    <t>Polna</t>
  </si>
  <si>
    <t>Dłużka</t>
  </si>
  <si>
    <t>Gamratka</t>
  </si>
  <si>
    <t>Mikanów</t>
  </si>
  <si>
    <t xml:space="preserve">Droga </t>
  </si>
  <si>
    <t>ul. Chełmońskiego 14</t>
  </si>
  <si>
    <t>114A</t>
  </si>
  <si>
    <t>Gmina Mińsk Mazowiecki</t>
  </si>
  <si>
    <t>Hipolitów</t>
  </si>
  <si>
    <t>Hipolitowska</t>
  </si>
  <si>
    <t>05-074</t>
  </si>
  <si>
    <t>Halinów</t>
  </si>
  <si>
    <t>C12b</t>
  </si>
  <si>
    <t>Michałów II</t>
  </si>
  <si>
    <t>Michałów I</t>
  </si>
  <si>
    <t>Okuniew/1-go Maja</t>
  </si>
  <si>
    <t>Stanisławowska</t>
  </si>
  <si>
    <t>Pułtuska</t>
  </si>
  <si>
    <t>Rynek</t>
  </si>
  <si>
    <t>Józefin</t>
  </si>
  <si>
    <t>Brzeziny Królewskie</t>
  </si>
  <si>
    <t>Długa Szlachecka</t>
  </si>
  <si>
    <t>Parkowa</t>
  </si>
  <si>
    <t>Północna</t>
  </si>
  <si>
    <t>Powstania Styczniowego (SKR)</t>
  </si>
  <si>
    <t>Bema</t>
  </si>
  <si>
    <t>Piłsudskiego</t>
  </si>
  <si>
    <t>Okuniewska/Mickiewicza</t>
  </si>
  <si>
    <t>Budziska</t>
  </si>
  <si>
    <t>Partyzancka</t>
  </si>
  <si>
    <t>Długa Kościelna</t>
  </si>
  <si>
    <t>Mrowiska</t>
  </si>
  <si>
    <t>Kazimierów</t>
  </si>
  <si>
    <t>Krzewina</t>
  </si>
  <si>
    <t>Desno</t>
  </si>
  <si>
    <t>Mrowiska Duże</t>
  </si>
  <si>
    <t>Chobot</t>
  </si>
  <si>
    <t>Wielgolas Brzeziński</t>
  </si>
  <si>
    <t>Chrobrego</t>
  </si>
  <si>
    <t>Cisie</t>
  </si>
  <si>
    <t>Cisie II</t>
  </si>
  <si>
    <t>Konik Nowy</t>
  </si>
  <si>
    <t>Czereśniowa</t>
  </si>
  <si>
    <t>Banachowska</t>
  </si>
  <si>
    <t>Południowa</t>
  </si>
  <si>
    <t>Wielgolas Duchnowski</t>
  </si>
  <si>
    <t>Zagórze</t>
  </si>
  <si>
    <t>Brzeziny</t>
  </si>
  <si>
    <t>Zacisze</t>
  </si>
  <si>
    <t>05-079</t>
  </si>
  <si>
    <t>Okuniew</t>
  </si>
  <si>
    <t>Żelazna</t>
  </si>
  <si>
    <t>Michałów</t>
  </si>
  <si>
    <t>dz.18</t>
  </si>
  <si>
    <t>Baśniowa</t>
  </si>
  <si>
    <t>Skrajna</t>
  </si>
  <si>
    <t>Zgody</t>
  </si>
  <si>
    <t>dz.52</t>
  </si>
  <si>
    <t>Modrzewiowa</t>
  </si>
  <si>
    <t>Wrzosowa</t>
  </si>
  <si>
    <t xml:space="preserve">Grabina </t>
  </si>
  <si>
    <t>Jagiełły</t>
  </si>
  <si>
    <t>Gmina Halinów</t>
  </si>
  <si>
    <t>05-074 Halinów</t>
  </si>
  <si>
    <t>Oświet. uliczne</t>
  </si>
  <si>
    <t>Dębe Wielkie</t>
  </si>
  <si>
    <t>Prądzyńskiego</t>
  </si>
  <si>
    <t>05-311</t>
  </si>
  <si>
    <t>PL_ZEWD_1412000594_04</t>
  </si>
  <si>
    <t>Kobierne</t>
  </si>
  <si>
    <t>PL_ZEWD_1412000593_02</t>
  </si>
  <si>
    <t>Alejowa</t>
  </si>
  <si>
    <t>PL_ZEWD_1412000591_08</t>
  </si>
  <si>
    <t>PL_ZEWD_1412000590_06</t>
  </si>
  <si>
    <t>PL_ZEWD_1412000587_01</t>
  </si>
  <si>
    <t>PL_ZEWD_1412000589_05</t>
  </si>
  <si>
    <t>PL_ZEWD_1412000586_09</t>
  </si>
  <si>
    <t>Pedagogów</t>
  </si>
  <si>
    <t>PL_ZEWD_1412000585_07</t>
  </si>
  <si>
    <t>Batalionu Parasol</t>
  </si>
  <si>
    <t>PL_ZEWD_1412000588_03</t>
  </si>
  <si>
    <t xml:space="preserve">Armii Krajowej </t>
  </si>
  <si>
    <t>PL_ZEWD_1412000627_05</t>
  </si>
  <si>
    <t>Aleksandrówka</t>
  </si>
  <si>
    <t>PL_ZEWD_1412000624_09</t>
  </si>
  <si>
    <t>Bykowizna</t>
  </si>
  <si>
    <t>PL_ZEWD_1412000625_01</t>
  </si>
  <si>
    <t>Ruda</t>
  </si>
  <si>
    <t>PL_ZEWD_1412000628_07</t>
  </si>
  <si>
    <t>Chrośla</t>
  </si>
  <si>
    <t>PL_ZEWD_1412000623_07</t>
  </si>
  <si>
    <t>PL_ZEWD_1412000622_05</t>
  </si>
  <si>
    <t>Kwiatowa</t>
  </si>
  <si>
    <t>PL_ZEWD_1412000631_02</t>
  </si>
  <si>
    <t>PL_ZEWD_1412000634_08</t>
  </si>
  <si>
    <t>PL_ZEWD_1412000621_03</t>
  </si>
  <si>
    <t>PL_ZEWD_1412000620_01</t>
  </si>
  <si>
    <t>PL_ZEWD_1412000617_06</t>
  </si>
  <si>
    <t>PL_ZEWD_1412000619_00</t>
  </si>
  <si>
    <t>PL_ZEWD_1412000618_08</t>
  </si>
  <si>
    <t>Górki</t>
  </si>
  <si>
    <t>PL_ZEWD_1412000616_04</t>
  </si>
  <si>
    <t>PL_ZEWD_1412000645_09</t>
  </si>
  <si>
    <t>PL_ZEWD_1412000652_02</t>
  </si>
  <si>
    <t>PL_ZEWD_1412000655_08</t>
  </si>
  <si>
    <t>Cięciwa</t>
  </si>
  <si>
    <t>PL_ZEWD_1412000640_09</t>
  </si>
  <si>
    <t>PL_ZEWD_1412000651_00</t>
  </si>
  <si>
    <t>Powstańców</t>
  </si>
  <si>
    <t>PL_ZEWD_1412000649_07</t>
  </si>
  <si>
    <t>PL_ZEWD_1412000646_01</t>
  </si>
  <si>
    <t>Olesin</t>
  </si>
  <si>
    <t>PL_ZEWD_1412000644_07</t>
  </si>
  <si>
    <t>PL_ZEWD_1412000641_01</t>
  </si>
  <si>
    <t>PL_ZEWD_1412000656_00</t>
  </si>
  <si>
    <t>PL_ZEWD_1412000647_03</t>
  </si>
  <si>
    <t>PL_ZEWD_1412000643_05</t>
  </si>
  <si>
    <t>PL_ZEWD_1412000636_02</t>
  </si>
  <si>
    <t>Rysie</t>
  </si>
  <si>
    <t>PL_ZEWD_1412000648_05</t>
  </si>
  <si>
    <t>Walercin</t>
  </si>
  <si>
    <t>PL_ZEWD_1412000612_06</t>
  </si>
  <si>
    <t>PL_ZEWD_1412000677_00</t>
  </si>
  <si>
    <t>PL_ZEWD_1412000676_08</t>
  </si>
  <si>
    <t>Jędrzejnik</t>
  </si>
  <si>
    <t>PL_ZEWD_1412000675_06</t>
  </si>
  <si>
    <t>Celinów</t>
  </si>
  <si>
    <t>PL_ZEWD_1412000674_04</t>
  </si>
  <si>
    <t>PL_ZEWD_1412000673_02</t>
  </si>
  <si>
    <t>PL_ZEWD_1412000672_00</t>
  </si>
  <si>
    <t>Cyganka</t>
  </si>
  <si>
    <t>PL_ZEWD_1412000671_08</t>
  </si>
  <si>
    <t>PL_ZEWD_1412000670_06</t>
  </si>
  <si>
    <t>PL_ZEWD_1412000669_05</t>
  </si>
  <si>
    <t>PL_ZEWD_1412000668_03</t>
  </si>
  <si>
    <t>Braci Tabiszewskich</t>
  </si>
  <si>
    <t>PL_ZEWD_1412000667_01</t>
  </si>
  <si>
    <t>PL_ZEWD_1412000666_09</t>
  </si>
  <si>
    <t>PL_ZEWD_1412000665_07</t>
  </si>
  <si>
    <t>Brzozowa</t>
  </si>
  <si>
    <t>PL_ZEWD_1412000664_05</t>
  </si>
  <si>
    <t>Teresław</t>
  </si>
  <si>
    <t>PL_ZEWD_1412000663_03</t>
  </si>
  <si>
    <t>PL_ZEWD_1412000662_01</t>
  </si>
  <si>
    <t>PL_ZEWD_1412000579_06</t>
  </si>
  <si>
    <t>PL_ZEWD_1412000580_07</t>
  </si>
  <si>
    <t>Cezarów</t>
  </si>
  <si>
    <t>PL_ZEWD_1412000661_09</t>
  </si>
  <si>
    <t>PL_ZEWD_1412000632_04</t>
  </si>
  <si>
    <t>PL_ZEWD_1412000657_02</t>
  </si>
  <si>
    <t>PL_ZEWD_1412001260_02</t>
  </si>
  <si>
    <t>PL_ZEWD_1412001263_08</t>
  </si>
  <si>
    <t>Pałacowa</t>
  </si>
  <si>
    <t>PL_ZEWD_1412001262_06</t>
  </si>
  <si>
    <t>PL_ZEWD_1412001259_01</t>
  </si>
  <si>
    <t>Szklarniowa</t>
  </si>
  <si>
    <t>PL_ZEWD_1412001261_04</t>
  </si>
  <si>
    <t>PL_ZEWD_1412001374_07</t>
  </si>
  <si>
    <t>PL_ZEWD_1412001372_03</t>
  </si>
  <si>
    <t>PL_ZEWD_1412001128_04</t>
  </si>
  <si>
    <t>Staropolska</t>
  </si>
  <si>
    <t>PL_ZEWD_1412001104_08</t>
  </si>
  <si>
    <t>Gmina Dębe Wielkie</t>
  </si>
  <si>
    <t>Ul. Strażacka 3</t>
  </si>
  <si>
    <t>05-311 Dębe Wielkie</t>
  </si>
  <si>
    <t>NIP: 8222146636</t>
  </si>
  <si>
    <t>05-332</t>
  </si>
  <si>
    <t>Siennica</t>
  </si>
  <si>
    <t>PL_ZEWD_1412000120_01</t>
  </si>
  <si>
    <t>Zalesie</t>
  </si>
  <si>
    <t>PL_ZEWD_1412000121_03</t>
  </si>
  <si>
    <t>Łękawica</t>
  </si>
  <si>
    <t>PL_ZEWD_1412000122_05</t>
  </si>
  <si>
    <t>Nowodwór</t>
  </si>
  <si>
    <t>PL_ZEWD_1412000123_07</t>
  </si>
  <si>
    <t>Kośminy</t>
  </si>
  <si>
    <t>PL_ZEWD_1412000124_09</t>
  </si>
  <si>
    <t>Gągolina</t>
  </si>
  <si>
    <t>PL_ZEWD_1412000125_01</t>
  </si>
  <si>
    <t xml:space="preserve">Strażacka </t>
  </si>
  <si>
    <t>PL_ZEWD_1412000127_05</t>
  </si>
  <si>
    <t>PL_ZEWD_1412000128_07</t>
  </si>
  <si>
    <t xml:space="preserve">Kołbielska </t>
  </si>
  <si>
    <t>PL_ZEWD_1412000129_09</t>
  </si>
  <si>
    <t>PL_ZEWD_1412000130_00</t>
  </si>
  <si>
    <t xml:space="preserve">Mińska </t>
  </si>
  <si>
    <t>PL_ZEWD_1412000131_02</t>
  </si>
  <si>
    <t>PL_ZEWD_1412000132_04</t>
  </si>
  <si>
    <t xml:space="preserve">Akacjowa </t>
  </si>
  <si>
    <t>PL_ZEWD_1412000133_06</t>
  </si>
  <si>
    <t>Nowa</t>
  </si>
  <si>
    <t>PL_ZEWD_1412000134_08</t>
  </si>
  <si>
    <t>PL_ZEWD_1412000135_00</t>
  </si>
  <si>
    <t>PL_ZEWD_1412000136_02</t>
  </si>
  <si>
    <t>PL_ZEWD_1412000137_04</t>
  </si>
  <si>
    <t>Strugi Krzywickie</t>
  </si>
  <si>
    <t>PL_ZEWD_1412000138_06</t>
  </si>
  <si>
    <t>Krzywica</t>
  </si>
  <si>
    <t>PL_ZEWD_1412000139_08</t>
  </si>
  <si>
    <t>PL_ZEWD_1412000140_09</t>
  </si>
  <si>
    <t>Wojciechówka</t>
  </si>
  <si>
    <t>PL_ZEWD_1412000141_01</t>
  </si>
  <si>
    <t>Nowy Zglechów</t>
  </si>
  <si>
    <t>PL_ZEWD_1412000142_03</t>
  </si>
  <si>
    <t>Nowa Pogorzel</t>
  </si>
  <si>
    <t>PL_ZEWD_1412000143_05</t>
  </si>
  <si>
    <t>PL_ZEWD_1412000144_07</t>
  </si>
  <si>
    <t>Wólka Dłużewska</t>
  </si>
  <si>
    <t>PL_ZEWD_1412000145_09</t>
  </si>
  <si>
    <t>Swoboda</t>
  </si>
  <si>
    <t>PL_ZEWD_1412000147_03</t>
  </si>
  <si>
    <t>Pogorzel</t>
  </si>
  <si>
    <t>PL_ZEWD_1412000148_05</t>
  </si>
  <si>
    <t>Julianów</t>
  </si>
  <si>
    <t>PL_ZEWD_1412000149_07</t>
  </si>
  <si>
    <t>Borówek</t>
  </si>
  <si>
    <t>Chełst</t>
  </si>
  <si>
    <t>PL_ZEWD_1412000151_00</t>
  </si>
  <si>
    <t>Grzebowilk II</t>
  </si>
  <si>
    <t>PL_ZEWD_1412000152_02</t>
  </si>
  <si>
    <t>Grzebowilk IV</t>
  </si>
  <si>
    <t>PL_ZEWD_1412000153_04</t>
  </si>
  <si>
    <t>Grzebowilk III</t>
  </si>
  <si>
    <t>PL_ZEWD_1412000154_06</t>
  </si>
  <si>
    <t xml:space="preserve">Nowa Pogorzel </t>
  </si>
  <si>
    <t>PL_ZEWD_1412000544_09</t>
  </si>
  <si>
    <t>Siodło</t>
  </si>
  <si>
    <t>PL_ZEWD_1412000155_08</t>
  </si>
  <si>
    <t>PL_ZEWD_1412000156_00</t>
  </si>
  <si>
    <t>Zglechów</t>
  </si>
  <si>
    <t>PL_ZEWD_1412000157_02</t>
  </si>
  <si>
    <t xml:space="preserve">Bestwiny </t>
  </si>
  <si>
    <t>PL_ZEWD_1412000159_06</t>
  </si>
  <si>
    <t>Drożdżówka</t>
  </si>
  <si>
    <t>PL_ZEWD_1412000160_07</t>
  </si>
  <si>
    <t>Dzielnik</t>
  </si>
  <si>
    <t>PL_ZEWD_1412000161_09</t>
  </si>
  <si>
    <t xml:space="preserve">Dzielnik </t>
  </si>
  <si>
    <t>PL_ZEWD_1412000162_01</t>
  </si>
  <si>
    <t>Nowodzielnik</t>
  </si>
  <si>
    <t>PL_ZEWD_1412000163_03</t>
  </si>
  <si>
    <t>PL_ZEWD_1412000164_05</t>
  </si>
  <si>
    <t>PL_ZEWD_1412000165_07</t>
  </si>
  <si>
    <t>Dłużew</t>
  </si>
  <si>
    <t>PL_ZEWD_1412000166_09</t>
  </si>
  <si>
    <t>Majdan</t>
  </si>
  <si>
    <t>PL_ZEWD_1412000167_01</t>
  </si>
  <si>
    <t>Kulki</t>
  </si>
  <si>
    <t>PL_ZEWD_1412000168_03</t>
  </si>
  <si>
    <t>Ptaki</t>
  </si>
  <si>
    <t>PL_ZEWD_1412000169_05</t>
  </si>
  <si>
    <t>PL_ZEWD_1412000170_06</t>
  </si>
  <si>
    <t xml:space="preserve">Kąty </t>
  </si>
  <si>
    <t>PL_ZEWD_1412000171_08</t>
  </si>
  <si>
    <t>Starogród</t>
  </si>
  <si>
    <t>PL_ZEWD_1412000172_00</t>
  </si>
  <si>
    <t>PL_ZEWD_1412000173_02</t>
  </si>
  <si>
    <t>PL_ZEWD_1412000175_06</t>
  </si>
  <si>
    <t>Nowy Starogród</t>
  </si>
  <si>
    <t>PL_ZEWD_1412000176_08</t>
  </si>
  <si>
    <t>Świętochy</t>
  </si>
  <si>
    <t>PL_ZEWD_1412000179_04</t>
  </si>
  <si>
    <t>PL_ZEWD_1412000180_05</t>
  </si>
  <si>
    <t>Bestwiny</t>
  </si>
  <si>
    <t>PL_ZEWD_1412000181_07</t>
  </si>
  <si>
    <t>PL_ZEWD_1412000182_09</t>
  </si>
  <si>
    <t>PL_ZEWD_1412000183_01</t>
  </si>
  <si>
    <t>PL_ZEWD_1412000184_03</t>
  </si>
  <si>
    <t>PL_ZEWD_1412000185_05</t>
  </si>
  <si>
    <t>Żaków</t>
  </si>
  <si>
    <t>PL_ZEWD_1412000186_07</t>
  </si>
  <si>
    <t>PL_ZEWD_1412000187_09</t>
  </si>
  <si>
    <t>PL_ZEWD_1412000178_02</t>
  </si>
  <si>
    <t>PL_ZEWD_1412000177_00</t>
  </si>
  <si>
    <t>PL_ZEWD_1412000174_04</t>
  </si>
  <si>
    <t>Boża Wola</t>
  </si>
  <si>
    <t>PL_ZEWD_1412000146_01</t>
  </si>
  <si>
    <t>Starogród III</t>
  </si>
  <si>
    <t>PL_ZEWD_1412000188_01</t>
  </si>
  <si>
    <t>PL_ZEWD_1412000189_03</t>
  </si>
  <si>
    <t>ul. Kołbielska 1</t>
  </si>
  <si>
    <t>05-332 Siennica</t>
  </si>
  <si>
    <t>Stawek</t>
  </si>
  <si>
    <t>PL_ZEWD_1412000685_05</t>
  </si>
  <si>
    <t>Kamionka</t>
  </si>
  <si>
    <t>05-334</t>
  </si>
  <si>
    <t>Latowicz</t>
  </si>
  <si>
    <t>PL_ZEWD_1412000681_07</t>
  </si>
  <si>
    <t>Waliska</t>
  </si>
  <si>
    <t>PL_ZEWD_1412000701_03</t>
  </si>
  <si>
    <t>Wężyczyn</t>
  </si>
  <si>
    <t>PL_ZEWD_1412000695_04</t>
  </si>
  <si>
    <t>PL_ZEWD_1412000697_08</t>
  </si>
  <si>
    <t>PL_ZEWD_1412000688_01</t>
  </si>
  <si>
    <t>PL_ZEWD_1412000707_05</t>
  </si>
  <si>
    <t>PL_ZEWD_1412000698_00</t>
  </si>
  <si>
    <t>PL_ZEWD_1412000696_06</t>
  </si>
  <si>
    <t>PL_ZEWD_1412000682_09</t>
  </si>
  <si>
    <t>Chyżyny</t>
  </si>
  <si>
    <t>PL_ZEWD_1412000776_06</t>
  </si>
  <si>
    <t>PL_ZEWD_1412000775_04</t>
  </si>
  <si>
    <t>PL_ZEWD_1412000699_02</t>
  </si>
  <si>
    <t>PL_ZEWD_1412000774_02</t>
  </si>
  <si>
    <t>Gołełąki</t>
  </si>
  <si>
    <t>PL_ZEWD_1412000704_09</t>
  </si>
  <si>
    <t>PL_ZEWD_1412000700_01</t>
  </si>
  <si>
    <t>PL_ZEWD_1412000703_07</t>
  </si>
  <si>
    <t>PL_ZEWD_1412000684_03</t>
  </si>
  <si>
    <t>Latowicz-Rozstanki</t>
  </si>
  <si>
    <t>PL_ZEWD_1412000773_00</t>
  </si>
  <si>
    <t>Senatorska</t>
  </si>
  <si>
    <t>PL_ZEWD_1412000772_08</t>
  </si>
  <si>
    <t>Św. Ducha</t>
  </si>
  <si>
    <t>PL_ZEWD_1412000771_06</t>
  </si>
  <si>
    <t>Grundowa</t>
  </si>
  <si>
    <t>PL_ZEWD_1412000770_04</t>
  </si>
  <si>
    <t>PL_ZEWD_1412000711_02</t>
  </si>
  <si>
    <t>Latowicz-Wymyśle</t>
  </si>
  <si>
    <t>PL_ZEWD_1412000769_03</t>
  </si>
  <si>
    <t>Dąbrówka</t>
  </si>
  <si>
    <t>PL_ZEWD_1412000768_01</t>
  </si>
  <si>
    <t>II</t>
  </si>
  <si>
    <t>PL_ZEWD_1412000767_09</t>
  </si>
  <si>
    <t>PL_ZEWD_1412000712_04</t>
  </si>
  <si>
    <t>PL_ZEWD_1412000715_00</t>
  </si>
  <si>
    <t>PL_ZEWD_1412000714_08</t>
  </si>
  <si>
    <t>Oleksianka</t>
  </si>
  <si>
    <t>PL_ZEWD_1412000766_07</t>
  </si>
  <si>
    <t>PL_ZEWD_1412000764_03</t>
  </si>
  <si>
    <t>PL_ZEWD_1412000762_09</t>
  </si>
  <si>
    <t>PL_ZEWD_1412000760_05</t>
  </si>
  <si>
    <t>PL_ZEWD_1412000765_05</t>
  </si>
  <si>
    <t>PL_ZEWD_1412000718_06</t>
  </si>
  <si>
    <t>Redzyńskie</t>
  </si>
  <si>
    <t>PL_ZEWD_1412000717_04</t>
  </si>
  <si>
    <t>PL_ZEWD_1412000761_07</t>
  </si>
  <si>
    <t>Generałowo</t>
  </si>
  <si>
    <t>PL_ZEWD_1412000755_06</t>
  </si>
  <si>
    <t>Strachomin</t>
  </si>
  <si>
    <t>PL_ZEWD_1412000763_01</t>
  </si>
  <si>
    <t>PL_ZEWD_1412000716_02</t>
  </si>
  <si>
    <t>Transbór</t>
  </si>
  <si>
    <t>PL_ZEWD_1412000759_04</t>
  </si>
  <si>
    <t>PL_ZEWD_1412000758_02</t>
  </si>
  <si>
    <t>PL_ZEWD_1412000757_00</t>
  </si>
  <si>
    <t>Wielgolas</t>
  </si>
  <si>
    <t>PL_ZEWD_1412000756_08</t>
  </si>
  <si>
    <t>PL_ZEWD_1412000754_04</t>
  </si>
  <si>
    <t>PL_ZEWD_1412000749_05</t>
  </si>
  <si>
    <t>PL_ZEWD_1412000750_06</t>
  </si>
  <si>
    <t>PL_ZEWD_1412000748_03</t>
  </si>
  <si>
    <t>PL_ZEWD_1412000751_08</t>
  </si>
  <si>
    <t>PL_ZEWD_1412000752_00</t>
  </si>
  <si>
    <t>Gmina Latowicz</t>
  </si>
  <si>
    <t>Ul. Rynek 6</t>
  </si>
  <si>
    <t>Podskwarne</t>
  </si>
  <si>
    <t>05-319</t>
  </si>
  <si>
    <t>Cegłów</t>
  </si>
  <si>
    <t>49A</t>
  </si>
  <si>
    <t>Podciernie I</t>
  </si>
  <si>
    <t>Podciernie II</t>
  </si>
  <si>
    <t>Posiadały</t>
  </si>
  <si>
    <t>Piaseczno I</t>
  </si>
  <si>
    <t>Piaseczno II</t>
  </si>
  <si>
    <t>Piaseczno</t>
  </si>
  <si>
    <t>Piaseczno III</t>
  </si>
  <si>
    <t>Skupie</t>
  </si>
  <si>
    <t>Wola Stanisławowska</t>
  </si>
  <si>
    <t>Dobrzyckiego Henryka</t>
  </si>
  <si>
    <t>Wólka Wiciejowska</t>
  </si>
  <si>
    <t>Mienia I</t>
  </si>
  <si>
    <t>Mienia</t>
  </si>
  <si>
    <t>Mienia II</t>
  </si>
  <si>
    <t>Mienia III</t>
  </si>
  <si>
    <t>Mienia IV</t>
  </si>
  <si>
    <t>Pełczanka I</t>
  </si>
  <si>
    <t>Pełczanka II</t>
  </si>
  <si>
    <t>Pełczanka III</t>
  </si>
  <si>
    <t>Mienia V</t>
  </si>
  <si>
    <t>Mienia VI</t>
  </si>
  <si>
    <t>Rososz</t>
  </si>
  <si>
    <t>Skwarne</t>
  </si>
  <si>
    <t>Woźbin</t>
  </si>
  <si>
    <t>Wiciejów I</t>
  </si>
  <si>
    <t>Wiciejów II</t>
  </si>
  <si>
    <t>Rudnik</t>
  </si>
  <si>
    <t>Tyborów</t>
  </si>
  <si>
    <t>05-319 Cegłów</t>
  </si>
  <si>
    <t>Numer licznika</t>
  </si>
  <si>
    <t>P</t>
  </si>
  <si>
    <t>Pełczanka</t>
  </si>
  <si>
    <t>Ośw. Ulicz.</t>
  </si>
  <si>
    <t>Sulejówek</t>
  </si>
  <si>
    <t>Kleeberga Franciszka</t>
  </si>
  <si>
    <t>05-070</t>
  </si>
  <si>
    <t>Czynu społecznego/Przejazd</t>
  </si>
  <si>
    <t>Drobiarska</t>
  </si>
  <si>
    <t>Kopernika Mikołaja/Słowackiego</t>
  </si>
  <si>
    <t>Paderewskiego Ignacego/Szczecińska</t>
  </si>
  <si>
    <t>Szosowa/Przybysz.</t>
  </si>
  <si>
    <t>Głowackiego Bartosza</t>
  </si>
  <si>
    <t>Kraszewskiego Ignacego</t>
  </si>
  <si>
    <t>Miedziana/Chopina</t>
  </si>
  <si>
    <t>Głowackiego Bartosza/Niemojews.</t>
  </si>
  <si>
    <t>Głowackiego Bartosza/Świętoch.</t>
  </si>
  <si>
    <t>Głowackiego Bartosza/ Orzeszk.</t>
  </si>
  <si>
    <t>Krakowska Wrocł.</t>
  </si>
  <si>
    <t>Przybyszewska/3-go Maja</t>
  </si>
  <si>
    <t>Tuwima A. Krajowej</t>
  </si>
  <si>
    <t>Cieplaka Niemojew.</t>
  </si>
  <si>
    <t>Armii Krajowej/Rejtana</t>
  </si>
  <si>
    <t>Świętochowskiego A. Łukas.</t>
  </si>
  <si>
    <t>Dąbrowskiego Jarosława/Sejmowa</t>
  </si>
  <si>
    <t>Świętochowskiego A./Mińska</t>
  </si>
  <si>
    <t>3-go Maja/Baryłki</t>
  </si>
  <si>
    <t>Słowackiego Juliusza/Wąska</t>
  </si>
  <si>
    <t>Armii Krajowej/Żelazna</t>
  </si>
  <si>
    <t>Przybyszewskiego St./Tetmajera</t>
  </si>
  <si>
    <t>Armii Krajowej/Klonowej</t>
  </si>
  <si>
    <t>Chopina Fryderyka/Stalowa</t>
  </si>
  <si>
    <t>Lubelska/Sienkiewicza</t>
  </si>
  <si>
    <t>Czynu Społecznego</t>
  </si>
  <si>
    <t>Dworcowa/Żeromskiego</t>
  </si>
  <si>
    <t>Idzikowskiego Ludwika</t>
  </si>
  <si>
    <t>Starych Dębów</t>
  </si>
  <si>
    <t>Reymonta Wł. St.</t>
  </si>
  <si>
    <t>Paderewskiego Ignacego/Krasick.</t>
  </si>
  <si>
    <t>Sobieskiego/Krasickiego</t>
  </si>
  <si>
    <t>Grabskiego Stanisława/ 11 Listopada</t>
  </si>
  <si>
    <t>Reymonta Wł. St./ Dąbrówki</t>
  </si>
  <si>
    <t>Dworcowa/Kościuszki</t>
  </si>
  <si>
    <t>Piękna Paderewsk.</t>
  </si>
  <si>
    <t>Kombatantów/Piłsudskiego</t>
  </si>
  <si>
    <t>Wiejska/Dębowa</t>
  </si>
  <si>
    <t>Reymonta Wł. St./Wrońsk.</t>
  </si>
  <si>
    <t>Kombatantów Ogińskiego</t>
  </si>
  <si>
    <t>Kombatantów/Gdańska</t>
  </si>
  <si>
    <t>Reymonta Wł. St./Gdańska</t>
  </si>
  <si>
    <t>Reymonta Wł. St./Poniat.</t>
  </si>
  <si>
    <t>Reymonta Wł. St./Niemcew.</t>
  </si>
  <si>
    <t>Kombatantów/Niemcew.</t>
  </si>
  <si>
    <t>Paderewskiego Ignacego/Orla</t>
  </si>
  <si>
    <t>Paderewskiego Ignacego/Swiętoj.</t>
  </si>
  <si>
    <t>Reja /Poprzeczna</t>
  </si>
  <si>
    <t>Krakowska/Wilsona</t>
  </si>
  <si>
    <t>Kraszewskiego Ignacego/Koszal.</t>
  </si>
  <si>
    <t>Żeromskiego Stefana Son 2</t>
  </si>
  <si>
    <t>Legionów/11 Listop</t>
  </si>
  <si>
    <t>Sienkiewicza Henryka/11 Listop</t>
  </si>
  <si>
    <t>1 Armii Wojska Polskiego/11 Listop</t>
  </si>
  <si>
    <t>Marczewskiego Jędrzeja/Orla</t>
  </si>
  <si>
    <t>11-go Listopada/Puszkina</t>
  </si>
  <si>
    <t>Puszkina Aleksandra/Grottgera</t>
  </si>
  <si>
    <t>Wspólna R Orlej</t>
  </si>
  <si>
    <t>Poprzeczna/Poniatows</t>
  </si>
  <si>
    <t>Reja Mikołaja/Okuniewsk</t>
  </si>
  <si>
    <t>Kasprowicza Jana/Piaskowa</t>
  </si>
  <si>
    <t>Sobieskiego Jana III</t>
  </si>
  <si>
    <t>Sobieskiego Jana III/Okulick</t>
  </si>
  <si>
    <t>Paderewsk./Okulick</t>
  </si>
  <si>
    <t>Żeromskiego Stefana/Bogusławs</t>
  </si>
  <si>
    <t>11-go Listopada/Kościuszki</t>
  </si>
  <si>
    <t>Żeromskiego Stefana/Moniuszki</t>
  </si>
  <si>
    <t>Kolbe Maksymiliana</t>
  </si>
  <si>
    <t>Krasickiego Janka/Prusa</t>
  </si>
  <si>
    <t>Długa/Jagodowa</t>
  </si>
  <si>
    <t>Sobiesk./Nowotki</t>
  </si>
  <si>
    <t>11-go Listopada/Żurawska</t>
  </si>
  <si>
    <t>Harcerska Kaspr.</t>
  </si>
  <si>
    <t>Legionów</t>
  </si>
  <si>
    <t>Mieszka I/Idzikowsk</t>
  </si>
  <si>
    <t>Piłsudskiego Józefa/Mariańska</t>
  </si>
  <si>
    <t>Piłsudskiego Józefa/Idzikowsk</t>
  </si>
  <si>
    <t>Przejazd/Kolejowa/Okrzei</t>
  </si>
  <si>
    <t>Krzywa/Ratajewo</t>
  </si>
  <si>
    <t>Miłosna-P.K.P. Okrzei</t>
  </si>
  <si>
    <t>Wiejska/Okuniews</t>
  </si>
  <si>
    <t>Przejazdowa R Berlinga</t>
  </si>
  <si>
    <t>Kraszewskiego Ignacego/Zamojska</t>
  </si>
  <si>
    <t>Dąbrowskiego Jarosława/Szosowa</t>
  </si>
  <si>
    <t>Drobiarska/Miodowa</t>
  </si>
  <si>
    <t>Stażyńskiego Stefana vis a vis nr.39</t>
  </si>
  <si>
    <t>Rataja Macieja przy 2A</t>
  </si>
  <si>
    <t>Asfaltowa St.0187</t>
  </si>
  <si>
    <t>Paderewskiego Ignacego</t>
  </si>
  <si>
    <t>Okuniewska</t>
  </si>
  <si>
    <t>Oświetlenie Uliczne</t>
  </si>
  <si>
    <t>Wólka Mlęcka</t>
  </si>
  <si>
    <t>Dobre</t>
  </si>
  <si>
    <t>PL_ZEWD_1412000264_03</t>
  </si>
  <si>
    <t>Gęsianka</t>
  </si>
  <si>
    <t>PL_ZEWD_1412000265_05</t>
  </si>
  <si>
    <t>PL_ZEWD_1412000266_07</t>
  </si>
  <si>
    <t>Mlęcin</t>
  </si>
  <si>
    <t>PL_ZEWD_1412000267_09</t>
  </si>
  <si>
    <t>PL_ZEWD_1412000269_03</t>
  </si>
  <si>
    <t>PL_ZEWD_1412000270_04</t>
  </si>
  <si>
    <t>Walentów</t>
  </si>
  <si>
    <t>PL_ZEWD_1412000303_05</t>
  </si>
  <si>
    <t>PL_ZEWD_1412000304_07</t>
  </si>
  <si>
    <t>Nowa Wieś</t>
  </si>
  <si>
    <t>PL_ZEWD_1412000305_09</t>
  </si>
  <si>
    <t>Marcelin</t>
  </si>
  <si>
    <t>PL_ZEWD_1412000306_01</t>
  </si>
  <si>
    <t>Świdrów</t>
  </si>
  <si>
    <t>PL_ZEWD_1412000307_03</t>
  </si>
  <si>
    <t>PL_ZEWD_1412000309_07</t>
  </si>
  <si>
    <t>PL_ZEWD_1412000310_08</t>
  </si>
  <si>
    <t>Zdrojówki</t>
  </si>
  <si>
    <t>PL_ZEWD_1412000312_02</t>
  </si>
  <si>
    <t>Poręby Nowe</t>
  </si>
  <si>
    <t>PL_ZEWD_1412000313_04</t>
  </si>
  <si>
    <t>PL_ZEWD_1412000314_06</t>
  </si>
  <si>
    <t>III</t>
  </si>
  <si>
    <t>PL_ZEWD_1412000315_08</t>
  </si>
  <si>
    <t>PL_ZEWD_1412000316_00</t>
  </si>
  <si>
    <t>Drop</t>
  </si>
  <si>
    <t>PL_ZEWD_1412000317_02</t>
  </si>
  <si>
    <t>Modecin</t>
  </si>
  <si>
    <t>PL_ZEWD_1412000319_06</t>
  </si>
  <si>
    <t>Rynia</t>
  </si>
  <si>
    <t>PL_ZEWD_1412000321_09</t>
  </si>
  <si>
    <t>PL_ZEWD_1412000262_09</t>
  </si>
  <si>
    <t>PL_ZEWD_1412000263_01</t>
  </si>
  <si>
    <t>PL_ZEWD_1412000323_03</t>
  </si>
  <si>
    <t>Sołki</t>
  </si>
  <si>
    <t>PL_ZEWD_1412000325_07</t>
  </si>
  <si>
    <t>Radoszyna</t>
  </si>
  <si>
    <t>PL_ZEWD_1412000327_01</t>
  </si>
  <si>
    <t>Wólka Kokosia</t>
  </si>
  <si>
    <t>PL_ZEWD_1412000328_03</t>
  </si>
  <si>
    <t>PL_ZEWD_1412000329_05</t>
  </si>
  <si>
    <t>Wólka Kobylańska</t>
  </si>
  <si>
    <t>PL_ZEWD_1412000330_06</t>
  </si>
  <si>
    <t>Joanin</t>
  </si>
  <si>
    <t>PL_ZEWD_1412000331_08</t>
  </si>
  <si>
    <t>PL_ZEWD_1412000332_00</t>
  </si>
  <si>
    <t>PL_ZEWD_1412000333_02</t>
  </si>
  <si>
    <t>Rudno</t>
  </si>
  <si>
    <t>PL_ZEWD_1412000334_04</t>
  </si>
  <si>
    <t>PL_ZEWD_1412000335_06</t>
  </si>
  <si>
    <t>PL_ZEWD_1412000336_08</t>
  </si>
  <si>
    <t>Duchów</t>
  </si>
  <si>
    <t>PL_ZEWD_1412000337_00</t>
  </si>
  <si>
    <t>Osęczyzna</t>
  </si>
  <si>
    <t>PL_ZEWD_1412000338_02</t>
  </si>
  <si>
    <t>Poręby Stare</t>
  </si>
  <si>
    <t>PL_ZEWD_1412000339_04</t>
  </si>
  <si>
    <t>PL_ZEWD_1412000340_05</t>
  </si>
  <si>
    <t>PL_ZEWD_1412000341_07</t>
  </si>
  <si>
    <t>PL_ZEWD_1412000342_09</t>
  </si>
  <si>
    <t>PL_ZEWD_1412000343_01</t>
  </si>
  <si>
    <t>Rakówiec</t>
  </si>
  <si>
    <t>PL_ZEWD_1412000272_08</t>
  </si>
  <si>
    <t>PL_ZEWD_1412000273_00</t>
  </si>
  <si>
    <t>Grabniak</t>
  </si>
  <si>
    <t>PL_ZEWD_1412000274_02</t>
  </si>
  <si>
    <t>Rudzienko</t>
  </si>
  <si>
    <t>PL_ZEWD_1412000275_04</t>
  </si>
  <si>
    <t>PL_ZEWD_1412000276_06</t>
  </si>
  <si>
    <t>PL_ZEWD_1412000277_08</t>
  </si>
  <si>
    <t>Pokrzywnik</t>
  </si>
  <si>
    <t>PL_ZEWD_1412000278_00</t>
  </si>
  <si>
    <t>PL_ZEWD_1412000279_02</t>
  </si>
  <si>
    <t>PL_ZEWD_1412000280_03</t>
  </si>
  <si>
    <t>PL_ZEWD_1412000281_05</t>
  </si>
  <si>
    <t>PL_ZEWD_1412000282_07</t>
  </si>
  <si>
    <t>PL_ZEWD_1412000284_01</t>
  </si>
  <si>
    <t>PL_ZEWD_1412000285_03</t>
  </si>
  <si>
    <t>PL_ZEWD_1412000286_05</t>
  </si>
  <si>
    <t>Targowa</t>
  </si>
  <si>
    <t>Moniuszki</t>
  </si>
  <si>
    <t>PL_ZEWD_1412000287_07</t>
  </si>
  <si>
    <t>PL_ZEWD_1412000288_09</t>
  </si>
  <si>
    <t>PL_ZEWD_1412000289_01</t>
  </si>
  <si>
    <t>Antonina</t>
  </si>
  <si>
    <t>PL_ZEWD_1412000290_02</t>
  </si>
  <si>
    <t>PL_ZEWD_1412000291_04</t>
  </si>
  <si>
    <t>PL_ZEWD_1412000292_06</t>
  </si>
  <si>
    <t>Brzozowica</t>
  </si>
  <si>
    <t>PL_ZEWD_1412000293_08</t>
  </si>
  <si>
    <t>PL_ZEWD_1412000294_00</t>
  </si>
  <si>
    <t>Wólka Czarnogłowska</t>
  </si>
  <si>
    <t>PL_ZEWD_1412000295_02</t>
  </si>
  <si>
    <t>Czarnogłów</t>
  </si>
  <si>
    <t>PL_ZEWD_1412000296_04</t>
  </si>
  <si>
    <t>PL_ZEWD_1412000298_08</t>
  </si>
  <si>
    <t>Głęboczyca</t>
  </si>
  <si>
    <t>PL_ZEWD_1412000299_00</t>
  </si>
  <si>
    <t>PL_ZEWD_1412000300_09</t>
  </si>
  <si>
    <t>Jaczewek</t>
  </si>
  <si>
    <t>PL_ZEWD_1412000301_01</t>
  </si>
  <si>
    <t>Kobylanka</t>
  </si>
  <si>
    <t>PL_ZEWD_1412000302_03</t>
  </si>
  <si>
    <t xml:space="preserve">Rynia </t>
  </si>
  <si>
    <t>PL_ZEWD_1412000823_03</t>
  </si>
  <si>
    <t>Dobrzynieckiego</t>
  </si>
  <si>
    <t>05-307 Dobre</t>
  </si>
  <si>
    <t>OSD PKP Energetyka S.A.</t>
  </si>
  <si>
    <t>Gmina Mrozy</t>
  </si>
  <si>
    <t>Ul. Mickiewicza 35</t>
  </si>
  <si>
    <t>05-320 Mrozy</t>
  </si>
  <si>
    <t xml:space="preserve">Szczegółowy Opis Przedmiotu Zamówienia zawiera informacje dotyczące: </t>
  </si>
  <si>
    <t>Jakubów</t>
  </si>
  <si>
    <t>05-306</t>
  </si>
  <si>
    <t>Budy Kumińskie</t>
  </si>
  <si>
    <t>Góry</t>
  </si>
  <si>
    <t>Jędrzejów Nowy</t>
  </si>
  <si>
    <t>Jędrzejów Stary</t>
  </si>
  <si>
    <t>Mistów</t>
  </si>
  <si>
    <t>Leontyna</t>
  </si>
  <si>
    <t>Brzozówka</t>
  </si>
  <si>
    <t>Przedewsie</t>
  </si>
  <si>
    <t>Izabelin</t>
  </si>
  <si>
    <t>Szczytnik</t>
  </si>
  <si>
    <t>Strzebula</t>
  </si>
  <si>
    <t>Wola Polska</t>
  </si>
  <si>
    <t>Ludwinów</t>
  </si>
  <si>
    <t>Łaziska</t>
  </si>
  <si>
    <t>Aleksandrów</t>
  </si>
  <si>
    <t>Moczydła</t>
  </si>
  <si>
    <t>Rządza</t>
  </si>
  <si>
    <t>Witkowizna</t>
  </si>
  <si>
    <t>Wiśniew</t>
  </si>
  <si>
    <t>Anielinek</t>
  </si>
  <si>
    <t>Turek</t>
  </si>
  <si>
    <t>Nart</t>
  </si>
  <si>
    <t>Moc umowna</t>
  </si>
  <si>
    <t>Nazwa PPE</t>
  </si>
  <si>
    <t>Kałuszyn</t>
  </si>
  <si>
    <t>05-310</t>
  </si>
  <si>
    <t>Mostowa</t>
  </si>
  <si>
    <t>Trzcianka</t>
  </si>
  <si>
    <t>Patok</t>
  </si>
  <si>
    <t>Wojska Polskiego</t>
  </si>
  <si>
    <t>Pocztowa</t>
  </si>
  <si>
    <t>Bohaterów Września 1939r. osiedle 3</t>
  </si>
  <si>
    <t>Podleśna</t>
  </si>
  <si>
    <t>Martyrologii cmentarz</t>
  </si>
  <si>
    <t>Budy Przytockie</t>
  </si>
  <si>
    <t>Chrościce</t>
  </si>
  <si>
    <t>Garczyn Mały</t>
  </si>
  <si>
    <t>Zimnowoda</t>
  </si>
  <si>
    <t>Leonów</t>
  </si>
  <si>
    <t>Olszewice</t>
  </si>
  <si>
    <t>Szymony</t>
  </si>
  <si>
    <t>Przytoka</t>
  </si>
  <si>
    <t>Kazimierzów</t>
  </si>
  <si>
    <t>Żebrówka</t>
  </si>
  <si>
    <t>Wólka Kałuska</t>
  </si>
  <si>
    <t>Wąsy</t>
  </si>
  <si>
    <t>Groszki Stare</t>
  </si>
  <si>
    <t>Groszki Nowe</t>
  </si>
  <si>
    <t xml:space="preserve">Gołębiówka </t>
  </si>
  <si>
    <t>Wity</t>
  </si>
  <si>
    <t>Falbogi</t>
  </si>
  <si>
    <t>Mroczki Duże</t>
  </si>
  <si>
    <t>Milew</t>
  </si>
  <si>
    <t>Piotrowina</t>
  </si>
  <si>
    <t>Sinołęka</t>
  </si>
  <si>
    <t>Garczyn Duży</t>
  </si>
  <si>
    <t>Abramy</t>
  </si>
  <si>
    <t>Ul. Pocztowa 1</t>
  </si>
  <si>
    <t>05-310 Kałuszyn</t>
  </si>
  <si>
    <t>OSD właściwy dla punktów poboru energii Zamawiającego - PGE Dystrybucja S.A.</t>
  </si>
  <si>
    <t>P -</t>
  </si>
  <si>
    <t>pierwsza zmiana Sprzedawcy</t>
  </si>
  <si>
    <t>K -</t>
  </si>
  <si>
    <t>kolejna zmiana Sprzedawcy</t>
  </si>
  <si>
    <t>Prognozowany wolumen zużycia energii elektrycznej czynnej w okresie objetym przedmiotem zamówienia [kWh]</t>
  </si>
  <si>
    <t>szczyt/dzień</t>
  </si>
  <si>
    <t>pozaszczyt/noc</t>
  </si>
  <si>
    <t>Szczegółowy Opis Przedmiotu Zamówienia - Gmina Kałuszyn</t>
  </si>
  <si>
    <t>Numer posesji</t>
  </si>
  <si>
    <t>Prognozowany wolumen zużycia energii elektrycznej czynnej w okresie od 1 stycznia do 31 grudnia [kWh] w podziale na grupy taryfowe (bilans OSD)</t>
  </si>
  <si>
    <t>Prognozowany wolumen zużycia energii elektrycznej czynnej [kWh] w okresie objętym przedmiotem zamówienia (bilans Sprzedawcy)</t>
  </si>
  <si>
    <t xml:space="preserve">całodobowa </t>
  </si>
  <si>
    <t>05-306 Jakubów</t>
  </si>
  <si>
    <t>Prognozowany wolumen zużycia energii elektrycznej w okresie od 1 stycznia do 31 grudnia [kWh] - bilans roczny OSD</t>
  </si>
  <si>
    <t>Prognozowany wolumen zuzycia energii elektrycznej czynnej w okresie objętym przedmiotem zamówienia [kWh] - bilans Sprzedawcy</t>
  </si>
  <si>
    <t>zużycie łączne</t>
  </si>
  <si>
    <t>kolejności zmiany sprzedawcy, terminów rozwiązania umów kompleksowych oraz terminów rozpoczęcia sprzedaży wynikających ze skuteczności rozwiązania umów kompleksowych dla PPE Zamawiającego</t>
  </si>
  <si>
    <t>Szczegółowy Opis Przedmiotu Zamówienia - Gmina Jakubów</t>
  </si>
  <si>
    <t>Szczegółowy Opis Przedmiotu Zamówienia - Gmina Dobre</t>
  </si>
  <si>
    <t>Szczegółowy Opis Przedmiotu Zamówienia - Miasto Sulejówek</t>
  </si>
  <si>
    <t>Szczegółowy Opis Przedmiotu Zamówienia - Gmina Cegłów</t>
  </si>
  <si>
    <t>Szczegółowy Opis Przedmiotu Zamówienia - Gmina Latowicz</t>
  </si>
  <si>
    <t>Szczegółowy Opis Przedmiotu Zamówienia - Gmina Siennica</t>
  </si>
  <si>
    <t>Szczegółowy Opis Przedmiotu Zamówienia - Gmina Dębe Wielkie</t>
  </si>
  <si>
    <t>Szczegółowy Opis Przedmiotu Zamówienia - Gmina Halinów</t>
  </si>
  <si>
    <t>Szczegółowy Opis Przedmiotu Zamówienia - Gmina Mińsk Mazowiecki</t>
  </si>
  <si>
    <t>Szczegółowy Opis Przedmiotu Zamówienia - Miasto Mińsk Mazowiecki</t>
  </si>
  <si>
    <t>Szczegółowy Opis Przedmiotu Zamówienia - Gmina Mrozy</t>
  </si>
  <si>
    <t>PGE Dystrybucja S.A.</t>
  </si>
  <si>
    <t>OSD właściwy dla punktów poboru energii Zamawiającego</t>
  </si>
  <si>
    <t>PKP Energetyka S.A.</t>
  </si>
  <si>
    <t>OSD PGE Dystrybucja S.A.</t>
  </si>
  <si>
    <t>Szczegółowy Opis Przedmiotu Zamówienia - Gmina Stanisławów</t>
  </si>
  <si>
    <t>05-304</t>
  </si>
  <si>
    <t>Stanisławów</t>
  </si>
  <si>
    <t>Retków</t>
  </si>
  <si>
    <t>Pustelnik</t>
  </si>
  <si>
    <t>Siedlecka</t>
  </si>
  <si>
    <t>Młynarska</t>
  </si>
  <si>
    <t>Skrzyżowanie</t>
  </si>
  <si>
    <t>Mała</t>
  </si>
  <si>
    <t>Łąkowa</t>
  </si>
  <si>
    <t>Kolonie Stanisławów</t>
  </si>
  <si>
    <t>Borek Czarniński</t>
  </si>
  <si>
    <t>Szymankowszczyzna</t>
  </si>
  <si>
    <t>Gmina Mrozy ośw. Ul.</t>
  </si>
  <si>
    <t>Skrzeki</t>
  </si>
  <si>
    <t>Oświetlenie boiska sportowego</t>
  </si>
  <si>
    <t>Poniatowskiego</t>
  </si>
  <si>
    <t>dz.611/12</t>
  </si>
  <si>
    <t>PL_ZEWD_1412001152_09</t>
  </si>
  <si>
    <t>PL_ZEWD_1412001136_09</t>
  </si>
  <si>
    <t>PL_ZEWD_1412001184_00</t>
  </si>
  <si>
    <t>PL_ZEWD_1412001298_05</t>
  </si>
  <si>
    <t>PL_ZEWD_1412001236_07</t>
  </si>
  <si>
    <t>PL_ZEWD_1412001197_05</t>
  </si>
  <si>
    <t>PL_ZEWD_1412001211_09</t>
  </si>
  <si>
    <t>PL_ZEWD_1412001173_09</t>
  </si>
  <si>
    <t>PL_ZEWD_1412001225_06</t>
  </si>
  <si>
    <t>PL_ZEWD_1412001204_06</t>
  </si>
  <si>
    <t>PL_ZEWD_1412001181_04</t>
  </si>
  <si>
    <t>PL_ZEWD_1412001195_01</t>
  </si>
  <si>
    <t>PL_ZEWD_1412001242_08</t>
  </si>
  <si>
    <t>PL_ZEWD_1412001175_03</t>
  </si>
  <si>
    <t>PL_ZEWD_1412001183_08</t>
  </si>
  <si>
    <t>PL_ZEWD_1412001223_02</t>
  </si>
  <si>
    <t>PL_ZEWD_1412001199_09</t>
  </si>
  <si>
    <t>PL_ZEWD_1412001177_07</t>
  </si>
  <si>
    <t>PL_ZEWD_1412001179_01</t>
  </si>
  <si>
    <t>PL_ZEWD_1412001216_09</t>
  </si>
  <si>
    <t>PL_ZEWD_1412001215_07</t>
  </si>
  <si>
    <t>PL_ZEWD_1412001229_04</t>
  </si>
  <si>
    <t>PL_ZEWD_1412001194_09</t>
  </si>
  <si>
    <t>PL_ZEWD_1412001196_03</t>
  </si>
  <si>
    <t>PL_ZEWD_1412001218_03</t>
  </si>
  <si>
    <t>PL_ZEWD_1412001219_05</t>
  </si>
  <si>
    <t>PL_ZEWD_1412001178_09</t>
  </si>
  <si>
    <t>PL_ZEWD_1412001171_05</t>
  </si>
  <si>
    <t>PL_ZEWD_1412001185_02</t>
  </si>
  <si>
    <t>PL_ZEWD_1412001176_05</t>
  </si>
  <si>
    <t>PL_ZEWD_1412001224_04</t>
  </si>
  <si>
    <t>PL_ZEWD_1412001144_04</t>
  </si>
  <si>
    <t>PL_ZEWD_1412001159_03</t>
  </si>
  <si>
    <t>PL_ZEWD_1412001163_00</t>
  </si>
  <si>
    <t>PL_ZEWD_1412001138_03</t>
  </si>
  <si>
    <t>PL_ZEWD_1412001143_02</t>
  </si>
  <si>
    <t>PL_ZEWD_1412001213_03</t>
  </si>
  <si>
    <t>PL_ZEWD_1412001140_06</t>
  </si>
  <si>
    <t>PL_ZEWD_1412001147_00</t>
  </si>
  <si>
    <t>PL_ZEWD_1412001166_06</t>
  </si>
  <si>
    <t>PL_ZEWD_1412001167_08</t>
  </si>
  <si>
    <t>PL_ZEWD_1412001168_00</t>
  </si>
  <si>
    <t>PL_ZEWD_1412001151_07</t>
  </si>
  <si>
    <t>PL_ZEWD_1412001158_01</t>
  </si>
  <si>
    <t>PL_ZEWD_1412001131_09</t>
  </si>
  <si>
    <t>PL_ZEWD_1412001154_03</t>
  </si>
  <si>
    <t>PL_ZEWD_1412001226_08</t>
  </si>
  <si>
    <t>PL_ZEWD_1412001206_00</t>
  </si>
  <si>
    <t>PL_ZEWD_1412001201_00</t>
  </si>
  <si>
    <t>PL_ZEWD_1412001221_08</t>
  </si>
  <si>
    <t>PL_ZEWD_1412001124_06</t>
  </si>
  <si>
    <t>PL_ZEWD_1412001125_08</t>
  </si>
  <si>
    <t>PL_ZEWD_1412001214_05</t>
  </si>
  <si>
    <t>PL_ZEWD_1412001170_03</t>
  </si>
  <si>
    <t>PL_ZEWD_1412001210_07</t>
  </si>
  <si>
    <t>PL_ZEWD_1412001193_07</t>
  </si>
  <si>
    <t>PL_ZEWD_1412001174_01</t>
  </si>
  <si>
    <t>PL_ZEWD_1412001234_03</t>
  </si>
  <si>
    <t>PL_ZEWD_1412001227_00</t>
  </si>
  <si>
    <t>PL_ZEWD_1412001203_04</t>
  </si>
  <si>
    <t>PL_ZEWD_1412001228_02</t>
  </si>
  <si>
    <t>PL_ZEWD_1412001230_05</t>
  </si>
  <si>
    <t>PL_ZEWD_1412001220_06</t>
  </si>
  <si>
    <t>PL_ZEWD_1412001208_04</t>
  </si>
  <si>
    <t>PL_ZEWD_1412001180_02</t>
  </si>
  <si>
    <t>PL_ZEWD_1412001239_03</t>
  </si>
  <si>
    <t>PL_ZEWD_1412001241_06</t>
  </si>
  <si>
    <t>PL_ZEWD_1412001237_09</t>
  </si>
  <si>
    <t>PL_ZEWD_1412001209_06</t>
  </si>
  <si>
    <t>PL_ZEWD_1412001207_02</t>
  </si>
  <si>
    <t>PL_ZEWD_1412001189_00</t>
  </si>
  <si>
    <t>PL_ZEWD_1412001188_08</t>
  </si>
  <si>
    <t>PL_ZEWD_1412001231_07</t>
  </si>
  <si>
    <t>PL_ZEWD_1412001186_04</t>
  </si>
  <si>
    <t>PL_ZEWD_1412001233_01</t>
  </si>
  <si>
    <t>PL_ZEWD_1412001240_04</t>
  </si>
  <si>
    <t>PL_ZEWD_1412001172_07</t>
  </si>
  <si>
    <t>PL_ZEWD_1412001212_01</t>
  </si>
  <si>
    <t>PL_ZEWD_1412001217_01</t>
  </si>
  <si>
    <t>PL_ZEWD_1412001238_01</t>
  </si>
  <si>
    <t>PL_ZEWD_1412001169_02</t>
  </si>
  <si>
    <t>PL_ZEWD_1412001205_08</t>
  </si>
  <si>
    <t>PL_ZEWD_1412001222_00</t>
  </si>
  <si>
    <t>PL_ZEWD_1412001235_05</t>
  </si>
  <si>
    <t>PL_ZEWD_1412001232_09</t>
  </si>
  <si>
    <t>PL_ZEWD_1412001182_06</t>
  </si>
  <si>
    <t>PL_ZEWD_1412001191_03</t>
  </si>
  <si>
    <t>PL_ZEWD_1412001190_01</t>
  </si>
  <si>
    <t>PL_ZEWD_1412001160_04</t>
  </si>
  <si>
    <t>PL_ZEWD_1412001145_06</t>
  </si>
  <si>
    <t>PL_ZEWD_1412001164_02</t>
  </si>
  <si>
    <t>PL_ZEWD_1412001134_05</t>
  </si>
  <si>
    <t>PL_ZEWD_1412001135_07</t>
  </si>
  <si>
    <t>PL_ZEWD_1412001149_04</t>
  </si>
  <si>
    <t>PL_ZEWD_1412001161_06</t>
  </si>
  <si>
    <t>PL_ZEWD_1412001156_07</t>
  </si>
  <si>
    <t>PL_ZEWD_1412001165_04</t>
  </si>
  <si>
    <t>PL_ZEWD_1412001153_01</t>
  </si>
  <si>
    <t>PL_ZEWD_1412001162_08</t>
  </si>
  <si>
    <t>PL_ZEWD_1412001133_03</t>
  </si>
  <si>
    <t>PL_ZEWD_1412001148_02</t>
  </si>
  <si>
    <t>PL_ZEWD_1412001157_09</t>
  </si>
  <si>
    <t>PL_ZEWD_1412001139_05</t>
  </si>
  <si>
    <t>PL_ZEWD_1412001146_08</t>
  </si>
  <si>
    <t>PL_ZEWD_1412001192_05</t>
  </si>
  <si>
    <t>PL_ZEWD_1412001198_07</t>
  </si>
  <si>
    <t>PL_ZEWD_1412002216_06</t>
  </si>
  <si>
    <t>PL_ZEWD_1412001942_04</t>
  </si>
  <si>
    <t>PL_ZEWD_1412002049_03</t>
  </si>
  <si>
    <t>PL_ZEWD_1412001930_01</t>
  </si>
  <si>
    <t>PL_ZEWD_1412002047_09</t>
  </si>
  <si>
    <t>PL_ZEWD_1412001918_09</t>
  </si>
  <si>
    <t>PL_ZEWD_1412001949_08</t>
  </si>
  <si>
    <t>PL_ZEWD_1412001915_03</t>
  </si>
  <si>
    <t>PL_ZEWD_1412002048_01</t>
  </si>
  <si>
    <t>PL_ZEWD_1412002027_01</t>
  </si>
  <si>
    <t>PL_ZEWD_1412001921_04</t>
  </si>
  <si>
    <t>PL_ZEWD_1412001957_03</t>
  </si>
  <si>
    <t>PL_ZEWD_1412002055_04</t>
  </si>
  <si>
    <t>PL_ZEWD_1412002041_07</t>
  </si>
  <si>
    <t>PL_ZEWD_1412002025_07</t>
  </si>
  <si>
    <t>PL_ZEWD_1412001943_06</t>
  </si>
  <si>
    <t>PL_ZEWD_1412001951_01</t>
  </si>
  <si>
    <t>PL_ZEWD_1412001939_09</t>
  </si>
  <si>
    <t>PL_ZEWD_1412001926_04</t>
  </si>
  <si>
    <t>PL_ZEWD_1412001931_03</t>
  </si>
  <si>
    <t>PL_ZEWD_1412001950_09</t>
  </si>
  <si>
    <t>PL_ZEWD_1412002017_02</t>
  </si>
  <si>
    <t>PL_ZEWD_1412002035_06</t>
  </si>
  <si>
    <t>PL_ZEWD_1412001922_06</t>
  </si>
  <si>
    <t>PL_ZEWD_1412001935_01</t>
  </si>
  <si>
    <t>PL_ZEWD_1412002028_03</t>
  </si>
  <si>
    <t>PL_ZEWD_1412002022_01</t>
  </si>
  <si>
    <t>PL_ZEWD_1412001933_07</t>
  </si>
  <si>
    <t>PL_ZEWD_1412002033_02</t>
  </si>
  <si>
    <t>PL_ZEWD_1412001917_07</t>
  </si>
  <si>
    <t>PL_ZEWD_1412001925_02</t>
  </si>
  <si>
    <t>PL_ZEWD_1412001932_05</t>
  </si>
  <si>
    <t>PL_ZEWD_1412002044_03</t>
  </si>
  <si>
    <t>PL_ZEWD_1412001929_00</t>
  </si>
  <si>
    <t>PL_ZEWD_1412001938_07</t>
  </si>
  <si>
    <t>PL_ZEWD_1412002016_00</t>
  </si>
  <si>
    <t>PL_ZEWD_1412002024_05</t>
  </si>
  <si>
    <t>PL_ZEWD_1412001908_00</t>
  </si>
  <si>
    <t>PL_ZEWD_1412001954_07</t>
  </si>
  <si>
    <t>PL_ZEWD_1412001946_02</t>
  </si>
  <si>
    <t>PL_ZEWD_1412001945_00</t>
  </si>
  <si>
    <t>PL_ZEWD_1412002053_00</t>
  </si>
  <si>
    <t>PL_ZEWD_1412001953_05</t>
  </si>
  <si>
    <t>PL_ZEWD_1412002031_08</t>
  </si>
  <si>
    <t>PL_ZEWD_1412002036_08</t>
  </si>
  <si>
    <t>PL_ZEWD_1412001911_05</t>
  </si>
  <si>
    <t>PL_ZEWD_1412002034_04</t>
  </si>
  <si>
    <t>PL_ZEWD_1412001919_01</t>
  </si>
  <si>
    <t>PL_ZEWD_1412001936_03</t>
  </si>
  <si>
    <t>PL_ZEWD_1412001916_05</t>
  </si>
  <si>
    <t>PL_ZEWD_1412001920_02</t>
  </si>
  <si>
    <t>PL_ZEWD_1412001910_03</t>
  </si>
  <si>
    <t>PL_ZEWD_1412002045_05</t>
  </si>
  <si>
    <t>PL_ZEWD_1412001924_00</t>
  </si>
  <si>
    <t>PL_ZEWD_1412002029_05</t>
  </si>
  <si>
    <t>PL_ZEWD_1412002014_06</t>
  </si>
  <si>
    <t>PL_ZEWD_1412002042_09</t>
  </si>
  <si>
    <t>PL_ZEWD_1412002052_08</t>
  </si>
  <si>
    <t>PL_ZEWD_1412002015_08</t>
  </si>
  <si>
    <t>PL_ZEWD_1412001956_01</t>
  </si>
  <si>
    <t>PL_ZEWD_1412001944_08</t>
  </si>
  <si>
    <t>PL_ZEWD_1412001952_03</t>
  </si>
  <si>
    <t>PL_ZEWD_1412002023_03</t>
  </si>
  <si>
    <t>PL_ZEWD_1412002057_08</t>
  </si>
  <si>
    <t>PL_ZEWD_1412001940_00</t>
  </si>
  <si>
    <t>PL_ZEWD_1412001934_09</t>
  </si>
  <si>
    <t>PL_ZEWD_1412002012_02</t>
  </si>
  <si>
    <t>PL_ZEWD_1412002043_01</t>
  </si>
  <si>
    <t>PL_ZEWD_1412001937_05</t>
  </si>
  <si>
    <t>PL_ZEWD_1412001927_06</t>
  </si>
  <si>
    <t>PL_ZEWD_1412001907_08</t>
  </si>
  <si>
    <t>PL_ZEWD_1412002026_09</t>
  </si>
  <si>
    <t>PL_ZEWD_1412002050_04</t>
  </si>
  <si>
    <t>PL_ZEWD_1412002038_02</t>
  </si>
  <si>
    <t>PL_ZEWD_1412001993_01</t>
  </si>
  <si>
    <t>PL_ZEWD_1412002046_07</t>
  </si>
  <si>
    <t>PL_ZEWD_1412002020_07</t>
  </si>
  <si>
    <t>PL_ZEWD_1412001986_08</t>
  </si>
  <si>
    <t>PL_ZEWD_1412002054_02</t>
  </si>
  <si>
    <t>PL_ZEWD_1412002056_06</t>
  </si>
  <si>
    <t>PL_ZEWD_1412001914_01</t>
  </si>
  <si>
    <t>PL_ZEWD_1412001955_09</t>
  </si>
  <si>
    <t>PL_ZEWD_1412002010_08</t>
  </si>
  <si>
    <t>PL_ZEWD_1412001913_09</t>
  </si>
  <si>
    <t>PL_ZEWD_1412002040_05</t>
  </si>
  <si>
    <t>PL_ZEWD_1412002032_00</t>
  </si>
  <si>
    <t>PL_ZEWD_1412001948_06</t>
  </si>
  <si>
    <t>PL_ZEWD_1412002030_06</t>
  </si>
  <si>
    <t>PL_ZEWD_1412002037_00</t>
  </si>
  <si>
    <t>PL_ZEWD_1412002018_04</t>
  </si>
  <si>
    <t>PL_ZEWD_1412002058_00</t>
  </si>
  <si>
    <t>PL_ZEWD_1412002003_05</t>
  </si>
  <si>
    <t>PL_ZEWD_1412002008_05</t>
  </si>
  <si>
    <t>PL_ZEWD_1412002005_09</t>
  </si>
  <si>
    <t>PL_ZEWD_1412001995_05</t>
  </si>
  <si>
    <t>PL_ZEWD_1412001985_06</t>
  </si>
  <si>
    <t>PL_ZEWD_1412002039_04</t>
  </si>
  <si>
    <t>PL_ZEWD_1412002001_01</t>
  </si>
  <si>
    <t>PL_ZEWD_1412002019_06</t>
  </si>
  <si>
    <t>PL_ZEWD_1412002060_03</t>
  </si>
  <si>
    <t>PL_ZEWD_1412002061_05</t>
  </si>
  <si>
    <t>PL_ZEWD_1412002062_07</t>
  </si>
  <si>
    <t>PL_ZEWD_1412001958_05</t>
  </si>
  <si>
    <t>PL_ZEWD_1412002021_09</t>
  </si>
  <si>
    <t>PL_ZEWD_1412001989_04</t>
  </si>
  <si>
    <t>PL_ZEWD_1412001909_02</t>
  </si>
  <si>
    <t>PL_ZEWD_1412002013_04</t>
  </si>
  <si>
    <t>PL_ZEWD_1412001941_02</t>
  </si>
  <si>
    <t>PL_ZEWD_1412002051_06</t>
  </si>
  <si>
    <t>PL_ZEWD_1412001912_07</t>
  </si>
  <si>
    <t>PL_ZEWD_1412001923_08</t>
  </si>
  <si>
    <t>PL_ZEWD_1412001997_09</t>
  </si>
  <si>
    <t>PL_ZEWD_1412002011_00</t>
  </si>
  <si>
    <t>PL_ZEWD_1412001928_08</t>
  </si>
  <si>
    <t>PL_ZEWD_1412001947_04</t>
  </si>
  <si>
    <t>Hr. Mariana Starzeńskiego</t>
  </si>
  <si>
    <t>oświetlenie drogowe</t>
  </si>
  <si>
    <t>Kołbielska</t>
  </si>
  <si>
    <t>oświetlenie drogowe rondo Stojadła</t>
  </si>
  <si>
    <t>Termin skutecznego wypowiedzenia umowy kompleksowej</t>
  </si>
  <si>
    <t>Oświetlenie ulic</t>
  </si>
  <si>
    <t>Sokólska</t>
  </si>
  <si>
    <t>PL_ZEWD_1412001400_04</t>
  </si>
  <si>
    <t>PL_ZEWD_1412000255_06</t>
  </si>
  <si>
    <t>11-go Listopada/Orla p1</t>
  </si>
  <si>
    <t>Marczewskiego Jędrzeja/Orla p2</t>
  </si>
  <si>
    <t>Dworcowa/Krucza p1</t>
  </si>
  <si>
    <t>Plater Emilii/Okuniewsk p2</t>
  </si>
  <si>
    <t>Grabskiego Stanisława/Kruczkows p3</t>
  </si>
  <si>
    <t>Szkolna/Kruczkows p4</t>
  </si>
  <si>
    <t>Świętojańska/Wspólna p6</t>
  </si>
  <si>
    <t>Piaskowa p5</t>
  </si>
  <si>
    <t>Kędzierak</t>
  </si>
  <si>
    <t>Nr</t>
  </si>
  <si>
    <t>Stara Wieś</t>
  </si>
  <si>
    <t>PL_ZEWD_1412000150_08</t>
  </si>
  <si>
    <t>PL_ZEWD_1412000126_03</t>
  </si>
  <si>
    <t>Kąty</t>
  </si>
  <si>
    <t>PL_ZEWD_1412000158_04</t>
  </si>
  <si>
    <t>Tadeusza Kościuszki</t>
  </si>
  <si>
    <t>Dąbrówka II</t>
  </si>
  <si>
    <t>Dąbrówka I</t>
  </si>
  <si>
    <t>Juliusza Słowackiego</t>
  </si>
  <si>
    <t>2 2</t>
  </si>
  <si>
    <t>PL_ZEWD_1412001368_06</t>
  </si>
  <si>
    <t>PL_ZEWD_1412001390_07</t>
  </si>
  <si>
    <t>PL_ZEWD_1412001369_08</t>
  </si>
  <si>
    <t>PL_ZEWD_1412001322_08</t>
  </si>
  <si>
    <t>PL_ZEWD_1412001352_05</t>
  </si>
  <si>
    <t>PL_ZEWD_1412001427_06</t>
  </si>
  <si>
    <t>PL_ZEWD_1412001329_02</t>
  </si>
  <si>
    <t>PL_ZEWD_1412001426_04</t>
  </si>
  <si>
    <t>PL_ZEWD_1412001324_02</t>
  </si>
  <si>
    <t>PL_ZEWD_1412001346_04</t>
  </si>
  <si>
    <t>PL_ZEWD_1412001349_00</t>
  </si>
  <si>
    <t>PL_ZEWD_1412001348_08</t>
  </si>
  <si>
    <t>PL_ZEWD_1412001344_00</t>
  </si>
  <si>
    <t>PL_ZEWD_1412001339_01</t>
  </si>
  <si>
    <t>PL_ZEWD_1412001326_06</t>
  </si>
  <si>
    <t>PL_ZEWD_1412001340_02</t>
  </si>
  <si>
    <t>PL_ZEWD_1412001357_05</t>
  </si>
  <si>
    <t>PL_ZEWD_1412001343_08</t>
  </si>
  <si>
    <t>PL_ZEWD_1412001338_09</t>
  </si>
  <si>
    <t>PL_ZEWD_1412001353_07</t>
  </si>
  <si>
    <t>PL_ZEWD_1412001351_03</t>
  </si>
  <si>
    <t>PL_ZEWD_1412001347_06</t>
  </si>
  <si>
    <t>PL_ZEWD_1412001318_01</t>
  </si>
  <si>
    <t>PL_ZEWD_1412001312_09</t>
  </si>
  <si>
    <t>PL_ZEWD_1412001358_07</t>
  </si>
  <si>
    <t>PL_ZEWD_1412001314_03</t>
  </si>
  <si>
    <t>PL_ZEWD_1412001336_05</t>
  </si>
  <si>
    <t>PL_ZEWD_1412001321_06</t>
  </si>
  <si>
    <t>PL_ZEWD_1412001356_03</t>
  </si>
  <si>
    <t>Gmina Jakubów</t>
  </si>
  <si>
    <t>PL_ZEWD_1412001311_07</t>
  </si>
  <si>
    <t>PL_ZEWD_1412001319_03</t>
  </si>
  <si>
    <t>PL_ZEWD_1412001342_06</t>
  </si>
  <si>
    <t>PL_ZEWD_1412001323_00</t>
  </si>
  <si>
    <t>PL_ZEWD_1412001333_09</t>
  </si>
  <si>
    <t>PL_ZEWD_1412001315_05</t>
  </si>
  <si>
    <t>PL_ZEWD_1412001335_03</t>
  </si>
  <si>
    <t>PL_ZEWD_1412001365_00</t>
  </si>
  <si>
    <t>PL_ZEWD_1412001317_09</t>
  </si>
  <si>
    <t>PL_ZEWD_1412001308_02</t>
  </si>
  <si>
    <t>PL_ZEWD_1412001328_00</t>
  </si>
  <si>
    <t>PL_ZEWD_1412001334_01</t>
  </si>
  <si>
    <t>PL_ZEWD_1412001320_04</t>
  </si>
  <si>
    <t>PL_ZEWD_1412001330_03</t>
  </si>
  <si>
    <t>PL_ZEWD_1412001309_04</t>
  </si>
  <si>
    <t>PL_ZEWD_1412001327_08</t>
  </si>
  <si>
    <t>PL_ZEWD_1412001325_04</t>
  </si>
  <si>
    <t>PL_ZEWD_1412001313_01</t>
  </si>
  <si>
    <t>PL_ZEWD_1412001316_07</t>
  </si>
  <si>
    <t>PL_ZEWD_1412001332_07</t>
  </si>
  <si>
    <t>PL_ZEWD_1412001310_05</t>
  </si>
  <si>
    <t>PL_ZEWD_1412001350_01</t>
  </si>
  <si>
    <t>PL_ZEWD_1412001341_04</t>
  </si>
  <si>
    <t>PL_ZEWD_1412001331_05</t>
  </si>
  <si>
    <t>PL_ZEWD_1412001429_00</t>
  </si>
  <si>
    <t>Numer</t>
  </si>
  <si>
    <t>Skrzyneckiego</t>
  </si>
  <si>
    <t>Paderewskiego</t>
  </si>
  <si>
    <t>Ruda-Pniewnik</t>
  </si>
  <si>
    <t>Kąty-Borucza</t>
  </si>
  <si>
    <t>Gmina Dobre</t>
  </si>
  <si>
    <t>ul. Kościuszki 1</t>
  </si>
  <si>
    <t>PL_ZEWD_1412001061_08</t>
  </si>
  <si>
    <t>PL_ZEWD_1412001059_05</t>
  </si>
  <si>
    <t>PL_ZEWD_1412001037_03</t>
  </si>
  <si>
    <t>PL_ZEWD_1412001047_02</t>
  </si>
  <si>
    <t>PL_ZEWD_1412001053_03</t>
  </si>
  <si>
    <t>PL_ZEWD_1412001063_02</t>
  </si>
  <si>
    <t>PL_ZEWD_1412001056_09</t>
  </si>
  <si>
    <t>PL_ZEWD_1412001045_08</t>
  </si>
  <si>
    <t>PL_ZEWD_1412001069_04</t>
  </si>
  <si>
    <t>PL_ZEWD_1412001067_00</t>
  </si>
  <si>
    <t>PL_ZEWD_1412001088_00</t>
  </si>
  <si>
    <t>PL_ZEWD_1412001087_08</t>
  </si>
  <si>
    <t>PL_ZEWD_1412001051_09</t>
  </si>
  <si>
    <t>PL_ZEWD_1412001068_02</t>
  </si>
  <si>
    <t>PL_ZEWD_1412001064_04</t>
  </si>
  <si>
    <t>PL_ZEWD_1412001062_00</t>
  </si>
  <si>
    <t>PL_ZEWD_1412001019_09</t>
  </si>
  <si>
    <t>PL_ZEWD_1412001257_07</t>
  </si>
  <si>
    <t>PL_ZEWD_1412001039_07</t>
  </si>
  <si>
    <t>PL_ZEWD_1412001034_07</t>
  </si>
  <si>
    <t>PL_ZEWD_1412001081_06</t>
  </si>
  <si>
    <t>PL_ZEWD_1412001050_07</t>
  </si>
  <si>
    <t>PL_ZEWD_1412001055_07</t>
  </si>
  <si>
    <t>PL_ZEWD_1412001070_05</t>
  </si>
  <si>
    <t>PL_ZEWD_1412001057_01</t>
  </si>
  <si>
    <t>PL_ZEWD_1412001032_03</t>
  </si>
  <si>
    <t>PL_ZEWD_1412001029_08</t>
  </si>
  <si>
    <t>PL_ZEWD_1412001036_01</t>
  </si>
  <si>
    <t>Czarna</t>
  </si>
  <si>
    <t>PL_ZEWD_1412001071_07</t>
  </si>
  <si>
    <t>PL_ZEWD_1412001030_09</t>
  </si>
  <si>
    <t>PL_ZEWD_1412001490_05</t>
  </si>
  <si>
    <t>PL_ZEWD_1412001028_06</t>
  </si>
  <si>
    <t>PL_ZEWD_1412001027_04</t>
  </si>
  <si>
    <t>PL_ZEWD_1412001085_04</t>
  </si>
  <si>
    <t>PL_ZEWD_1412001078_01</t>
  </si>
  <si>
    <t>PL_ZEWD_1412001038_05</t>
  </si>
  <si>
    <t>PL_ZEWD_1412001049_06</t>
  </si>
  <si>
    <t>PL_ZEWD_1412001065_06</t>
  </si>
  <si>
    <t>PL_ZEWD_1412001044_06</t>
  </si>
  <si>
    <t>PL_ZEWD_1412001083_00</t>
  </si>
  <si>
    <t>PL_ZEWD_1412001040_08</t>
  </si>
  <si>
    <t>PL_ZEWD_1412001046_00</t>
  </si>
  <si>
    <t>PL_ZEWD_1412001054_05</t>
  </si>
  <si>
    <t>PL_ZEWD_1412001042_02</t>
  </si>
  <si>
    <t>PL_ZEWD_1412001041_00</t>
  </si>
  <si>
    <t>PL_ZEWD_1412001043_04</t>
  </si>
  <si>
    <t>PL_ZEWD_1412001031_01</t>
  </si>
  <si>
    <t>PL_ZEWD_1412001033_05</t>
  </si>
  <si>
    <t>PL_ZEWD_1412001077_09</t>
  </si>
  <si>
    <t>PL_ZEWD_1412001072_09</t>
  </si>
  <si>
    <t>PL_ZEWD_1412001060_06</t>
  </si>
  <si>
    <t>PL_ZEWD_1412001076_07</t>
  </si>
  <si>
    <t>PL_ZEWD_1412001035_09</t>
  </si>
  <si>
    <t>PL_ZEWD_1412001022_04</t>
  </si>
  <si>
    <t>Kolonie Stanisaławów</t>
  </si>
  <si>
    <t>Stefana Okrzei</t>
  </si>
  <si>
    <t>Stefana Kardynała Wyszyńskiego</t>
  </si>
  <si>
    <t>Stanisława Brzóski</t>
  </si>
  <si>
    <t>Małopolska</t>
  </si>
  <si>
    <t>Franciszka Żwirki</t>
  </si>
  <si>
    <t>Adama Mickiewicza</t>
  </si>
  <si>
    <t>Marii Grochowskiej</t>
  </si>
  <si>
    <t>Józefa Mireckiego</t>
  </si>
  <si>
    <t>Mariana Langiewicza</t>
  </si>
  <si>
    <t>Bolesława Limanowskiego</t>
  </si>
  <si>
    <t>Szarych Szeregów</t>
  </si>
  <si>
    <t>Zygmunta Kazikowskiego</t>
  </si>
  <si>
    <t>Marii Konopnickiej</t>
  </si>
  <si>
    <t>Ignacego Krasickiego</t>
  </si>
  <si>
    <t>Mikołaja Kopernika</t>
  </si>
  <si>
    <t>gen. Kazimierza Sosnkowskiego</t>
  </si>
  <si>
    <t>por. Władysława Klimaszewskiego</t>
  </si>
  <si>
    <t>Marcina Borelowskiego</t>
  </si>
  <si>
    <t>Jana Łupińskiego</t>
  </si>
  <si>
    <t>Kiczki Pierwsze</t>
  </si>
  <si>
    <t>PL_ZEWD_1412000480_09</t>
  </si>
  <si>
    <t>PL_ZEWD_1412000482_03</t>
  </si>
  <si>
    <t>PL_ZEWD_1412002148_09</t>
  </si>
  <si>
    <t>PL_ZEWD_1412000487_03</t>
  </si>
  <si>
    <t>Huta Kuflewska</t>
  </si>
  <si>
    <t>PL_ZEWD_1412000488_05</t>
  </si>
  <si>
    <t>PL_ZEWD_1412000489_07</t>
  </si>
  <si>
    <t>PL_ZEWD_1412000490_08</t>
  </si>
  <si>
    <t>PL_ZEWD_1412000491_00</t>
  </si>
  <si>
    <t>PL_ZEWD_1412000478_06</t>
  </si>
  <si>
    <t>PL_ZEWD_1412000479_08</t>
  </si>
  <si>
    <t>Kiczki Pierwsze I</t>
  </si>
  <si>
    <t>PL_ZEWD_1412000481_01</t>
  </si>
  <si>
    <t>Kiczki Drugie II</t>
  </si>
  <si>
    <t>PL_ZEWD_1412000483_05</t>
  </si>
  <si>
    <t>PL_ZEWD_1412000484_07</t>
  </si>
  <si>
    <t>PL_ZEWD_1412000485_09</t>
  </si>
  <si>
    <t>PL_ZEWD_1412000486_01</t>
  </si>
  <si>
    <t>PL_ZEWD_1412000517_08</t>
  </si>
  <si>
    <t>PL_ZEWD_1412000492_02</t>
  </si>
  <si>
    <t>PL_ZEWD_1412000493_04</t>
  </si>
  <si>
    <t>PL_ZEWD_1412000494_06</t>
  </si>
  <si>
    <t>PL_ZEWD_1412000495_08</t>
  </si>
  <si>
    <t>PL_ZEWD_1412000496_00</t>
  </si>
  <si>
    <t>PL_ZEWD_1412000497_02</t>
  </si>
  <si>
    <t>PL_ZEWD_1412000498_04</t>
  </si>
  <si>
    <t>Partyzantów</t>
  </si>
  <si>
    <t>PL_ZEWD_1412000499_06</t>
  </si>
  <si>
    <t>Willowa</t>
  </si>
  <si>
    <t>PL_ZEWD_1412000500_05</t>
  </si>
  <si>
    <t>Henryka Sienkiewicza</t>
  </si>
  <si>
    <t>PL_ZEWD_1412000501_07</t>
  </si>
  <si>
    <t>Bolesława Prusa</t>
  </si>
  <si>
    <t>PL_ZEWD_1412000502_09</t>
  </si>
  <si>
    <t>PL_ZEWD_1412000503_01</t>
  </si>
  <si>
    <t>Józefa Piłsudskiego</t>
  </si>
  <si>
    <t>PL_ZEWD_1412000504_03</t>
  </si>
  <si>
    <t>PL_ZEWD_1412000505_05</t>
  </si>
  <si>
    <t>PL_ZEWD_1412000506_07</t>
  </si>
  <si>
    <t>PL_ZEWD_1412000507_09</t>
  </si>
  <si>
    <t>PL_ZEWD_1412000508_01</t>
  </si>
  <si>
    <t>PL_ZEWD_1412000509_03</t>
  </si>
  <si>
    <t>PL_ZEWD_1412000510_04</t>
  </si>
  <si>
    <t>PL_ZEWD_1412000511_06</t>
  </si>
  <si>
    <t>PL_ZEWD_1412000512_08</t>
  </si>
  <si>
    <t>PL_ZEWD_1412000513_00</t>
  </si>
  <si>
    <t>PL_ZEWD_1412000514_02</t>
  </si>
  <si>
    <t>PL_ZEWD_1412000515_04</t>
  </si>
  <si>
    <t>PL_ZEWD_1412000516_06</t>
  </si>
  <si>
    <t>PL_ZEWD_1412000518_00</t>
  </si>
  <si>
    <t>PL_ZEWD_1412000519_02</t>
  </si>
  <si>
    <t>PL_ZEWD_1412000520_03</t>
  </si>
  <si>
    <t>PL_ZEWD_1412000521_05</t>
  </si>
  <si>
    <t>PL_ZEWD_1412000522_07</t>
  </si>
  <si>
    <t>PL_ZEWD_1412000523_09</t>
  </si>
  <si>
    <t>PL_ZEWD_1412000527_07</t>
  </si>
  <si>
    <t>PL_ZEWD_1412000524_01</t>
  </si>
  <si>
    <t>PL_ZEWD_1412000525_03</t>
  </si>
  <si>
    <t>PL_ZEWD_1412000526_05</t>
  </si>
  <si>
    <t>Tymoteuszew</t>
  </si>
  <si>
    <t>Teodora Dunina</t>
  </si>
  <si>
    <t>Natolin</t>
  </si>
  <si>
    <t>PL_ZEWD_1412001123_04</t>
  </si>
  <si>
    <t>PL_ZEWD_1412002102_01</t>
  </si>
  <si>
    <t>Wola Rafałowska</t>
  </si>
  <si>
    <t>Sielska</t>
  </si>
  <si>
    <t>PL_ZEWD_1412002103_03</t>
  </si>
  <si>
    <t>22 I</t>
  </si>
  <si>
    <t>Łukówiec</t>
  </si>
  <si>
    <t>PL_ZEWD_1412001476_09</t>
  </si>
  <si>
    <t>PL_ZEWD_1412001445_00</t>
  </si>
  <si>
    <t>PL_ZEWD_1412001447_04</t>
  </si>
  <si>
    <t>PL_ZEWD_1412001448_06</t>
  </si>
  <si>
    <t>PL_ZEWD_1412001477_01</t>
  </si>
  <si>
    <t>PL_ZEWD_1412001479_05</t>
  </si>
  <si>
    <t>PL_ZEWD_1412001501_04</t>
  </si>
  <si>
    <t>PL_ZEWD_1412001480_06</t>
  </si>
  <si>
    <t>PL_ZEWD_1412001521_02</t>
  </si>
  <si>
    <t>PL_ZEWD_1412001516_03</t>
  </si>
  <si>
    <t>PL_ZEWD_1412001617_03</t>
  </si>
  <si>
    <t>PL_ZEWD_1412001522_04</t>
  </si>
  <si>
    <t>PL_ZEWD_1412001456_01</t>
  </si>
  <si>
    <t>PL_ZEWD_1412001553_03</t>
  </si>
  <si>
    <t>PL_ZEWD_1412001559_05</t>
  </si>
  <si>
    <t>PL_ZEWD_1412001561_08</t>
  </si>
  <si>
    <t>PL_ZEWD_1412001623_04</t>
  </si>
  <si>
    <t>PL_ZEWD_1412001552_01</t>
  </si>
  <si>
    <t>PL_ZEWD_1412001564_04</t>
  </si>
  <si>
    <t>PL_ZEWD_1412001562_00</t>
  </si>
  <si>
    <t>PL_ZEWD_1412001557_01</t>
  </si>
  <si>
    <t>PL_ZEWD_1412001611_01</t>
  </si>
  <si>
    <t>PL_ZEWD_1412001573_01</t>
  </si>
  <si>
    <t>PL_ZEWD_1412001622_02</t>
  </si>
  <si>
    <t>PL_ZEWD_1412001616_01</t>
  </si>
  <si>
    <t>PL_ZEWD_1412001620_08</t>
  </si>
  <si>
    <t>PL_ZEWD_1412001614_07</t>
  </si>
  <si>
    <t>PL_ZEWD_1412001621_00</t>
  </si>
  <si>
    <t>PL_ZEWD_1412001565_06</t>
  </si>
  <si>
    <t>PL_ZEWD_1412001558_03</t>
  </si>
  <si>
    <t>PL_ZEWD_1412001578_01</t>
  </si>
  <si>
    <t>PL_ZEWD_1412001577_09</t>
  </si>
  <si>
    <t>PL_ZEWD_1412001576_07</t>
  </si>
  <si>
    <t>PL_ZEWD_1412001624_06</t>
  </si>
  <si>
    <t>PL_ZEWD_1412001598_09</t>
  </si>
  <si>
    <t>PL_ZEWD_1412001575_05</t>
  </si>
  <si>
    <t>PL_ZEWD_1412001563_02</t>
  </si>
  <si>
    <t>PL_ZEWD_1412001572_09</t>
  </si>
  <si>
    <t>PL_ZEWD_1412001606_02</t>
  </si>
  <si>
    <t>PL_ZEWD_1412001604_08</t>
  </si>
  <si>
    <t>PL_ZEWD_1412001551_09</t>
  </si>
  <si>
    <t>PL_ZEWD_1412001607_04</t>
  </si>
  <si>
    <t>PL_ZEWD_1412001457_03</t>
  </si>
  <si>
    <t>PL_ZEWD_1412001615_09</t>
  </si>
  <si>
    <t>PL_ZEWD_1412001773_07</t>
  </si>
  <si>
    <t>PL_ZEWD_1412001739_03</t>
  </si>
  <si>
    <t>PL_ZEWD_1412001792_03</t>
  </si>
  <si>
    <t>PL_ZEWD_1412001781_02</t>
  </si>
  <si>
    <t>PL_ZEWD_1412001772_05</t>
  </si>
  <si>
    <t>PL_ZEWD_1412001799_07</t>
  </si>
  <si>
    <t>PL_ZEWD_1412001743_00</t>
  </si>
  <si>
    <t>PL_ZEWD_1412001780_00</t>
  </si>
  <si>
    <t>PL_ZEWD_1412001745_04</t>
  </si>
  <si>
    <t>PL_ZEWD_1412002087_05</t>
  </si>
  <si>
    <t>PL_ZEWD_1412001744_02</t>
  </si>
  <si>
    <t>PL_ZEWD_1412001760_02</t>
  </si>
  <si>
    <t>PL_ZEWD_1412001738_01</t>
  </si>
  <si>
    <t>PL_ZEWD_1412001747_08</t>
  </si>
  <si>
    <t>PL_ZEWD_1412001786_02</t>
  </si>
  <si>
    <t>PL_ZEWD_1412001741_06</t>
  </si>
  <si>
    <t>PL_ZEWD_1412001728_02</t>
  </si>
  <si>
    <t>PL_ZEWD_1412001721_08</t>
  </si>
  <si>
    <t>PL_ZEWD_1412001715_07</t>
  </si>
  <si>
    <t>PL_ZEWD_1412001736_07</t>
  </si>
  <si>
    <t>PL_ZEWD_1412001725_06</t>
  </si>
  <si>
    <t>PL_ZEWD_1412001724_04</t>
  </si>
  <si>
    <t>PL_ZEWD_1412001716_09</t>
  </si>
  <si>
    <t>PL_ZEWD_1412001723_02</t>
  </si>
  <si>
    <t>PL_ZEWD_1412001718_03</t>
  </si>
  <si>
    <t>PL_ZEWD_1412001733_01</t>
  </si>
  <si>
    <t>PL_ZEWD_1412001731_07</t>
  </si>
  <si>
    <t>PL_ZEWD_1412001713_03</t>
  </si>
  <si>
    <t>PL_ZEWD_1412001717_01</t>
  </si>
  <si>
    <t>PL_ZEWD_1412001726_08</t>
  </si>
  <si>
    <t>PL_ZEWD_1412001730_05</t>
  </si>
  <si>
    <t>PL_ZEWD_1412001729_04</t>
  </si>
  <si>
    <t>PL_ZEWD_1412001714_05</t>
  </si>
  <si>
    <t>PL_ZEWD_1412001735_05</t>
  </si>
  <si>
    <t>PL_ZEWD_1412001734_03</t>
  </si>
  <si>
    <t>PL_ZEWD_1412001737_09</t>
  </si>
  <si>
    <t>PL_ZEWD_1412001712_01</t>
  </si>
  <si>
    <t>PL_ZEWD_1412001732_09</t>
  </si>
  <si>
    <t>PL_ZEWD_1412001727_00</t>
  </si>
  <si>
    <t>PL_ZEWD_1412001722_00</t>
  </si>
  <si>
    <t>PL_ZEWD_1412001711_09</t>
  </si>
  <si>
    <t>PL_ZEWD_1412001763_08</t>
  </si>
  <si>
    <t>PL_ZEWD_1412001746_06</t>
  </si>
  <si>
    <t>PL_ZEWD_1412001784_08</t>
  </si>
  <si>
    <t>PL_ZEWD_1412001797_03</t>
  </si>
  <si>
    <t>PL_ZEWD_1412001770_01</t>
  </si>
  <si>
    <t>PL_ZEWD_1412001757_07</t>
  </si>
  <si>
    <t>PL_ZEWD_1412002088_07</t>
  </si>
  <si>
    <t>PL_ZEWD_1412001740_04</t>
  </si>
  <si>
    <t>PL_ZEWD_1412001779_09</t>
  </si>
  <si>
    <t>PL_ZEWD_1412002133_00</t>
  </si>
  <si>
    <t>PL_ZEWD_1412002092_04</t>
  </si>
  <si>
    <t>PL_ZEWD_1412001758_09</t>
  </si>
  <si>
    <t>PL_ZEWD_1412001769_00</t>
  </si>
  <si>
    <t>PL_ZEWD_1412001774_09</t>
  </si>
  <si>
    <t>PL_ZEWD_1412001802_00</t>
  </si>
  <si>
    <t>PL_ZEWD_1412001742_08</t>
  </si>
  <si>
    <t>PL_ZEWD_1412001768_08</t>
  </si>
  <si>
    <t>PL_ZEWD_1412001798_05</t>
  </si>
  <si>
    <t>PL_ZEWD_1412001764_00</t>
  </si>
  <si>
    <t>PL_ZEWD_1412001759_01</t>
  </si>
  <si>
    <t>PL_ZEWD_1412001790_09</t>
  </si>
  <si>
    <t>PL_ZEWD_1412001782_04</t>
  </si>
  <si>
    <t>PL_ZEWD_1412001752_07</t>
  </si>
  <si>
    <t>PL_ZEWD_1412001720_06</t>
  </si>
  <si>
    <t>PL_ZEWD_1412001755_03</t>
  </si>
  <si>
    <t>PL_ZEWD_1412001793_05</t>
  </si>
  <si>
    <t>PL_ZEWD_1412001787_04</t>
  </si>
  <si>
    <t>PL_ZEWD_1412001719_05</t>
  </si>
  <si>
    <t>Królewska</t>
  </si>
  <si>
    <t>PL_ZEWD_1412001794_07</t>
  </si>
  <si>
    <t>PL_ZEWD_1412001754_01</t>
  </si>
  <si>
    <t>PL_ZEWD_1412001762_06</t>
  </si>
  <si>
    <t>PL_ZEWD_1412001753_09</t>
  </si>
  <si>
    <t>PL_ZEWD_1412002271_00</t>
  </si>
  <si>
    <t>PL_ZEWD_1412001776_03</t>
  </si>
  <si>
    <t>PL_ZEWD_1412001796_01</t>
  </si>
  <si>
    <t>PL_ZEWD_1412001785_00</t>
  </si>
  <si>
    <t>PL_ZEWD_1412001775_01</t>
  </si>
  <si>
    <t>Morelowa</t>
  </si>
  <si>
    <t>PL_ZEWD_1412002071_04</t>
  </si>
  <si>
    <t>PL_ZEWD_1412002072_06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</si>
  <si>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</si>
  <si>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Powstania Styczniowego/ Mickiew.</t>
  </si>
  <si>
    <t>kolejności zmiany sprzedawcy</t>
  </si>
  <si>
    <t>Miasto Sulejówek</t>
  </si>
  <si>
    <t>05-070 Sulejówek</t>
  </si>
  <si>
    <t>Dźwigowa</t>
  </si>
  <si>
    <t>dz.4004/35</t>
  </si>
  <si>
    <t>NIP:</t>
  </si>
  <si>
    <t>Gmina Stanisławów</t>
  </si>
  <si>
    <t>ul. Rynek 32</t>
  </si>
  <si>
    <t>05-304 Stanisławów</t>
  </si>
  <si>
    <t>URD:</t>
  </si>
  <si>
    <t>GMMR_D02_O_00000242</t>
  </si>
  <si>
    <t>PL_ZEWD_1412002488_09</t>
  </si>
  <si>
    <t>Kąty Goździejewskie Pierwsze</t>
  </si>
  <si>
    <t>PL_ZEWD_1412002444_05</t>
  </si>
  <si>
    <t>PL_ZEWD_1412002543_01</t>
  </si>
  <si>
    <t>Janusza Korczaka</t>
  </si>
  <si>
    <t>PL_ZEWD_1412002546_07</t>
  </si>
  <si>
    <t>PL_ZEWD_1412002541_07</t>
  </si>
  <si>
    <t>Choszczówka Stojecka</t>
  </si>
  <si>
    <t>Choszczówka Dębska</t>
  </si>
  <si>
    <t>PL_ZEWD_1412002545_05</t>
  </si>
  <si>
    <t>PL_ZEWD_1412002542_09</t>
  </si>
  <si>
    <t>PL_ZEWD_1412002544_03</t>
  </si>
  <si>
    <t>Ostrów- Kania</t>
  </si>
  <si>
    <t>Gorzanka</t>
  </si>
  <si>
    <t>dz.557</t>
  </si>
  <si>
    <t>dz.289/1</t>
  </si>
  <si>
    <t>GMIN_ZEWD_O_00017</t>
  </si>
  <si>
    <t>Kazimierza i Hipolity Gnoińskich</t>
  </si>
  <si>
    <t>GMIN_ZEWD_O_00099</t>
  </si>
  <si>
    <t>PL_ZEWD_1412002443_03</t>
  </si>
  <si>
    <t>PL_ZEWD_1412002445_07</t>
  </si>
  <si>
    <t>Wesoła</t>
  </si>
  <si>
    <t>Boisko</t>
  </si>
  <si>
    <t>Wiatraczna</t>
  </si>
  <si>
    <t>Brzezińska</t>
  </si>
  <si>
    <t>Polna/Jaśminowa</t>
  </si>
  <si>
    <t>Sportowa</t>
  </si>
  <si>
    <t>PGR</t>
  </si>
  <si>
    <t>PL_ZEWD_1412001084_02</t>
  </si>
  <si>
    <t>PL_ZEWD_1412001058_03</t>
  </si>
  <si>
    <t>PL_ZEWD_1412002509_07</t>
  </si>
  <si>
    <t>PL_ZEWD_1412001073_01</t>
  </si>
  <si>
    <t>PL_ZEWD_1412002514_06</t>
  </si>
  <si>
    <t>PL_ZEWD_1412002511_00</t>
  </si>
  <si>
    <t>PL_ZEWD_1412002508_05</t>
  </si>
  <si>
    <t>GMIN_ZEWD_O_00038</t>
  </si>
  <si>
    <t>Ciopan</t>
  </si>
  <si>
    <t>Antoniego Kuźniarskiego</t>
  </si>
  <si>
    <t>GMIN_ZEWD_O_00018</t>
  </si>
  <si>
    <t>UGDO_D0_O_00000205</t>
  </si>
  <si>
    <t>Rąbierz- Kolonia</t>
  </si>
  <si>
    <t>Sąchocin</t>
  </si>
  <si>
    <t>Makówiec Mały</t>
  </si>
  <si>
    <t>Sikorskiego</t>
  </si>
  <si>
    <t>PL_ZEWD_1412002518_04</t>
  </si>
  <si>
    <t>PL_ZEWD_1412002520_07</t>
  </si>
  <si>
    <t>PL_ZEWD_1412002519_06</t>
  </si>
  <si>
    <t>Jana Huberta</t>
  </si>
  <si>
    <t>PL_ZEWD_1412002463_01</t>
  </si>
  <si>
    <t>PL_ZEWD_1412002466_07</t>
  </si>
  <si>
    <t>PL_ZEWD_1412002464_03</t>
  </si>
  <si>
    <t>PL_ZEWD_1412001200_08</t>
  </si>
  <si>
    <t>PL_ZEWD_1412002462_09</t>
  </si>
  <si>
    <t>PL_ZEWD_1412002460_05</t>
  </si>
  <si>
    <t>Oświetlnie uliczne</t>
  </si>
  <si>
    <t>Borek Miński</t>
  </si>
  <si>
    <t>PL_ZEWD_1412002499_00</t>
  </si>
  <si>
    <t>PL_ZEWD_1412002498_08</t>
  </si>
  <si>
    <t>ul. Mińska 15</t>
  </si>
  <si>
    <t>GMIN_ZEWD_O_00068</t>
  </si>
  <si>
    <t>Załącznik nr 1a do SIWZ - Oświetlenie dróg i placów</t>
  </si>
  <si>
    <t>Podział na strefy czasowe</t>
  </si>
  <si>
    <t>Całodobowa              [kWh]</t>
  </si>
  <si>
    <t xml:space="preserve">Szczyt                                [kWh] </t>
  </si>
  <si>
    <t>Pozaszczyt               [kWh]</t>
  </si>
  <si>
    <t>Dzień                            [kWh]</t>
  </si>
  <si>
    <t>Noc                                     [Kwh]</t>
  </si>
  <si>
    <t>Łącznie:</t>
  </si>
  <si>
    <t>PL_ZEWD_1412002732_06</t>
  </si>
  <si>
    <t>Makówiec Duży</t>
  </si>
  <si>
    <t>PL_ZEWD_1412002706_07</t>
  </si>
  <si>
    <t>Liczba PPE w podziale na grupy taryfowe</t>
  </si>
  <si>
    <t>PL_ZEWD_1412003298_09</t>
  </si>
  <si>
    <t>PL_ZEWD_1412003166_00</t>
  </si>
  <si>
    <t>Polna i Południowa</t>
  </si>
  <si>
    <t>PL_ZEWD_1412003248_04</t>
  </si>
  <si>
    <t>PL_ZEWD_1412003247_02</t>
  </si>
  <si>
    <t>Pustelnicka</t>
  </si>
  <si>
    <t>PL_ZEWD_1412003249_06</t>
  </si>
  <si>
    <t>PL_ZEWD_1412003250_07</t>
  </si>
  <si>
    <t>Sosnowa</t>
  </si>
  <si>
    <t>PL_ZEWD_1412003279_03</t>
  </si>
  <si>
    <t>PL_ZEWD_1412003177_01</t>
  </si>
  <si>
    <t>Księcia Józefa Poniatowskiego</t>
  </si>
  <si>
    <t>PL_ZEWD_1412003239_07</t>
  </si>
  <si>
    <t>PL_ZEWD_1412003238_05</t>
  </si>
  <si>
    <t>PL_ZEWD_1412001610_09</t>
  </si>
  <si>
    <t>0708</t>
  </si>
  <si>
    <t>PL_ZEWD_1412003246_00</t>
  </si>
  <si>
    <t>PL_ZEWD_1412003242_02</t>
  </si>
  <si>
    <t>PL_ZEWD_1412003241_00</t>
  </si>
  <si>
    <t>PL_ZEWD_1412003245_08</t>
  </si>
  <si>
    <t>PL_ZEWD_1412003240_08</t>
  </si>
  <si>
    <t>PL_ZEWD_1412003243_04</t>
  </si>
  <si>
    <t>PL_ZEWD_1412003244_06</t>
  </si>
  <si>
    <t>Konik Stary</t>
  </si>
  <si>
    <t>Trakt Brzeski</t>
  </si>
  <si>
    <t>przy nr 7</t>
  </si>
  <si>
    <t>obok st.1167</t>
  </si>
  <si>
    <t>Nowe Zalesie</t>
  </si>
  <si>
    <t>PL_ZEWD_1412003377_07</t>
  </si>
  <si>
    <t>Lasomin</t>
  </si>
  <si>
    <t>PL_ZEWD_1412003378_09</t>
  </si>
  <si>
    <t>PL_ZEWD_1412003379_01</t>
  </si>
  <si>
    <t>PL_ZEWD_1412002141_05</t>
  </si>
  <si>
    <t>PL_ZEWD_1412003179_05</t>
  </si>
  <si>
    <t>PL_ZEWD_1412002144_01</t>
  </si>
  <si>
    <t>PL_ZEWD_1412002516_00</t>
  </si>
  <si>
    <t>PL_ZEWD_1412003202_06</t>
  </si>
  <si>
    <t>GMIN_ZEWD_O_00058</t>
  </si>
  <si>
    <t>PL_ZEWD_1412003258_03</t>
  </si>
  <si>
    <t>PL_ZEWD_1412003262_00</t>
  </si>
  <si>
    <t>PL_ZEWD_1412003259_05</t>
  </si>
  <si>
    <t>PL_ZEWD_1412003264_04</t>
  </si>
  <si>
    <t>PL_ZEWD_1412003261_08</t>
  </si>
  <si>
    <t>PL_ZEWD_1412003263_02</t>
  </si>
  <si>
    <t>05-335 Latowicz</t>
  </si>
  <si>
    <t>Gmina Cegłów</t>
  </si>
  <si>
    <t>MIAS_ZEWD_O_00013</t>
  </si>
  <si>
    <t>Miłosna</t>
  </si>
  <si>
    <t>Bema Józefa</t>
  </si>
  <si>
    <t>Trafo 0949</t>
  </si>
  <si>
    <t xml:space="preserve">Czynu Społecznego Andersa </t>
  </si>
  <si>
    <t>PL_ZEWD_1412003157_03</t>
  </si>
  <si>
    <t>PL_ZEWD_1412003158_05</t>
  </si>
  <si>
    <t>PL_PKPE_1412000542_05</t>
  </si>
  <si>
    <t>Oświetlenie podjazdu do budynku dworca</t>
  </si>
  <si>
    <t>GMIN_ZEWD_O_00083</t>
  </si>
  <si>
    <t>822-215-88-23</t>
  </si>
  <si>
    <t>PL_ZEWD_1412003632_05</t>
  </si>
  <si>
    <t>Termin obowiązywania umowy kompleksowej</t>
  </si>
  <si>
    <t>Szyszkowa</t>
  </si>
  <si>
    <t>PL_ZEWD_1412003674_05</t>
  </si>
  <si>
    <t>PL_ZEWD_1412003675_07</t>
  </si>
  <si>
    <t>PL_ZEWD_1412003671_09</t>
  </si>
  <si>
    <t>PL_ZEWD_1412003670_07</t>
  </si>
  <si>
    <t>PL_ZEWD_1412003673_03</t>
  </si>
  <si>
    <t>PL_ZEWD_1412003621_04</t>
  </si>
  <si>
    <t>Ul. Konstytucji 3-go Maja 1</t>
  </si>
  <si>
    <t>822-214-65-99</t>
  </si>
  <si>
    <t>Ośiwetlenie uliczne</t>
  </si>
  <si>
    <t>dz. 2649/3, 2657/3, 2649/1</t>
  </si>
  <si>
    <t>31 grudnia 2016</t>
  </si>
  <si>
    <t>Gołębiowskiego</t>
  </si>
  <si>
    <t>Sposób wypowiedzenia umowy kompleksowej</t>
  </si>
  <si>
    <t>103 Batalionu Strzelców</t>
  </si>
  <si>
    <t>Błękitna</t>
  </si>
  <si>
    <t>dz. 116, 119, 123, 128, 132, 135, 137, 140</t>
  </si>
  <si>
    <t xml:space="preserve">Budy </t>
  </si>
  <si>
    <t xml:space="preserve">Dębe </t>
  </si>
  <si>
    <t>PL_ZEWD_1412003610_03</t>
  </si>
  <si>
    <t>dz.362</t>
  </si>
  <si>
    <t>Wólka Wybraniecka</t>
  </si>
  <si>
    <t xml:space="preserve">Gmina Kałuszyn </t>
  </si>
  <si>
    <t>Szczegółowy Opis Przedmiotu Zamówienia - Gmina Kotuń</t>
  </si>
  <si>
    <t>08-130</t>
  </si>
  <si>
    <t>Kotuń</t>
  </si>
  <si>
    <t>Gmina Kotuń</t>
  </si>
  <si>
    <t>ul. Siedlecka 56c</t>
  </si>
  <si>
    <t>GMIN_ZEWD_O_00124</t>
  </si>
  <si>
    <t>PL_ZEWD_1426000681_06</t>
  </si>
  <si>
    <t xml:space="preserve">Niechnabrz </t>
  </si>
  <si>
    <t>PL_ZEWD_1426000688_00</t>
  </si>
  <si>
    <t>PL_ZEWD_1426000650_07</t>
  </si>
  <si>
    <t>Kępa Żeliszewska</t>
  </si>
  <si>
    <t>PL_ZEWD_1426000686_06</t>
  </si>
  <si>
    <t>Koszewnica</t>
  </si>
  <si>
    <t>PL_ZEWD_1426000744_04</t>
  </si>
  <si>
    <t>Krępa</t>
  </si>
  <si>
    <t>PL_ZEWD_1426000743_02</t>
  </si>
  <si>
    <t>Pieńki Jagodzińskie</t>
  </si>
  <si>
    <t>PL_ZEWD_1426000692_07</t>
  </si>
  <si>
    <t>PL_ZEWD_1426000693_09</t>
  </si>
  <si>
    <t>Oleksin</t>
  </si>
  <si>
    <t>PL_ZEWD_1426001143_01</t>
  </si>
  <si>
    <t>PL_ZEWD_1426000677_09</t>
  </si>
  <si>
    <t>Lbinów</t>
  </si>
  <si>
    <t>PL_ZEWD_1426000674_03</t>
  </si>
  <si>
    <t>PL_ZEWD_1426000658_03</t>
  </si>
  <si>
    <t>Ryczyca</t>
  </si>
  <si>
    <t>PL_ZEWD_1426000694_01</t>
  </si>
  <si>
    <t>Albinów</t>
  </si>
  <si>
    <t>PL_ZEWD_1426001007_05</t>
  </si>
  <si>
    <t>PL_ZEWD_1426000671_07</t>
  </si>
  <si>
    <t>Sosnowe</t>
  </si>
  <si>
    <t>PL_ZEWD_1426000666_08</t>
  </si>
  <si>
    <t>Pieróg</t>
  </si>
  <si>
    <t>PL_ZEWD_1426000712_03</t>
  </si>
  <si>
    <t>PL_ZEWD_1426000652_01</t>
  </si>
  <si>
    <t>Trzemuszka</t>
  </si>
  <si>
    <t>PL_ZEWD_1426000682_08</t>
  </si>
  <si>
    <t>Żeliszew Duży</t>
  </si>
  <si>
    <t>PL_ZEWD_1426000667_00</t>
  </si>
  <si>
    <t>PL_ZEWD_1426000653_03</t>
  </si>
  <si>
    <t>PL_ZEWD_1426000649_06</t>
  </si>
  <si>
    <t>Czarnowąż</t>
  </si>
  <si>
    <t>PL_ZEWD_1426001621_09</t>
  </si>
  <si>
    <t>Polaki</t>
  </si>
  <si>
    <t>PL_ZEWD_1426000691_05</t>
  </si>
  <si>
    <t>Broszków</t>
  </si>
  <si>
    <t>PL_ZEWD_1426000890_09</t>
  </si>
  <si>
    <t>Gręzów</t>
  </si>
  <si>
    <t>PL_ZEWD_1426000690_03</t>
  </si>
  <si>
    <t>PL_ZEWD_1426000689_02</t>
  </si>
  <si>
    <t>Wiesława Walczewskiego</t>
  </si>
  <si>
    <t>PL_ZEWD_1426000909_04</t>
  </si>
  <si>
    <t>PL_ZEWD_1426000907_00</t>
  </si>
  <si>
    <t>Cisie Zagródzie</t>
  </si>
  <si>
    <t>PL_ZEWD_1426000680_04</t>
  </si>
  <si>
    <t>Nowa Dąbrówka</t>
  </si>
  <si>
    <t>PL_ZEWD_1426000687_08</t>
  </si>
  <si>
    <t>VII</t>
  </si>
  <si>
    <t>PL_ZEWD_1426000905_06</t>
  </si>
  <si>
    <t>PL_ZEWD_1426000914_03</t>
  </si>
  <si>
    <t>Oświetlenie uliczne - oczyszczalnia</t>
  </si>
  <si>
    <t>PL_ZEWD_1426000903_02</t>
  </si>
  <si>
    <t>PL_ZEWD_1426000684_02</t>
  </si>
  <si>
    <t>PL_ZEWD_1426000902_00</t>
  </si>
  <si>
    <t>PL_ZEWD_1426000901_08</t>
  </si>
  <si>
    <t>PL_ZEWD_1426000892_03</t>
  </si>
  <si>
    <t>Weterynaryjna</t>
  </si>
  <si>
    <t>PL_ZEWD_1426000709_08</t>
  </si>
  <si>
    <t>PL_ZEWD_1426000891_01</t>
  </si>
  <si>
    <t>PL_ZEWD_1426000911_07</t>
  </si>
  <si>
    <t>Żeliszew Kol.</t>
  </si>
  <si>
    <t>PL_ZEWD_1426000669_04</t>
  </si>
  <si>
    <t>PL_ZEWD_1426000596_07</t>
  </si>
  <si>
    <t>PL_ZEWD_1426000638_05</t>
  </si>
  <si>
    <t>Łęki</t>
  </si>
  <si>
    <t>PL_ZEWD_1426001142_09</t>
  </si>
  <si>
    <t>PL_ZEWD_1426001145_05</t>
  </si>
  <si>
    <t>Łączka</t>
  </si>
  <si>
    <t>PL_ZEWD_1426001110_08</t>
  </si>
  <si>
    <t>Bojmie, Żdżar</t>
  </si>
  <si>
    <t>PL_ZEWD_1426000679_03</t>
  </si>
  <si>
    <t>Żdżar</t>
  </si>
  <si>
    <t>PL_ZEWD_1426000648_04</t>
  </si>
  <si>
    <t>Łagodne</t>
  </si>
  <si>
    <t>PL_ZEWD_1426000663_02</t>
  </si>
  <si>
    <t>Sionna</t>
  </si>
  <si>
    <t>PL_ZEWD_1426000668_02</t>
  </si>
  <si>
    <t>Jagodne</t>
  </si>
  <si>
    <t>PL_ZEWD_1426000852_07</t>
  </si>
  <si>
    <t>PL_ZEWD_1426001144_03</t>
  </si>
  <si>
    <t>Wilczonek</t>
  </si>
  <si>
    <t>PL_ZEWD_1426000710_09</t>
  </si>
  <si>
    <t>Mingosy</t>
  </si>
  <si>
    <t>PL_ZEWD_1426000664_04</t>
  </si>
  <si>
    <t>PL_ZEWD_1426000655_07</t>
  </si>
  <si>
    <t>PL_ZEWD_1426000657_01</t>
  </si>
  <si>
    <t>Bojmie</t>
  </si>
  <si>
    <t>PL_ZEWD_1426001008_07</t>
  </si>
  <si>
    <t>PL_ZEWD_1426000651_09</t>
  </si>
  <si>
    <t>PL_ZEWD_1426000654_05</t>
  </si>
  <si>
    <t>Nabywca dokonał wypowiedzenia umowy kompleksowej</t>
  </si>
  <si>
    <t>PL_ZEWD_1412001684_00</t>
  </si>
  <si>
    <t>PL_ZEWD_1412003729_08</t>
  </si>
  <si>
    <t>PL_ZEWD_1412003731_01</t>
  </si>
  <si>
    <t>Mińska</t>
  </si>
  <si>
    <t>PL_ZEWD_1412003735_09</t>
  </si>
  <si>
    <t>PL_ZEWD_1412003733_05</t>
  </si>
  <si>
    <t>PL_ZEWD_1412003732_03</t>
  </si>
  <si>
    <t>PL_ZEWD_1412003730_09</t>
  </si>
  <si>
    <t>PL_ZEWD_1412003740_08</t>
  </si>
  <si>
    <t>Janów Kolonia</t>
  </si>
  <si>
    <t>PL_ZEWD_1412003741_00</t>
  </si>
  <si>
    <t>PL_ZEWD_1412003736_01</t>
  </si>
  <si>
    <t>PL_ZEWD_1412003739_07</t>
  </si>
  <si>
    <t>PL_ZEWD_1412003738_05</t>
  </si>
  <si>
    <t>PL_ZEWD_1412003734_07</t>
  </si>
  <si>
    <t>PL_ZEWD_1412003743_04</t>
  </si>
  <si>
    <t>dz. 445/7, 445/1, 662, 443, 444, 439/3, 440, 442</t>
  </si>
  <si>
    <t>PL_ZEWD_1412003744_06</t>
  </si>
  <si>
    <t>Karolina - Kolonia</t>
  </si>
  <si>
    <t>Zakole - Wiktorowo</t>
  </si>
  <si>
    <t>Gmina Siennica</t>
  </si>
  <si>
    <t>GMIN_ZEWD_O_00059</t>
  </si>
  <si>
    <t>PL_ZEWD_1412002528_03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</si>
  <si>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0"/>
      </rPr>
      <t>Bilans Sprzedawcy</t>
    </r>
    <r>
      <rPr>
        <sz val="12"/>
        <color indexed="8"/>
        <rFont val="Czcionka tekstu podstawowego"/>
        <family val="0"/>
      </rPr>
      <t>)</t>
    </r>
  </si>
  <si>
    <t>kolejności zmiany Sprzedawcy, terminów rozwiązania umów kompleksowych oraz terminów rozpoczęcia sprzedaży wynikających ze skuteczności rozwiązania umów kompleksowych dla PPE Zamawiającego</t>
  </si>
  <si>
    <t>Jednostka Samorządu Terytorialnego</t>
  </si>
  <si>
    <t>Liczba punktów poboru energii</t>
  </si>
  <si>
    <t>Gmina Kałuszyn</t>
  </si>
  <si>
    <t>Prognozowany wolumen zużycia energii elektrycznej w podziale na grupy taryfowe</t>
  </si>
  <si>
    <t>Załącznik nr 1b do SIWZ - Szczegółowy opis przedmiotu zamówienia - Oświetlenie dróg i placów</t>
  </si>
  <si>
    <t>ul. Adama Mickiewicza 35</t>
  </si>
  <si>
    <t>MIAS_ZEWD_O_00003</t>
  </si>
  <si>
    <t>822-21-46-576</t>
  </si>
  <si>
    <t>ul. Spółdzielcza 1</t>
  </si>
  <si>
    <t>Urząd Gminy w Siennicy</t>
  </si>
  <si>
    <t>822-21-48-747</t>
  </si>
  <si>
    <t>ul. Dworcowa 55</t>
  </si>
  <si>
    <t>822-21-46-607</t>
  </si>
  <si>
    <t xml:space="preserve"> Gmina Dobre</t>
  </si>
  <si>
    <t>Urząd Miejski</t>
  </si>
  <si>
    <t>822-215-88-17</t>
  </si>
  <si>
    <t>08-130 Kotuń</t>
  </si>
  <si>
    <t>822-2147185</t>
  </si>
  <si>
    <t xml:space="preserve">NIP: </t>
  </si>
  <si>
    <t xml:space="preserve"> 822-21-46-613</t>
  </si>
  <si>
    <t>PL_ZEWD_1412003929_04</t>
  </si>
  <si>
    <t>PL_ZEWD_1412000530_02</t>
  </si>
  <si>
    <t xml:space="preserve">Piłsudskiego </t>
  </si>
  <si>
    <t>Ośw. Studnia głębinowa</t>
  </si>
  <si>
    <t>Ul. Kościuszki 4</t>
  </si>
  <si>
    <t>Urząd Gminy Cegłów</t>
  </si>
  <si>
    <t>Ul. Tadeusza Kościuszki  4</t>
  </si>
  <si>
    <t>PL_ZEWD_1412005168_08</t>
  </si>
  <si>
    <t>Gmina Cegłów oświetlenie uliczne</t>
  </si>
  <si>
    <t>31.12.2017</t>
  </si>
  <si>
    <t>PL_ZEWD_1412003752_01</t>
  </si>
  <si>
    <t>PL_ZEWD_1412003751_09</t>
  </si>
  <si>
    <t>Budy Wielgoleskie</t>
  </si>
  <si>
    <t>PL_ZEWD_1412003945_04</t>
  </si>
  <si>
    <t>PL_ZEWD_1412003946_06</t>
  </si>
  <si>
    <t>PL_ZEWD_1412003940_04</t>
  </si>
  <si>
    <t>PL_ZEWD_1412003177_02</t>
  </si>
  <si>
    <t>PL_ZEWD_1412003942_08</t>
  </si>
  <si>
    <t>PL_ZEWD_1412003943_00</t>
  </si>
  <si>
    <t>PL_ZEWD_1412003944_02</t>
  </si>
  <si>
    <t>31 gudnia 2017r.</t>
  </si>
  <si>
    <t>Kąty Goździejewskie I</t>
  </si>
  <si>
    <t>PL_ZEWD_1412003909_06</t>
  </si>
  <si>
    <t>Orla</t>
  </si>
  <si>
    <t>dz. Nr 1 z obr. 41 
nr 159 z obr. 38</t>
  </si>
  <si>
    <t>35602176</t>
  </si>
  <si>
    <t>dz. 75/4 dz. 186 obr. 25</t>
  </si>
  <si>
    <t>35656326</t>
  </si>
  <si>
    <t>Sasankowa</t>
  </si>
  <si>
    <t>dz. Nr 62-52/48/1,63-1</t>
  </si>
  <si>
    <t>34404018</t>
  </si>
  <si>
    <t>Choiny 
(st. 0617-Choiny I)</t>
  </si>
  <si>
    <t>Choiny (st. 0700- choiny k. Pustelnika)</t>
  </si>
  <si>
    <t>Zawiesiuchy (st. 0658 Zawiesiuchy PGE)</t>
  </si>
  <si>
    <t>Cisówka (st. 0699 Cisówka II)</t>
  </si>
  <si>
    <t>Cisówka (st. 0698 Cisówka I)</t>
  </si>
  <si>
    <t>Pustelnik (st 1207 Pustelnik 5)</t>
  </si>
  <si>
    <t>Zalesie (st. 1046 Zalesie 3)</t>
  </si>
  <si>
    <t>Zalesie (st. 0376 Zalesie 2 k. Stanisławowa)</t>
  </si>
  <si>
    <t>Zalesie (st. 1045 Zalesie 1)</t>
  </si>
  <si>
    <t>Łęka (st. 0858 Łęka 1)</t>
  </si>
  <si>
    <t>Łęka (st. 0859 Łęka 2)</t>
  </si>
  <si>
    <t>Pustelnik (st. 0288 Pustelnik 2)</t>
  </si>
  <si>
    <t>Pustelnik (st. 0287 Pustelnik 1)</t>
  </si>
  <si>
    <t>Pustelnik (st. 1087 Pustelnik SZ.)</t>
  </si>
  <si>
    <t>Goździówka (st. 0315 Goździówka)</t>
  </si>
  <si>
    <t>Porąb (st. 0683 Katarzynów)</t>
  </si>
  <si>
    <t>Stanisławów (st. 0317 Stanisławów Targowa)</t>
  </si>
  <si>
    <t>Stanisławów (st. 0318 Stanisławów Młynarska 4)</t>
  </si>
  <si>
    <t>Stanisławów (st. 1171 Stanisławów st. Paliw)</t>
  </si>
  <si>
    <t>Stanisławów (st. 0139 Stanisławów Osada)</t>
  </si>
  <si>
    <t>Stanisławów (st. 0656 Stanisławów MBM)</t>
  </si>
  <si>
    <t>Stanisławów (st. 0488 Stanisławów Szkolna)</t>
  </si>
  <si>
    <t>Mały Stanisławów (st. 0141 Stanisławów Mały)</t>
  </si>
  <si>
    <t>Stanisławów (st. 0441 Stanisławów Okuniewska)</t>
  </si>
  <si>
    <t>Stanisławów (st. 1073 Stanisławów - Osiedle)</t>
  </si>
  <si>
    <t>Kolonie Stanisławów (st. 0839 Stanisławów Kol 4)</t>
  </si>
  <si>
    <t>Kolonie Stanisławów (st. 0840 Stanisławów kol 5)</t>
  </si>
  <si>
    <t>Borek Czarniński (st. 0342 Borek 1)</t>
  </si>
  <si>
    <t>Borek Czarniński (st. 1100 Borek 2)</t>
  </si>
  <si>
    <t>Szymankowszczyzna ( st. 0342 Borek 1)</t>
  </si>
  <si>
    <t>Czarna (st. 1098 Czarna 2)</t>
  </si>
  <si>
    <t>Szymankowszczyzna (st. 0735 Szym.)</t>
  </si>
  <si>
    <t>Legacz (st. 1047 Legacz 2)</t>
  </si>
  <si>
    <t>Legacz (st. 0377 Legacz 1)</t>
  </si>
  <si>
    <t>Wólka Czarnińska (st. 0359 Wólka Cz.)</t>
  </si>
  <si>
    <t>Lubomin (st. 1077 Lubomin 2)</t>
  </si>
  <si>
    <t>Wólka Czarnińska (st. 1075 Wólka Cz. 3)</t>
  </si>
  <si>
    <t>Wólka Czarnińska (st. 1076 Wólka Cz. 4)</t>
  </si>
  <si>
    <t>Ładzyń (st. 01 38 Ładzyń 1)</t>
  </si>
  <si>
    <t>Ładzyń (st. 0212 Ładzyń 3)</t>
  </si>
  <si>
    <t>Ładzyń (st. 0580 Ładzyń KR)</t>
  </si>
  <si>
    <t>Wólka Piecząca (st. 0356 Wólka P. 1)</t>
  </si>
  <si>
    <t>Wólka Piecząca (st. 1074 Wólka P. 2)</t>
  </si>
  <si>
    <t>Papiernia (st. 0626 Papiernia 1)</t>
  </si>
  <si>
    <t>Retków (st. 0140 Retków)</t>
  </si>
  <si>
    <t>Rządza (st. 0545 Rządza 2)</t>
  </si>
  <si>
    <t>Rządza (st. 0143 Rządza 1)</t>
  </si>
  <si>
    <t>Suchowizna (st. 0892 Suchowizna 2)</t>
  </si>
  <si>
    <t>Suchowizna (st. 0891 Suchowizna 1)</t>
  </si>
  <si>
    <t>Wólka Czarnińska (st. 0359 Wólka Cz. 1)</t>
  </si>
  <si>
    <t>Sokóle (st. 0142 Sokóle 1)</t>
  </si>
  <si>
    <t>Sokóle (st. 0144 Sokóle 2)</t>
  </si>
  <si>
    <t>Wólka Konstancja (st. 0893 Wólka Konstancja )</t>
  </si>
  <si>
    <t>PL_ZEWD_1412003903_04</t>
  </si>
  <si>
    <t>PL_ZEWD_1412003902_02</t>
  </si>
  <si>
    <t>PL_ZEWD_1412003901_00</t>
  </si>
  <si>
    <t>Stanisławów (st. 0316 Warszawska 2)</t>
  </si>
  <si>
    <t>Prądzewo-Kopaczewo (st. 489 Kopaczewo)</t>
  </si>
  <si>
    <t>ul. Tadeusza Kościuszki 1</t>
  </si>
  <si>
    <t>URZA_ZEWD_O_00011</t>
  </si>
  <si>
    <t>Stary Konik</t>
  </si>
  <si>
    <t>dz. 4/33, 140, 3/24, 3/27, 3/30, 4,27</t>
  </si>
  <si>
    <t>PL_ZEWD_1412003973_07</t>
  </si>
  <si>
    <t>Szczęśliwa</t>
  </si>
  <si>
    <t>dz.14,71</t>
  </si>
  <si>
    <t>Grabińska</t>
  </si>
  <si>
    <t>dz.32,25 3/44/3,44/</t>
  </si>
  <si>
    <t>dz. 30/14 30/15, 32</t>
  </si>
  <si>
    <t>PL_ZEWD_1412003756_09</t>
  </si>
  <si>
    <t>Prusy</t>
  </si>
  <si>
    <t>PL_ZEWD_1412003757_01</t>
  </si>
  <si>
    <t>PL_ZEWD_1412003976_03</t>
  </si>
  <si>
    <t>Świerkowa</t>
  </si>
  <si>
    <t>PL_ZEWD_1412003974_09</t>
  </si>
  <si>
    <t>PL_ZEWD_1412003975_01</t>
  </si>
  <si>
    <t>Majowa</t>
  </si>
  <si>
    <t>PL_ZEWD_1412068207_07</t>
  </si>
  <si>
    <t>`</t>
  </si>
  <si>
    <t>Dr. Jana Huberta</t>
  </si>
  <si>
    <r>
      <t xml:space="preserve">prognozowanych wolumenów zużycia energii elektrycznej dla PPE Zamawiającego w okresie od dnia 1 stycznia do 31 grudnia 2018roku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</si>
  <si>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r>
      <t xml:space="preserve">prognozowanych wolumenów zużycia energii elektrycznej dla PPE Zamawiającego w okresie od dnia 1 stycznia do 31 grudnia 2018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</si>
  <si>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Razem:</t>
  </si>
  <si>
    <t>PL_ZEWD_1412005169_00</t>
  </si>
  <si>
    <t>PL_ZEWD_1412003993_05</t>
  </si>
  <si>
    <t>dz.344</t>
  </si>
  <si>
    <t>PL_ZEWD_1412003992_03</t>
  </si>
  <si>
    <t>PL_ZEWD_1426001622_01</t>
  </si>
  <si>
    <t>Kąty Goździejewskie</t>
  </si>
  <si>
    <t>dz. 1747</t>
  </si>
  <si>
    <t xml:space="preserve">05-311 </t>
  </si>
  <si>
    <t>Adresat, Odbiorca, Płatnik:</t>
  </si>
  <si>
    <t>identyfikacji PPE Zamawiającego ze wskazaniem Nabywców, Adresatów, Odbiorców i Płatników faktur</t>
  </si>
  <si>
    <t>Zestawienie zbiorcze PPE do zamówienia publicznego na zakup energii elektrycznej czynnej dla Grupy zakupowej Powiatu Mińskiego na rok 2018</t>
  </si>
  <si>
    <t>Prognoza zużycia energii elektrycznej czynnej na rok 2018        [kWh]</t>
  </si>
  <si>
    <r>
      <t xml:space="preserve">prognozowanych wolumenów zużycia energii elektrycznej dla PPE Zamawiającego w okresie od dnia 1 stycznia do 31 grudnia 2018 roku </t>
    </r>
    <r>
      <rPr>
        <b/>
        <sz val="12"/>
        <color indexed="8"/>
        <rFont val="Czcionka tekstu podstawowego"/>
        <family val="0"/>
      </rPr>
      <t>(Bilans roczny OSD</t>
    </r>
    <r>
      <rPr>
        <sz val="12"/>
        <color indexed="8"/>
        <rFont val="Czcionka tekstu podstawowego"/>
        <family val="0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</si>
</sst>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d/mm/yyyy"/>
    <numFmt numFmtId="167" formatCode="#,##0.0000"/>
    <numFmt numFmtId="168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2"/>
      <name val="Arial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b/>
      <sz val="14"/>
      <name val="Arial CE"/>
      <family val="0"/>
    </font>
    <font>
      <b/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Arial"/>
      <family val="2"/>
    </font>
    <font>
      <sz val="11"/>
      <color indexed="30"/>
      <name val="Czcionka tekstu podstawowego"/>
      <family val="2"/>
    </font>
    <font>
      <sz val="11"/>
      <color indexed="56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1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70C0"/>
      <name val="Czcionka tekstu podstawowego"/>
      <family val="2"/>
    </font>
    <font>
      <sz val="11"/>
      <color theme="3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3" fontId="59" fillId="2" borderId="10" xfId="0" applyNumberFormat="1" applyFont="1" applyFill="1" applyBorder="1" applyAlignment="1">
      <alignment horizontal="right"/>
    </xf>
    <xf numFmtId="3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3" fontId="61" fillId="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165" fontId="0" fillId="0" borderId="16" xfId="0" applyNumberFormat="1" applyFill="1" applyBorder="1" applyAlignment="1">
      <alignment horizontal="center" wrapText="1"/>
    </xf>
    <xf numFmtId="3" fontId="0" fillId="2" borderId="16" xfId="0" applyNumberFormat="1" applyFill="1" applyBorder="1" applyAlignment="1">
      <alignment wrapText="1"/>
    </xf>
    <xf numFmtId="3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horizontal="center" wrapText="1"/>
    </xf>
    <xf numFmtId="3" fontId="0" fillId="2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wrapText="1"/>
    </xf>
    <xf numFmtId="0" fontId="54" fillId="0" borderId="18" xfId="0" applyFont="1" applyFill="1" applyBorder="1" applyAlignment="1">
      <alignment/>
    </xf>
    <xf numFmtId="0" fontId="54" fillId="0" borderId="19" xfId="0" applyFont="1" applyBorder="1" applyAlignment="1">
      <alignment/>
    </xf>
    <xf numFmtId="3" fontId="0" fillId="0" borderId="0" xfId="0" applyNumberFormat="1" applyFill="1" applyAlignment="1">
      <alignment/>
    </xf>
    <xf numFmtId="0" fontId="54" fillId="0" borderId="2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Fill="1" applyBorder="1" applyAlignment="1">
      <alignment/>
    </xf>
    <xf numFmtId="0" fontId="54" fillId="0" borderId="24" xfId="0" applyFont="1" applyBorder="1" applyAlignment="1">
      <alignment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1" xfId="0" applyFont="1" applyBorder="1" applyAlignment="1">
      <alignment wrapText="1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25" xfId="0" applyFont="1" applyBorder="1" applyAlignment="1">
      <alignment/>
    </xf>
    <xf numFmtId="0" fontId="0" fillId="0" borderId="10" xfId="0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9" fillId="0" borderId="19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9" fillId="0" borderId="21" xfId="0" applyFont="1" applyBorder="1" applyAlignment="1">
      <alignment/>
    </xf>
    <xf numFmtId="3" fontId="62" fillId="0" borderId="10" xfId="0" applyNumberFormat="1" applyFont="1" applyBorder="1" applyAlignment="1">
      <alignment horizontal="right" wrapText="1"/>
    </xf>
    <xf numFmtId="0" fontId="54" fillId="0" borderId="20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right"/>
    </xf>
    <xf numFmtId="3" fontId="61" fillId="0" borderId="10" xfId="0" applyNumberFormat="1" applyFont="1" applyFill="1" applyBorder="1" applyAlignment="1">
      <alignment horizontal="right"/>
    </xf>
    <xf numFmtId="3" fontId="61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65" fontId="0" fillId="0" borderId="27" xfId="0" applyNumberFormat="1" applyBorder="1" applyAlignment="1">
      <alignment wrapText="1"/>
    </xf>
    <xf numFmtId="3" fontId="0" fillId="2" borderId="28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17" xfId="0" applyFill="1" applyBorder="1" applyAlignment="1">
      <alignment horizontal="center"/>
    </xf>
    <xf numFmtId="165" fontId="0" fillId="0" borderId="29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65" fillId="0" borderId="0" xfId="0" applyFont="1" applyAlignment="1">
      <alignment horizontal="right"/>
    </xf>
    <xf numFmtId="0" fontId="64" fillId="0" borderId="0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0" fillId="0" borderId="27" xfId="0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3" fontId="0" fillId="2" borderId="32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165" fontId="0" fillId="0" borderId="29" xfId="0" applyNumberFormat="1" applyBorder="1" applyAlignment="1">
      <alignment wrapText="1"/>
    </xf>
    <xf numFmtId="3" fontId="0" fillId="2" borderId="33" xfId="0" applyNumberFormat="1" applyFill="1" applyBorder="1" applyAlignment="1">
      <alignment wrapText="1"/>
    </xf>
    <xf numFmtId="3" fontId="0" fillId="0" borderId="30" xfId="0" applyNumberFormat="1" applyBorder="1" applyAlignment="1">
      <alignment wrapText="1"/>
    </xf>
    <xf numFmtId="3" fontId="0" fillId="2" borderId="27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/>
    </xf>
    <xf numFmtId="0" fontId="0" fillId="2" borderId="10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54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3" fontId="5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66" fillId="2" borderId="31" xfId="0" applyNumberFormat="1" applyFont="1" applyFill="1" applyBorder="1" applyAlignment="1">
      <alignment horizontal="center" vertical="center" wrapText="1"/>
    </xf>
    <xf numFmtId="3" fontId="66" fillId="2" borderId="26" xfId="0" applyNumberFormat="1" applyFont="1" applyFill="1" applyBorder="1" applyAlignment="1">
      <alignment horizontal="center" vertical="center" wrapText="1"/>
    </xf>
    <xf numFmtId="3" fontId="66" fillId="2" borderId="3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 wrapText="1"/>
    </xf>
    <xf numFmtId="3" fontId="0" fillId="2" borderId="16" xfId="0" applyNumberFormat="1" applyFill="1" applyBorder="1" applyAlignment="1">
      <alignment/>
    </xf>
    <xf numFmtId="0" fontId="66" fillId="0" borderId="17" xfId="0" applyFont="1" applyBorder="1" applyAlignment="1">
      <alignment/>
    </xf>
    <xf numFmtId="0" fontId="66" fillId="0" borderId="17" xfId="0" applyFont="1" applyBorder="1" applyAlignment="1">
      <alignment horizontal="center" wrapText="1"/>
    </xf>
    <xf numFmtId="3" fontId="0" fillId="2" borderId="17" xfId="0" applyNumberFormat="1" applyFill="1" applyBorder="1" applyAlignment="1">
      <alignment horizontal="right"/>
    </xf>
    <xf numFmtId="3" fontId="66" fillId="0" borderId="17" xfId="0" applyNumberFormat="1" applyFont="1" applyBorder="1" applyAlignment="1">
      <alignment horizontal="right" wrapText="1"/>
    </xf>
    <xf numFmtId="3" fontId="66" fillId="0" borderId="17" xfId="0" applyNumberFormat="1" applyFont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66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7" fillId="0" borderId="1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66" fillId="0" borderId="0" xfId="0" applyFont="1" applyAlignment="1">
      <alignment horizontal="center"/>
    </xf>
    <xf numFmtId="165" fontId="66" fillId="0" borderId="10" xfId="0" applyNumberFormat="1" applyFont="1" applyBorder="1" applyAlignment="1">
      <alignment horizontal="center" vertical="center"/>
    </xf>
    <xf numFmtId="3" fontId="66" fillId="2" borderId="10" xfId="0" applyNumberFormat="1" applyFont="1" applyFill="1" applyBorder="1" applyAlignment="1">
      <alignment horizontal="right"/>
    </xf>
    <xf numFmtId="3" fontId="66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165" fontId="0" fillId="0" borderId="17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wrapText="1"/>
    </xf>
    <xf numFmtId="0" fontId="66" fillId="0" borderId="17" xfId="0" applyFont="1" applyBorder="1" applyAlignment="1">
      <alignment horizontal="right" wrapText="1"/>
    </xf>
    <xf numFmtId="0" fontId="66" fillId="0" borderId="10" xfId="0" applyFont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0" fontId="5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59" fillId="0" borderId="16" xfId="0" applyFont="1" applyFill="1" applyBorder="1" applyAlignment="1">
      <alignment horizontal="center"/>
    </xf>
    <xf numFmtId="3" fontId="0" fillId="2" borderId="28" xfId="0" applyNumberForma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6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54" fillId="0" borderId="0" xfId="0" applyNumberFormat="1" applyFont="1" applyBorder="1" applyAlignment="1">
      <alignment/>
    </xf>
    <xf numFmtId="0" fontId="54" fillId="0" borderId="2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66" fillId="2" borderId="10" xfId="0" applyFont="1" applyFill="1" applyBorder="1" applyAlignment="1">
      <alignment/>
    </xf>
    <xf numFmtId="3" fontId="66" fillId="2" borderId="10" xfId="0" applyNumberFormat="1" applyFont="1" applyFill="1" applyBorder="1" applyAlignment="1">
      <alignment/>
    </xf>
    <xf numFmtId="3" fontId="66" fillId="0" borderId="10" xfId="0" applyNumberFormat="1" applyFont="1" applyBorder="1" applyAlignment="1">
      <alignment/>
    </xf>
    <xf numFmtId="0" fontId="66" fillId="0" borderId="11" xfId="0" applyFont="1" applyBorder="1" applyAlignment="1">
      <alignment/>
    </xf>
    <xf numFmtId="3" fontId="66" fillId="0" borderId="11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3" fontId="66" fillId="0" borderId="0" xfId="0" applyNumberFormat="1" applyFont="1" applyAlignment="1">
      <alignment/>
    </xf>
    <xf numFmtId="0" fontId="62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3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65" fontId="0" fillId="0" borderId="17" xfId="0" applyNumberFormat="1" applyBorder="1" applyAlignment="1">
      <alignment/>
    </xf>
    <xf numFmtId="0" fontId="54" fillId="0" borderId="10" xfId="0" applyFont="1" applyFill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54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63" fillId="34" borderId="17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/>
    </xf>
    <xf numFmtId="0" fontId="63" fillId="35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54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63" fillId="34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4" fillId="0" borderId="2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4" fillId="0" borderId="18" xfId="0" applyFont="1" applyFill="1" applyBorder="1" applyAlignment="1">
      <alignment/>
    </xf>
    <xf numFmtId="0" fontId="70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63" fillId="34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70" fillId="34" borderId="17" xfId="0" applyFont="1" applyFill="1" applyBorder="1" applyAlignment="1">
      <alignment horizontal="center" vertical="center"/>
    </xf>
    <xf numFmtId="165" fontId="66" fillId="0" borderId="10" xfId="0" applyNumberFormat="1" applyFont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165" fontId="62" fillId="0" borderId="10" xfId="0" applyNumberFormat="1" applyFont="1" applyBorder="1" applyAlignment="1">
      <alignment horizontal="center" wrapText="1"/>
    </xf>
    <xf numFmtId="0" fontId="0" fillId="0" borderId="17" xfId="0" applyFont="1" applyBorder="1" applyAlignment="1">
      <alignment/>
    </xf>
    <xf numFmtId="165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2" borderId="17" xfId="0" applyNumberFormat="1" applyFont="1" applyFill="1" applyBorder="1" applyAlignment="1">
      <alignment wrapText="1"/>
    </xf>
    <xf numFmtId="3" fontId="5" fillId="35" borderId="34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65" fontId="0" fillId="0" borderId="17" xfId="0" applyNumberFormat="1" applyFill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5" borderId="35" xfId="0" applyFill="1" applyBorder="1" applyAlignment="1">
      <alignment/>
    </xf>
    <xf numFmtId="3" fontId="54" fillId="35" borderId="17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7" xfId="0" applyBorder="1" applyAlignment="1">
      <alignment horizontal="left"/>
    </xf>
    <xf numFmtId="0" fontId="0" fillId="34" borderId="35" xfId="0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Border="1" applyAlignment="1">
      <alignment horizontal="right"/>
    </xf>
    <xf numFmtId="3" fontId="0" fillId="34" borderId="35" xfId="0" applyNumberFormat="1" applyFill="1" applyBorder="1" applyAlignment="1">
      <alignment/>
    </xf>
    <xf numFmtId="3" fontId="0" fillId="34" borderId="35" xfId="0" applyNumberFormat="1" applyFill="1" applyBorder="1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3" fontId="54" fillId="34" borderId="17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2" borderId="26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66" fillId="0" borderId="16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0" fillId="0" borderId="38" xfId="0" applyNumberFormat="1" applyBorder="1" applyAlignment="1">
      <alignment/>
    </xf>
    <xf numFmtId="0" fontId="0" fillId="33" borderId="39" xfId="0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0" borderId="42" xfId="0" applyNumberFormat="1" applyBorder="1" applyAlignment="1">
      <alignment/>
    </xf>
    <xf numFmtId="0" fontId="0" fillId="33" borderId="41" xfId="0" applyFill="1" applyBorder="1" applyAlignment="1">
      <alignment/>
    </xf>
    <xf numFmtId="3" fontId="0" fillId="0" borderId="43" xfId="0" applyNumberFormat="1" applyBorder="1" applyAlignment="1">
      <alignment/>
    </xf>
    <xf numFmtId="0" fontId="0" fillId="33" borderId="26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164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4" borderId="17" xfId="0" applyFont="1" applyFill="1" applyBorder="1" applyAlignment="1">
      <alignment/>
    </xf>
    <xf numFmtId="0" fontId="69" fillId="0" borderId="17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45" xfId="0" applyNumberFormat="1" applyFill="1" applyBorder="1" applyAlignment="1">
      <alignment/>
    </xf>
    <xf numFmtId="3" fontId="0" fillId="2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66" fillId="0" borderId="10" xfId="0" applyFont="1" applyBorder="1" applyAlignment="1">
      <alignment horizontal="right" vertical="center"/>
    </xf>
    <xf numFmtId="16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left" wrapText="1"/>
    </xf>
    <xf numFmtId="0" fontId="6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4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3" fontId="0" fillId="2" borderId="11" xfId="0" applyNumberFormat="1" applyFill="1" applyBorder="1" applyAlignment="1">
      <alignment horizontal="right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3" fontId="0" fillId="0" borderId="28" xfId="0" applyNumberFormat="1" applyFill="1" applyBorder="1" applyAlignment="1">
      <alignment wrapText="1"/>
    </xf>
    <xf numFmtId="165" fontId="0" fillId="0" borderId="17" xfId="0" applyNumberFormat="1" applyFont="1" applyBorder="1" applyAlignment="1">
      <alignment horizontal="center"/>
    </xf>
    <xf numFmtId="0" fontId="0" fillId="36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49" fontId="0" fillId="34" borderId="17" xfId="0" applyNumberFormat="1" applyFill="1" applyBorder="1" applyAlignment="1">
      <alignment/>
    </xf>
    <xf numFmtId="0" fontId="54" fillId="0" borderId="22" xfId="0" applyFont="1" applyBorder="1" applyAlignment="1">
      <alignment horizontal="right" wrapText="1"/>
    </xf>
    <xf numFmtId="49" fontId="0" fillId="34" borderId="10" xfId="0" applyNumberFormat="1" applyFill="1" applyBorder="1" applyAlignment="1">
      <alignment/>
    </xf>
    <xf numFmtId="0" fontId="61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54" fillId="0" borderId="17" xfId="0" applyFont="1" applyBorder="1" applyAlignment="1">
      <alignment wrapText="1"/>
    </xf>
    <xf numFmtId="0" fontId="0" fillId="0" borderId="0" xfId="0" applyFill="1" applyAlignment="1">
      <alignment horizontal="right"/>
    </xf>
    <xf numFmtId="0" fontId="0" fillId="36" borderId="17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/>
    </xf>
    <xf numFmtId="3" fontId="0" fillId="2" borderId="37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34" borderId="49" xfId="0" applyFill="1" applyBorder="1" applyAlignment="1">
      <alignment/>
    </xf>
    <xf numFmtId="3" fontId="0" fillId="34" borderId="50" xfId="0" applyNumberFormat="1" applyFill="1" applyBorder="1" applyAlignment="1">
      <alignment/>
    </xf>
    <xf numFmtId="3" fontId="0" fillId="2" borderId="51" xfId="0" applyNumberFormat="1" applyFill="1" applyBorder="1" applyAlignment="1">
      <alignment wrapText="1"/>
    </xf>
    <xf numFmtId="3" fontId="0" fillId="0" borderId="39" xfId="0" applyNumberFormat="1" applyBorder="1" applyAlignment="1">
      <alignment wrapText="1"/>
    </xf>
    <xf numFmtId="3" fontId="0" fillId="0" borderId="39" xfId="0" applyNumberFormat="1" applyFill="1" applyBorder="1" applyAlignment="1">
      <alignment/>
    </xf>
    <xf numFmtId="3" fontId="0" fillId="2" borderId="51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36" borderId="31" xfId="0" applyNumberForma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2" borderId="0" xfId="0" applyFill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34" borderId="40" xfId="0" applyFill="1" applyBorder="1" applyAlignment="1">
      <alignment/>
    </xf>
    <xf numFmtId="0" fontId="0" fillId="34" borderId="43" xfId="0" applyFill="1" applyBorder="1" applyAlignment="1">
      <alignment/>
    </xf>
    <xf numFmtId="3" fontId="54" fillId="34" borderId="34" xfId="0" applyNumberFormat="1" applyFont="1" applyFill="1" applyBorder="1" applyAlignment="1">
      <alignment/>
    </xf>
    <xf numFmtId="3" fontId="54" fillId="34" borderId="35" xfId="0" applyNumberFormat="1" applyFont="1" applyFill="1" applyBorder="1" applyAlignment="1">
      <alignment/>
    </xf>
    <xf numFmtId="0" fontId="66" fillId="34" borderId="10" xfId="0" applyFont="1" applyFill="1" applyBorder="1" applyAlignment="1">
      <alignment horizontal="left"/>
    </xf>
    <xf numFmtId="0" fontId="66" fillId="0" borderId="10" xfId="0" applyFont="1" applyBorder="1" applyAlignment="1">
      <alignment horizontal="left" wrapText="1"/>
    </xf>
    <xf numFmtId="3" fontId="71" fillId="0" borderId="17" xfId="0" applyNumberFormat="1" applyFont="1" applyBorder="1" applyAlignment="1">
      <alignment/>
    </xf>
    <xf numFmtId="3" fontId="66" fillId="36" borderId="10" xfId="0" applyNumberFormat="1" applyFont="1" applyFill="1" applyBorder="1" applyAlignment="1">
      <alignment/>
    </xf>
    <xf numFmtId="3" fontId="66" fillId="6" borderId="10" xfId="0" applyNumberFormat="1" applyFont="1" applyFill="1" applyBorder="1" applyAlignment="1">
      <alignment/>
    </xf>
    <xf numFmtId="49" fontId="66" fillId="34" borderId="10" xfId="0" applyNumberFormat="1" applyFont="1" applyFill="1" applyBorder="1" applyAlignment="1">
      <alignment horizontal="left" vertical="center"/>
    </xf>
    <xf numFmtId="3" fontId="71" fillId="0" borderId="10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66" fillId="34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3" fontId="72" fillId="0" borderId="10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36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54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0" fillId="0" borderId="17" xfId="0" applyFill="1" applyBorder="1" applyAlignment="1">
      <alignment horizontal="left"/>
    </xf>
    <xf numFmtId="165" fontId="0" fillId="2" borderId="17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54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9" xfId="0" applyBorder="1" applyAlignment="1">
      <alignment/>
    </xf>
    <xf numFmtId="0" fontId="0" fillId="34" borderId="10" xfId="0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54" fillId="0" borderId="11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7" xfId="0" applyFont="1" applyFill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7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1" fillId="0" borderId="17" xfId="0" applyFont="1" applyBorder="1" applyAlignment="1">
      <alignment horizontal="left"/>
    </xf>
    <xf numFmtId="0" fontId="67" fillId="0" borderId="17" xfId="0" applyFont="1" applyBorder="1" applyAlignment="1">
      <alignment/>
    </xf>
    <xf numFmtId="3" fontId="0" fillId="2" borderId="52" xfId="0" applyNumberForma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right" vertical="center"/>
    </xf>
    <xf numFmtId="3" fontId="67" fillId="0" borderId="10" xfId="0" applyNumberFormat="1" applyFont="1" applyBorder="1" applyAlignment="1">
      <alignment horizontal="right"/>
    </xf>
    <xf numFmtId="0" fontId="67" fillId="0" borderId="26" xfId="0" applyFont="1" applyBorder="1" applyAlignment="1">
      <alignment horizontal="right" vertical="center"/>
    </xf>
    <xf numFmtId="3" fontId="67" fillId="0" borderId="26" xfId="0" applyNumberFormat="1" applyFont="1" applyBorder="1" applyAlignment="1">
      <alignment horizontal="right"/>
    </xf>
    <xf numFmtId="0" fontId="67" fillId="0" borderId="0" xfId="0" applyFont="1" applyAlignment="1">
      <alignment horizontal="right" vertical="center"/>
    </xf>
    <xf numFmtId="3" fontId="67" fillId="0" borderId="35" xfId="0" applyNumberFormat="1" applyFont="1" applyBorder="1" applyAlignment="1">
      <alignment horizontal="right"/>
    </xf>
    <xf numFmtId="0" fontId="66" fillId="0" borderId="16" xfId="0" applyFont="1" applyBorder="1" applyAlignment="1">
      <alignment horizontal="left"/>
    </xf>
    <xf numFmtId="0" fontId="54" fillId="0" borderId="0" xfId="0" applyFont="1" applyFill="1" applyAlignment="1">
      <alignment horizontal="center" wrapText="1"/>
    </xf>
    <xf numFmtId="165" fontId="0" fillId="0" borderId="27" xfId="0" applyNumberFormat="1" applyBorder="1" applyAlignment="1">
      <alignment horizontal="center"/>
    </xf>
    <xf numFmtId="3" fontId="0" fillId="0" borderId="53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67" fillId="0" borderId="10" xfId="0" applyNumberFormat="1" applyFont="1" applyBorder="1" applyAlignment="1">
      <alignment horizontal="right" vertical="center" wrapText="1"/>
    </xf>
    <xf numFmtId="0" fontId="54" fillId="0" borderId="17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 horizontal="right"/>
    </xf>
    <xf numFmtId="0" fontId="54" fillId="0" borderId="23" xfId="0" applyFont="1" applyBorder="1" applyAlignment="1">
      <alignment horizontal="left"/>
    </xf>
    <xf numFmtId="0" fontId="54" fillId="0" borderId="24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0" fillId="0" borderId="20" xfId="0" applyBorder="1" applyAlignment="1">
      <alignment wrapText="1"/>
    </xf>
    <xf numFmtId="0" fontId="54" fillId="0" borderId="21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25" xfId="0" applyFont="1" applyBorder="1" applyAlignment="1">
      <alignment horizontal="right"/>
    </xf>
    <xf numFmtId="0" fontId="54" fillId="0" borderId="18" xfId="0" applyFont="1" applyBorder="1" applyAlignment="1">
      <alignment/>
    </xf>
    <xf numFmtId="0" fontId="54" fillId="0" borderId="25" xfId="0" applyFont="1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4" fillId="0" borderId="25" xfId="0" applyFont="1" applyFill="1" applyBorder="1" applyAlignment="1">
      <alignment horizontal="right" wrapText="1"/>
    </xf>
    <xf numFmtId="0" fontId="54" fillId="0" borderId="19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20" xfId="0" applyFont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right"/>
    </xf>
    <xf numFmtId="0" fontId="54" fillId="0" borderId="2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right" wrapText="1"/>
    </xf>
    <xf numFmtId="0" fontId="5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25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4" fillId="0" borderId="18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21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4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left"/>
    </xf>
    <xf numFmtId="0" fontId="54" fillId="0" borderId="24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right" vertical="center" wrapText="1"/>
    </xf>
    <xf numFmtId="0" fontId="54" fillId="0" borderId="23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right" wrapText="1"/>
    </xf>
    <xf numFmtId="0" fontId="69" fillId="0" borderId="0" xfId="0" applyFont="1" applyFill="1" applyBorder="1" applyAlignment="1">
      <alignment horizontal="left"/>
    </xf>
    <xf numFmtId="0" fontId="54" fillId="0" borderId="21" xfId="0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19" xfId="0" applyFont="1" applyFill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69" fillId="0" borderId="22" xfId="0" applyFont="1" applyBorder="1" applyAlignment="1">
      <alignment/>
    </xf>
    <xf numFmtId="0" fontId="54" fillId="0" borderId="24" xfId="0" applyFont="1" applyBorder="1" applyAlignment="1">
      <alignment horizontal="left"/>
    </xf>
    <xf numFmtId="0" fontId="69" fillId="0" borderId="22" xfId="0" applyFont="1" applyFill="1" applyBorder="1" applyAlignment="1">
      <alignment horizontal="right" wrapText="1"/>
    </xf>
    <xf numFmtId="0" fontId="54" fillId="0" borderId="24" xfId="0" applyFont="1" applyBorder="1" applyAlignment="1">
      <alignment/>
    </xf>
    <xf numFmtId="0" fontId="54" fillId="0" borderId="0" xfId="0" applyFont="1" applyAlignment="1">
      <alignment/>
    </xf>
    <xf numFmtId="0" fontId="54" fillId="0" borderId="20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66" fillId="0" borderId="11" xfId="0" applyFont="1" applyBorder="1" applyAlignment="1">
      <alignment horizontal="center" wrapText="1"/>
    </xf>
    <xf numFmtId="0" fontId="69" fillId="0" borderId="25" xfId="0" applyFont="1" applyFill="1" applyBorder="1" applyAlignment="1">
      <alignment horizontal="right" wrapText="1"/>
    </xf>
    <xf numFmtId="0" fontId="69" fillId="0" borderId="18" xfId="0" applyFont="1" applyFill="1" applyBorder="1" applyAlignment="1">
      <alignment horizontal="left"/>
    </xf>
    <xf numFmtId="0" fontId="54" fillId="0" borderId="19" xfId="0" applyFont="1" applyBorder="1" applyAlignment="1">
      <alignment/>
    </xf>
    <xf numFmtId="0" fontId="7" fillId="0" borderId="16" xfId="0" applyFont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9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164" fontId="73" fillId="0" borderId="10" xfId="0" applyNumberFormat="1" applyFont="1" applyBorder="1" applyAlignment="1">
      <alignment horizontal="center" wrapText="1"/>
    </xf>
    <xf numFmtId="0" fontId="73" fillId="0" borderId="10" xfId="0" applyFont="1" applyFill="1" applyBorder="1" applyAlignment="1">
      <alignment horizontal="right" wrapText="1"/>
    </xf>
    <xf numFmtId="0" fontId="74" fillId="0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1" fillId="0" borderId="0" xfId="0" applyFont="1" applyFill="1" applyAlignment="1">
      <alignment/>
    </xf>
    <xf numFmtId="3" fontId="66" fillId="0" borderId="17" xfId="0" applyNumberFormat="1" applyFont="1" applyBorder="1" applyAlignment="1">
      <alignment/>
    </xf>
    <xf numFmtId="3" fontId="69" fillId="34" borderId="17" xfId="0" applyNumberFormat="1" applyFont="1" applyFill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17" xfId="0" applyFont="1" applyFill="1" applyBorder="1" applyAlignment="1">
      <alignment horizontal="right" wrapText="1"/>
    </xf>
    <xf numFmtId="0" fontId="68" fillId="0" borderId="17" xfId="0" applyFont="1" applyBorder="1" applyAlignment="1">
      <alignment horizontal="center" wrapText="1"/>
    </xf>
    <xf numFmtId="164" fontId="73" fillId="0" borderId="17" xfId="0" applyNumberFormat="1" applyFont="1" applyBorder="1" applyAlignment="1">
      <alignment horizontal="center" wrapText="1"/>
    </xf>
    <xf numFmtId="3" fontId="62" fillId="0" borderId="17" xfId="0" applyNumberFormat="1" applyFont="1" applyBorder="1" applyAlignment="1">
      <alignment horizontal="right" wrapText="1"/>
    </xf>
    <xf numFmtId="0" fontId="69" fillId="0" borderId="0" xfId="0" applyFont="1" applyFill="1" applyBorder="1" applyAlignment="1">
      <alignment horizontal="right" wrapText="1"/>
    </xf>
    <xf numFmtId="0" fontId="0" fillId="0" borderId="39" xfId="0" applyBorder="1" applyAlignment="1">
      <alignment horizontal="center"/>
    </xf>
    <xf numFmtId="0" fontId="66" fillId="0" borderId="39" xfId="0" applyFont="1" applyBorder="1" applyAlignment="1">
      <alignment horizontal="center" wrapText="1"/>
    </xf>
    <xf numFmtId="0" fontId="0" fillId="0" borderId="39" xfId="0" applyBorder="1" applyAlignment="1">
      <alignment/>
    </xf>
    <xf numFmtId="165" fontId="0" fillId="0" borderId="16" xfId="0" applyNumberForma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22" xfId="0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4" fillId="0" borderId="17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54" fillId="0" borderId="10" xfId="0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7" xfId="0" applyNumberFormat="1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164" fontId="0" fillId="0" borderId="17" xfId="0" applyNumberFormat="1" applyFill="1" applyBorder="1" applyAlignment="1">
      <alignment horizontal="right" wrapText="1"/>
    </xf>
    <xf numFmtId="0" fontId="61" fillId="0" borderId="10" xfId="0" applyFont="1" applyFill="1" applyBorder="1" applyAlignment="1">
      <alignment/>
    </xf>
    <xf numFmtId="0" fontId="54" fillId="0" borderId="23" xfId="0" applyFont="1" applyFill="1" applyBorder="1" applyAlignment="1">
      <alignment horizontal="left"/>
    </xf>
    <xf numFmtId="0" fontId="63" fillId="34" borderId="1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3" fontId="0" fillId="35" borderId="24" xfId="0" applyNumberFormat="1" applyFill="1" applyBorder="1" applyAlignment="1">
      <alignment/>
    </xf>
    <xf numFmtId="0" fontId="0" fillId="0" borderId="51" xfId="0" applyBorder="1" applyAlignment="1">
      <alignment/>
    </xf>
    <xf numFmtId="3" fontId="0" fillId="2" borderId="3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54" fillId="0" borderId="17" xfId="0" applyFont="1" applyFill="1" applyBorder="1" applyAlignment="1">
      <alignment horizontal="right" wrapText="1"/>
    </xf>
    <xf numFmtId="0" fontId="74" fillId="0" borderId="16" xfId="0" applyFont="1" applyFill="1" applyBorder="1" applyAlignment="1">
      <alignment horizontal="center" wrapText="1"/>
    </xf>
    <xf numFmtId="0" fontId="0" fillId="34" borderId="34" xfId="0" applyFill="1" applyBorder="1" applyAlignment="1">
      <alignment/>
    </xf>
    <xf numFmtId="0" fontId="0" fillId="0" borderId="35" xfId="0" applyBorder="1" applyAlignment="1">
      <alignment horizontal="right"/>
    </xf>
    <xf numFmtId="0" fontId="61" fillId="0" borderId="17" xfId="0" applyFont="1" applyBorder="1" applyAlignment="1">
      <alignment/>
    </xf>
    <xf numFmtId="0" fontId="61" fillId="0" borderId="17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61" fillId="36" borderId="0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54" fillId="0" borderId="25" xfId="0" applyFont="1" applyFill="1" applyBorder="1" applyAlignment="1">
      <alignment wrapText="1"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61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54" xfId="0" applyNumberFormat="1" applyFill="1" applyBorder="1" applyAlignment="1">
      <alignment horizontal="center" vertical="center" wrapText="1"/>
    </xf>
    <xf numFmtId="3" fontId="0" fillId="2" borderId="58" xfId="0" applyNumberFormat="1" applyFill="1" applyBorder="1" applyAlignment="1">
      <alignment horizontal="center" vertical="center" wrapText="1"/>
    </xf>
    <xf numFmtId="3" fontId="0" fillId="2" borderId="59" xfId="0" applyNumberFormat="1" applyFill="1" applyBorder="1" applyAlignment="1">
      <alignment horizontal="center" vertical="center" wrapText="1"/>
    </xf>
    <xf numFmtId="3" fontId="0" fillId="2" borderId="38" xfId="0" applyNumberForma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165" fontId="0" fillId="2" borderId="60" xfId="0" applyNumberFormat="1" applyFill="1" applyBorder="1" applyAlignment="1">
      <alignment horizontal="center" vertical="center" wrapText="1"/>
    </xf>
    <xf numFmtId="165" fontId="0" fillId="2" borderId="16" xfId="0" applyNumberFormat="1" applyFill="1" applyBorder="1" applyAlignment="1">
      <alignment horizontal="center" vertical="center" wrapText="1"/>
    </xf>
    <xf numFmtId="165" fontId="0" fillId="2" borderId="54" xfId="0" applyNumberForma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 wrapText="1"/>
    </xf>
    <xf numFmtId="164" fontId="0" fillId="2" borderId="39" xfId="0" applyNumberFormat="1" applyFill="1" applyBorder="1" applyAlignment="1">
      <alignment horizontal="center" vertical="center" wrapText="1"/>
    </xf>
    <xf numFmtId="164" fontId="0" fillId="2" borderId="44" xfId="0" applyNumberForma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164" fontId="0" fillId="2" borderId="58" xfId="0" applyNumberFormat="1" applyFont="1" applyFill="1" applyBorder="1" applyAlignment="1">
      <alignment horizontal="center" vertical="center" wrapText="1"/>
    </xf>
    <xf numFmtId="164" fontId="0" fillId="2" borderId="27" xfId="0" applyNumberFormat="1" applyFont="1" applyFill="1" applyBorder="1" applyAlignment="1">
      <alignment horizontal="center" vertical="center" wrapText="1"/>
    </xf>
    <xf numFmtId="164" fontId="0" fillId="2" borderId="48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horizontal="center" vertical="center"/>
    </xf>
    <xf numFmtId="0" fontId="64" fillId="35" borderId="64" xfId="0" applyFont="1" applyFill="1" applyBorder="1" applyAlignment="1">
      <alignment horizontal="center" vertical="center"/>
    </xf>
    <xf numFmtId="0" fontId="64" fillId="35" borderId="4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3" fontId="0" fillId="2" borderId="28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36" xfId="0" applyNumberForma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/>
    </xf>
    <xf numFmtId="0" fontId="61" fillId="34" borderId="64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1" fillId="35" borderId="27" xfId="0" applyFont="1" applyFill="1" applyBorder="1" applyAlignment="1">
      <alignment horizontal="center" vertical="center"/>
    </xf>
    <xf numFmtId="0" fontId="61" fillId="35" borderId="64" xfId="0" applyFont="1" applyFill="1" applyBorder="1" applyAlignment="1">
      <alignment horizontal="center" vertical="center"/>
    </xf>
    <xf numFmtId="0" fontId="61" fillId="35" borderId="41" xfId="0" applyFont="1" applyFill="1" applyBorder="1" applyAlignment="1">
      <alignment horizontal="center" vertical="center"/>
    </xf>
    <xf numFmtId="164" fontId="0" fillId="2" borderId="39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26" xfId="0" applyNumberFormat="1" applyFont="1" applyFill="1" applyBorder="1" applyAlignment="1">
      <alignment horizontal="center" vertical="center" wrapText="1"/>
    </xf>
    <xf numFmtId="3" fontId="0" fillId="2" borderId="39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165" fontId="0" fillId="2" borderId="39" xfId="0" applyNumberForma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164" fontId="66" fillId="2" borderId="58" xfId="0" applyNumberFormat="1" applyFont="1" applyFill="1" applyBorder="1" applyAlignment="1">
      <alignment horizontal="center" vertical="center" wrapText="1"/>
    </xf>
    <xf numFmtId="164" fontId="66" fillId="2" borderId="27" xfId="0" applyNumberFormat="1" applyFont="1" applyFill="1" applyBorder="1" applyAlignment="1">
      <alignment horizontal="center" vertical="center" wrapText="1"/>
    </xf>
    <xf numFmtId="164" fontId="66" fillId="2" borderId="48" xfId="0" applyNumberFormat="1" applyFont="1" applyFill="1" applyBorder="1" applyAlignment="1">
      <alignment horizontal="center" vertical="center" wrapText="1"/>
    </xf>
    <xf numFmtId="0" fontId="66" fillId="2" borderId="39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  <xf numFmtId="0" fontId="66" fillId="2" borderId="62" xfId="0" applyFont="1" applyFill="1" applyBorder="1" applyAlignment="1">
      <alignment horizontal="center" vertical="center" wrapText="1"/>
    </xf>
    <xf numFmtId="0" fontId="66" fillId="2" borderId="63" xfId="0" applyFont="1" applyFill="1" applyBorder="1" applyAlignment="1">
      <alignment horizontal="center" vertical="center" wrapText="1"/>
    </xf>
    <xf numFmtId="0" fontId="66" fillId="2" borderId="53" xfId="0" applyFont="1" applyFill="1" applyBorder="1" applyAlignment="1">
      <alignment horizontal="center" vertical="center" wrapText="1"/>
    </xf>
    <xf numFmtId="0" fontId="66" fillId="2" borderId="39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center" vertical="center"/>
    </xf>
    <xf numFmtId="0" fontId="66" fillId="2" borderId="26" xfId="0" applyFont="1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3" fontId="66" fillId="2" borderId="28" xfId="0" applyNumberFormat="1" applyFont="1" applyFill="1" applyBorder="1" applyAlignment="1">
      <alignment horizontal="center" vertical="center" wrapText="1"/>
    </xf>
    <xf numFmtId="3" fontId="66" fillId="2" borderId="10" xfId="0" applyNumberFormat="1" applyFont="1" applyFill="1" applyBorder="1" applyAlignment="1">
      <alignment horizontal="center" vertical="center" wrapText="1"/>
    </xf>
    <xf numFmtId="3" fontId="66" fillId="2" borderId="36" xfId="0" applyNumberFormat="1" applyFont="1" applyFill="1" applyBorder="1" applyAlignment="1">
      <alignment horizontal="center" vertical="center" wrapText="1"/>
    </xf>
    <xf numFmtId="164" fontId="66" fillId="2" borderId="51" xfId="0" applyNumberFormat="1" applyFont="1" applyFill="1" applyBorder="1" applyAlignment="1">
      <alignment horizontal="center" vertical="center" wrapText="1"/>
    </xf>
    <xf numFmtId="164" fontId="66" fillId="2" borderId="39" xfId="0" applyNumberFormat="1" applyFont="1" applyFill="1" applyBorder="1" applyAlignment="1">
      <alignment horizontal="center" vertical="center" wrapText="1"/>
    </xf>
    <xf numFmtId="164" fontId="66" fillId="2" borderId="44" xfId="0" applyNumberFormat="1" applyFont="1" applyFill="1" applyBorder="1" applyAlignment="1">
      <alignment horizontal="center" vertical="center" wrapText="1"/>
    </xf>
    <xf numFmtId="165" fontId="0" fillId="2" borderId="26" xfId="0" applyNumberForma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3" fontId="0" fillId="2" borderId="52" xfId="0" applyNumberFormat="1" applyFill="1" applyBorder="1" applyAlignment="1">
      <alignment horizontal="center" vertical="center" wrapText="1"/>
    </xf>
    <xf numFmtId="3" fontId="0" fillId="2" borderId="55" xfId="0" applyNumberFormat="1" applyFill="1" applyBorder="1" applyAlignment="1">
      <alignment horizontal="center" vertical="center" wrapText="1"/>
    </xf>
    <xf numFmtId="3" fontId="0" fillId="2" borderId="65" xfId="0" applyNumberFormat="1" applyFill="1" applyBorder="1" applyAlignment="1">
      <alignment horizontal="center" vertical="center" wrapText="1"/>
    </xf>
    <xf numFmtId="3" fontId="0" fillId="2" borderId="66" xfId="0" applyNumberFormat="1" applyFill="1" applyBorder="1" applyAlignment="1">
      <alignment horizontal="center" vertical="center" wrapText="1"/>
    </xf>
    <xf numFmtId="3" fontId="0" fillId="2" borderId="46" xfId="0" applyNumberFormat="1" applyFill="1" applyBorder="1" applyAlignment="1">
      <alignment horizontal="center" vertical="center" wrapText="1"/>
    </xf>
    <xf numFmtId="3" fontId="0" fillId="2" borderId="53" xfId="0" applyNumberFormat="1" applyFill="1" applyBorder="1" applyAlignment="1">
      <alignment horizontal="center" vertical="center" wrapText="1"/>
    </xf>
    <xf numFmtId="164" fontId="0" fillId="2" borderId="67" xfId="0" applyNumberFormat="1" applyFill="1" applyBorder="1" applyAlignment="1">
      <alignment horizontal="center" vertical="center" wrapText="1"/>
    </xf>
    <xf numFmtId="164" fontId="0" fillId="2" borderId="68" xfId="0" applyNumberFormat="1" applyFill="1" applyBorder="1" applyAlignment="1">
      <alignment horizontal="center" vertical="center" wrapText="1"/>
    </xf>
    <xf numFmtId="164" fontId="0" fillId="2" borderId="69" xfId="0" applyNumberFormat="1" applyFill="1" applyBorder="1" applyAlignment="1">
      <alignment horizontal="center" vertical="center" wrapText="1"/>
    </xf>
    <xf numFmtId="0" fontId="66" fillId="2" borderId="60" xfId="0" applyFont="1" applyFill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 wrapText="1"/>
    </xf>
    <xf numFmtId="0" fontId="66" fillId="2" borderId="54" xfId="0" applyFont="1" applyFill="1" applyBorder="1" applyAlignment="1">
      <alignment horizontal="center" vertical="center" wrapText="1"/>
    </xf>
    <xf numFmtId="164" fontId="66" fillId="2" borderId="61" xfId="0" applyNumberFormat="1" applyFont="1" applyFill="1" applyBorder="1" applyAlignment="1">
      <alignment horizontal="center" vertical="center" wrapText="1"/>
    </xf>
    <xf numFmtId="164" fontId="66" fillId="2" borderId="47" xfId="0" applyNumberFormat="1" applyFont="1" applyFill="1" applyBorder="1" applyAlignment="1">
      <alignment horizontal="center" vertical="center" wrapText="1"/>
    </xf>
    <xf numFmtId="164" fontId="66" fillId="2" borderId="55" xfId="0" applyNumberFormat="1" applyFont="1" applyFill="1" applyBorder="1" applyAlignment="1">
      <alignment horizontal="center" vertical="center" wrapText="1"/>
    </xf>
    <xf numFmtId="164" fontId="66" fillId="2" borderId="65" xfId="0" applyNumberFormat="1" applyFont="1" applyFill="1" applyBorder="1" applyAlignment="1">
      <alignment horizontal="center" vertical="center" wrapText="1"/>
    </xf>
    <xf numFmtId="164" fontId="66" fillId="2" borderId="59" xfId="0" applyNumberFormat="1" applyFont="1" applyFill="1" applyBorder="1" applyAlignment="1">
      <alignment horizontal="center" vertical="center" wrapText="1"/>
    </xf>
    <xf numFmtId="164" fontId="66" fillId="2" borderId="66" xfId="0" applyNumberFormat="1" applyFont="1" applyFill="1" applyBorder="1" applyAlignment="1">
      <alignment horizontal="center" vertical="center" wrapText="1"/>
    </xf>
    <xf numFmtId="3" fontId="66" fillId="2" borderId="70" xfId="0" applyNumberFormat="1" applyFont="1" applyFill="1" applyBorder="1" applyAlignment="1">
      <alignment horizontal="center" vertical="center" wrapText="1"/>
    </xf>
    <xf numFmtId="3" fontId="66" fillId="2" borderId="64" xfId="0" applyNumberFormat="1" applyFont="1" applyFill="1" applyBorder="1" applyAlignment="1">
      <alignment horizontal="center" vertical="center" wrapText="1"/>
    </xf>
    <xf numFmtId="3" fontId="66" fillId="2" borderId="7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F17" sqref="F17"/>
    </sheetView>
  </sheetViews>
  <sheetFormatPr defaultColWidth="8.796875" defaultRowHeight="14.25"/>
  <cols>
    <col min="1" max="1" width="27.5" style="0" customWidth="1"/>
    <col min="2" max="2" width="23.09765625" style="0" customWidth="1"/>
    <col min="3" max="3" width="18.59765625" style="0" customWidth="1"/>
    <col min="4" max="4" width="13.09765625" style="0" customWidth="1"/>
    <col min="5" max="5" width="12" style="0" customWidth="1"/>
    <col min="6" max="6" width="12.69921875" style="0" customWidth="1"/>
    <col min="7" max="7" width="19.09765625" style="0" customWidth="1"/>
  </cols>
  <sheetData>
    <row r="1" spans="1:12" ht="33.75" customHeight="1">
      <c r="A1" s="684" t="s">
        <v>1960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2" ht="1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ht="15.75">
      <c r="A3" s="502" t="s">
        <v>2099</v>
      </c>
      <c r="B3" s="502"/>
      <c r="C3" s="502"/>
      <c r="D3" s="501"/>
      <c r="E3" s="501"/>
      <c r="F3" s="501"/>
      <c r="G3" s="501"/>
      <c r="H3" s="501"/>
      <c r="I3" s="501"/>
      <c r="J3" s="501"/>
      <c r="K3" s="501"/>
      <c r="L3" s="501"/>
    </row>
    <row r="4" spans="1:12" ht="15.75">
      <c r="A4" s="502"/>
      <c r="B4" s="685"/>
      <c r="C4" s="685"/>
      <c r="D4" s="685"/>
      <c r="E4" s="685"/>
      <c r="F4" s="501"/>
      <c r="G4" s="501"/>
      <c r="H4" s="501"/>
      <c r="I4" s="501"/>
      <c r="J4" s="501"/>
      <c r="K4" s="501"/>
      <c r="L4" s="501"/>
    </row>
    <row r="5" spans="1:12" ht="21.75" customHeight="1">
      <c r="A5" s="502" t="s">
        <v>967</v>
      </c>
      <c r="B5" s="502"/>
      <c r="C5" s="502"/>
      <c r="D5" s="501"/>
      <c r="E5" s="501"/>
      <c r="F5" s="501"/>
      <c r="G5" s="501"/>
      <c r="H5" s="501"/>
      <c r="I5" s="501"/>
      <c r="J5" s="501"/>
      <c r="K5" s="501"/>
      <c r="L5" s="501"/>
    </row>
    <row r="6" spans="1:12" ht="21.75" customHeight="1">
      <c r="A6" s="501" t="s">
        <v>2098</v>
      </c>
      <c r="B6" s="502"/>
      <c r="C6" s="502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21.75" customHeight="1">
      <c r="A7" s="503" t="s">
        <v>2101</v>
      </c>
      <c r="B7" s="502"/>
      <c r="C7" s="502"/>
      <c r="D7" s="501"/>
      <c r="E7" s="501"/>
      <c r="F7" s="501"/>
      <c r="G7" s="501"/>
      <c r="H7" s="501"/>
      <c r="I7" s="501"/>
      <c r="J7" s="501"/>
      <c r="K7" s="501"/>
      <c r="L7" s="501"/>
    </row>
    <row r="8" spans="1:12" ht="21.75" customHeight="1">
      <c r="A8" s="503" t="s">
        <v>1954</v>
      </c>
      <c r="B8" s="502"/>
      <c r="C8" s="502"/>
      <c r="D8" s="501"/>
      <c r="E8" s="501"/>
      <c r="F8" s="501"/>
      <c r="G8" s="501"/>
      <c r="H8" s="501"/>
      <c r="I8" s="501"/>
      <c r="J8" s="501"/>
      <c r="K8" s="501"/>
      <c r="L8" s="501"/>
    </row>
    <row r="9" spans="1:12" ht="21.75" customHeight="1">
      <c r="A9" s="501" t="s">
        <v>1955</v>
      </c>
      <c r="B9" s="502"/>
      <c r="C9" s="502"/>
      <c r="D9" s="501"/>
      <c r="E9" s="501"/>
      <c r="F9" s="501"/>
      <c r="G9" s="501"/>
      <c r="H9" s="501"/>
      <c r="I9" s="501"/>
      <c r="J9" s="501"/>
      <c r="K9" s="501"/>
      <c r="L9" s="501"/>
    </row>
    <row r="10" ht="12.75" customHeight="1">
      <c r="F10" s="500"/>
    </row>
    <row r="11" spans="1:6" ht="77.25" customHeight="1">
      <c r="A11" s="504" t="s">
        <v>1956</v>
      </c>
      <c r="B11" s="504" t="s">
        <v>2100</v>
      </c>
      <c r="C11" s="504" t="s">
        <v>1957</v>
      </c>
      <c r="F11" s="500"/>
    </row>
    <row r="12" spans="1:6" ht="20.25">
      <c r="A12" s="505" t="s">
        <v>964</v>
      </c>
      <c r="B12" s="520">
        <f>'+Gmina Mrozy'!I151</f>
        <v>727654</v>
      </c>
      <c r="C12" s="520">
        <f>'+Gmina Mrozy'!K150</f>
        <v>95</v>
      </c>
      <c r="F12" s="500"/>
    </row>
    <row r="13" spans="1:6" ht="20.25" customHeight="1">
      <c r="A13" s="505" t="s">
        <v>284</v>
      </c>
      <c r="B13" s="506">
        <f>'+Miasto Mińsk Mazowiecki'!N121</f>
        <v>2398457</v>
      </c>
      <c r="C13" s="506">
        <f>'+Miasto Mińsk Mazowiecki'!P120</f>
        <v>89</v>
      </c>
      <c r="F13" s="500"/>
    </row>
    <row r="14" spans="1:6" ht="20.25" customHeight="1">
      <c r="A14" s="505" t="s">
        <v>372</v>
      </c>
      <c r="B14" s="506">
        <f>'+Gmina Mińsk Mazowiecki'!M167</f>
        <v>977738</v>
      </c>
      <c r="C14" s="506">
        <f>'+Gmina Mińsk Mazowiecki'!O166</f>
        <v>139</v>
      </c>
      <c r="F14" s="500"/>
    </row>
    <row r="15" spans="1:6" ht="20.25" customHeight="1">
      <c r="A15" s="505" t="s">
        <v>427</v>
      </c>
      <c r="B15" s="506">
        <f>'+Gmina Halinów'!M141</f>
        <v>1157311</v>
      </c>
      <c r="C15" s="506">
        <f>'+Gmina Halinów'!O140</f>
        <v>98</v>
      </c>
      <c r="F15" s="500"/>
    </row>
    <row r="16" spans="1:6" ht="20.25" customHeight="1">
      <c r="A16" s="505" t="s">
        <v>527</v>
      </c>
      <c r="B16" s="506">
        <f>'+Gmina Dębe Wielkie '!M130</f>
        <v>568759</v>
      </c>
      <c r="C16" s="506">
        <f>'+Gmina Dębe Wielkie '!O129</f>
        <v>90</v>
      </c>
      <c r="F16" s="500"/>
    </row>
    <row r="17" spans="1:6" ht="20.25" customHeight="1">
      <c r="A17" s="505" t="s">
        <v>1951</v>
      </c>
      <c r="B17" s="506">
        <f>'+Gmina Siennica'!M110</f>
        <v>365000</v>
      </c>
      <c r="C17" s="506">
        <f>'+Gmina Siennica'!O109</f>
        <v>81</v>
      </c>
      <c r="F17" s="500"/>
    </row>
    <row r="18" spans="1:6" ht="20.25" customHeight="1">
      <c r="A18" s="505" t="s">
        <v>718</v>
      </c>
      <c r="B18" s="506">
        <f>'+Gmina Latowicz'!M83</f>
        <v>179829</v>
      </c>
      <c r="C18" s="506">
        <f>'+Gmina Latowicz'!O82</f>
        <v>54</v>
      </c>
      <c r="F18" s="500"/>
    </row>
    <row r="19" spans="1:6" ht="20.25" customHeight="1">
      <c r="A19" s="505" t="s">
        <v>1793</v>
      </c>
      <c r="B19" s="506">
        <f>'+Gmina Cegłów'!M86</f>
        <v>290917</v>
      </c>
      <c r="C19" s="506">
        <f>'+Gmina Cegłów'!O85</f>
        <v>56</v>
      </c>
      <c r="F19" s="500"/>
    </row>
    <row r="20" spans="1:6" ht="20.25" customHeight="1">
      <c r="A20" s="505" t="s">
        <v>1666</v>
      </c>
      <c r="B20" s="506">
        <f>'+Miasto Sulejówek'!M157</f>
        <v>1327414</v>
      </c>
      <c r="C20" s="506">
        <f>'+Miasto Sulejówek'!O156</f>
        <v>117</v>
      </c>
      <c r="F20" s="500"/>
    </row>
    <row r="21" spans="1:6" ht="20.25" customHeight="1">
      <c r="A21" s="505" t="s">
        <v>1390</v>
      </c>
      <c r="B21" s="506">
        <f>'+Gmina Dobre'!M104</f>
        <v>310411</v>
      </c>
      <c r="C21" s="506">
        <f>'+Gmina Dobre'!O103</f>
        <v>77</v>
      </c>
      <c r="F21" s="500"/>
    </row>
    <row r="22" spans="1:6" ht="20.25" customHeight="1">
      <c r="A22" s="505" t="s">
        <v>1359</v>
      </c>
      <c r="B22" s="506">
        <f>'+Gmina Jakubów'!M89</f>
        <v>277168</v>
      </c>
      <c r="C22" s="506">
        <f>'+Gmina Jakubów'!O88</f>
        <v>58</v>
      </c>
      <c r="F22" s="500"/>
    </row>
    <row r="23" spans="1:6" ht="20.25" customHeight="1">
      <c r="A23" s="505" t="s">
        <v>1958</v>
      </c>
      <c r="B23" s="506">
        <f>'+Gmina Kałuszyn'!M84</f>
        <v>371539</v>
      </c>
      <c r="C23" s="506">
        <f>'+Gmina Kałuszyn'!O83</f>
        <v>47</v>
      </c>
      <c r="F23" s="500"/>
    </row>
    <row r="24" spans="1:6" ht="20.25" customHeight="1">
      <c r="A24" s="505" t="s">
        <v>1671</v>
      </c>
      <c r="B24" s="506">
        <f>'+Gmina Stanisławów'!M97</f>
        <v>498278</v>
      </c>
      <c r="C24" s="506">
        <f>'+Gmina Stanisławów'!O96</f>
        <v>66</v>
      </c>
      <c r="F24" s="500"/>
    </row>
    <row r="25" spans="1:6" ht="20.25" customHeight="1" thickBot="1">
      <c r="A25" s="507" t="s">
        <v>1833</v>
      </c>
      <c r="B25" s="508">
        <f>'+Gmina Kotuń'!M101</f>
        <v>311866</v>
      </c>
      <c r="C25" s="508">
        <f>'+Gmina Kotuń'!O100</f>
        <v>62</v>
      </c>
      <c r="F25" s="500"/>
    </row>
    <row r="26" spans="1:6" ht="20.25" customHeight="1" thickBot="1">
      <c r="A26" s="509" t="s">
        <v>1743</v>
      </c>
      <c r="B26" s="510">
        <f>SUM(B12:B25)</f>
        <v>9762341</v>
      </c>
      <c r="C26" s="510">
        <f>SUM(C12:C25)</f>
        <v>1129</v>
      </c>
      <c r="F26" s="500"/>
    </row>
    <row r="27" ht="12.75" customHeight="1">
      <c r="F27" s="500"/>
    </row>
    <row r="28" ht="12.75" customHeight="1">
      <c r="F28" s="500"/>
    </row>
    <row r="29" spans="1:7" ht="15.75">
      <c r="A29" s="685" t="s">
        <v>1959</v>
      </c>
      <c r="B29" s="685"/>
      <c r="C29" s="685"/>
      <c r="D29" s="685"/>
      <c r="E29" s="685"/>
      <c r="F29" s="685"/>
      <c r="G29" s="685"/>
    </row>
    <row r="30" ht="15" thickBot="1"/>
    <row r="31" spans="1:7" ht="28.5" customHeight="1">
      <c r="A31" s="677" t="s">
        <v>157</v>
      </c>
      <c r="B31" s="679" t="s">
        <v>1737</v>
      </c>
      <c r="C31" s="680"/>
      <c r="D31" s="680"/>
      <c r="E31" s="680"/>
      <c r="F31" s="681"/>
      <c r="G31" s="682" t="s">
        <v>1747</v>
      </c>
    </row>
    <row r="32" spans="1:7" ht="29.25" thickBot="1">
      <c r="A32" s="678"/>
      <c r="B32" s="355" t="s">
        <v>1738</v>
      </c>
      <c r="C32" s="356" t="s">
        <v>1739</v>
      </c>
      <c r="D32" s="356" t="s">
        <v>1740</v>
      </c>
      <c r="E32" s="356" t="s">
        <v>1741</v>
      </c>
      <c r="F32" s="357" t="s">
        <v>1742</v>
      </c>
      <c r="G32" s="683"/>
    </row>
    <row r="33" spans="1:7" ht="14.25">
      <c r="A33" s="444" t="s">
        <v>152</v>
      </c>
      <c r="B33" s="358">
        <f>'+Gmina Mrozy'!H148+'+Miasto Mińsk Mazowiecki'!M117+'+Gmina Dębe Wielkie '!L126+'+Miasto Sulejówek'!L153+'+Gmina Jakubów'!L85+'+Gmina Kałuszyn'!L81+'+Gmina Stanisławów'!L93+'+Gmina Kotuń'!L99</f>
        <v>239271</v>
      </c>
      <c r="C33" s="359"/>
      <c r="D33" s="359"/>
      <c r="E33" s="359"/>
      <c r="F33" s="367"/>
      <c r="G33" s="360">
        <f>'+Gmina Mrozy'!K148+'+Miasto Mińsk Mazowiecki'!P117+'+Gmina Dębe Wielkie '!O126+'+Miasto Sulejówek'!O153+'+Gmina Jakubów'!O85+'+Gmina Kałuszyn'!O81+'+Gmina Stanisławów'!O93+'+Gmina Kotuń'!O99</f>
        <v>51</v>
      </c>
    </row>
    <row r="34" spans="1:7" ht="14.25">
      <c r="A34" s="445" t="s">
        <v>154</v>
      </c>
      <c r="B34" s="361">
        <f>'+Miasto Mińsk Mazowiecki'!M118+'+Gmina Mińsk Mazowiecki'!L165+'+Gmina Siennica'!L108+'+Miasto Sulejówek'!L154+'+Gmina Jakubów'!L86+'+Gmina Stanisławów'!L94+'+Gmina Kotuń'!L98</f>
        <v>3118872</v>
      </c>
      <c r="C34" s="362"/>
      <c r="D34" s="362"/>
      <c r="E34" s="362"/>
      <c r="F34" s="368"/>
      <c r="G34" s="363">
        <f>'+Miasto Mińsk Mazowiecki'!P118+'+Gmina Mińsk Mazowiecki'!O165+'+Gmina Siennica'!O108+'+Miasto Sulejówek'!O154+'+Gmina Jakubów'!O86+'+Gmina Stanisławów'!O94+'+Gmina Kotuń'!O98</f>
        <v>401</v>
      </c>
    </row>
    <row r="35" spans="1:7" ht="14.25">
      <c r="A35" s="445" t="s">
        <v>16</v>
      </c>
      <c r="B35" s="364"/>
      <c r="C35" s="13">
        <f>'+Gmina Mrozy'!I149+'+Miasto Mińsk Mazowiecki'!N119+'+Gmina Halinów'!M138+'+Gmina Dębe Wielkie '!M127+'+Gmina Latowicz'!M81+'+Gmina Cegłów'!M84+'+Gmina Dobre'!M102+'+Gmina Jakubów'!M87+'+Gmina Kałuszyn'!M82+'+Gmina Stanisławów'!M95</f>
        <v>1039551</v>
      </c>
      <c r="D35" s="13">
        <f>'+Gmina Mrozy'!J149+'+Miasto Mińsk Mazowiecki'!O119+'+Gmina Halinów'!N138+'+Gmina Dębe Wielkie '!N127+'+Gmina Latowicz'!N81+'+Gmina Cegłów'!N84+'+Gmina Dobre'!N102+'+Gmina Jakubów'!N87+'+Gmina Kałuszyn'!N82+'+Gmina Stanisławów'!N95</f>
        <v>4185641</v>
      </c>
      <c r="E35" s="362"/>
      <c r="F35" s="368"/>
      <c r="G35" s="365">
        <f>'+Gmina Mrozy'!K149+'+Miasto Mińsk Mazowiecki'!P119+'+Gmina Halinów'!O138+'+Gmina Dębe Wielkie '!O127+'+Gmina Latowicz'!O81+'+Gmina Cegłów'!O84+'+Gmina Dobre'!O102+'+Gmina Jakubów'!O87+'+Gmina Kałuszyn'!O82+'+Gmina Stanisławów'!O95</f>
        <v>578</v>
      </c>
    </row>
    <row r="36" spans="1:7" ht="15" thickBot="1">
      <c r="A36" s="427" t="s">
        <v>377</v>
      </c>
      <c r="B36" s="369"/>
      <c r="C36" s="366"/>
      <c r="D36" s="366"/>
      <c r="E36" s="87">
        <f>'+Gmina Halinów'!M139+'+Gmina Dębe Wielkie '!M128+'+Miasto Sulejówek'!M155</f>
        <v>405788</v>
      </c>
      <c r="F36" s="370">
        <f>'+Gmina Halinów'!N139+'+Gmina Dębe Wielkie '!N128+'+Miasto Sulejówek'!N155</f>
        <v>773218</v>
      </c>
      <c r="G36" s="365">
        <f>'+Gmina Halinów'!O139+'+Gmina Dębe Wielkie '!O128+'+Miasto Sulejówek'!O155</f>
        <v>99</v>
      </c>
    </row>
    <row r="37" spans="5:7" ht="15.75" thickBot="1">
      <c r="E37" t="s">
        <v>1743</v>
      </c>
      <c r="F37" s="446">
        <f>SUM(B33:F36)</f>
        <v>9762341</v>
      </c>
      <c r="G37" s="447">
        <f>SUM(G33:G36)</f>
        <v>1129</v>
      </c>
    </row>
  </sheetData>
  <sheetProtection/>
  <mergeCells count="6">
    <mergeCell ref="A31:A32"/>
    <mergeCell ref="B31:F31"/>
    <mergeCell ref="G31:G32"/>
    <mergeCell ref="A1:L1"/>
    <mergeCell ref="B4:E4"/>
    <mergeCell ref="A29:G29"/>
  </mergeCells>
  <printOptions/>
  <pageMargins left="0.7" right="0.7" top="0.75" bottom="0.75" header="0.3" footer="0.3"/>
  <pageSetup horizontalDpi="600" verticalDpi="600" orientation="portrait" paperSize="9" r:id="rId1"/>
  <ignoredErrors>
    <ignoredError sqref="G3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7"/>
  <sheetViews>
    <sheetView zoomScale="80" zoomScaleNormal="80" zoomScalePageLayoutView="0" workbookViewId="0" topLeftCell="A142">
      <selection activeCell="I151" sqref="I151"/>
    </sheetView>
  </sheetViews>
  <sheetFormatPr defaultColWidth="8.796875" defaultRowHeight="14.25"/>
  <cols>
    <col min="1" max="1" width="11.8984375" style="0" customWidth="1"/>
    <col min="2" max="2" width="12.3984375" style="0" customWidth="1"/>
    <col min="3" max="3" width="14" style="0" customWidth="1"/>
    <col min="4" max="4" width="16.5" style="0" customWidth="1"/>
    <col min="5" max="5" width="11.19921875" style="0" customWidth="1"/>
    <col min="7" max="7" width="17.8984375" style="0" customWidth="1"/>
    <col min="8" max="8" width="25.09765625" style="0" customWidth="1"/>
    <col min="9" max="9" width="19" style="1" customWidth="1"/>
    <col min="10" max="10" width="14.5" style="1" customWidth="1"/>
    <col min="11" max="11" width="14.69921875" style="2" customWidth="1"/>
    <col min="12" max="12" width="15.8984375" style="2" customWidth="1"/>
    <col min="13" max="13" width="15.5" style="2" customWidth="1"/>
    <col min="14" max="14" width="16.69921875" style="2" customWidth="1"/>
    <col min="15" max="15" width="14.09765625" style="0" customWidth="1"/>
    <col min="16" max="16" width="13.19921875" style="0" customWidth="1"/>
    <col min="17" max="17" width="12.59765625" style="0" customWidth="1"/>
    <col min="18" max="18" width="18.59765625" style="0" customWidth="1"/>
    <col min="19" max="19" width="14.5" style="0" customWidth="1"/>
    <col min="20" max="20" width="19.59765625" style="0" customWidth="1"/>
  </cols>
  <sheetData>
    <row r="1" spans="2:11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1" ht="15">
      <c r="B2" s="220"/>
      <c r="C2" s="220"/>
      <c r="D2" s="220"/>
      <c r="E2" s="220"/>
      <c r="F2" s="220"/>
      <c r="G2" s="220"/>
      <c r="H2" s="221"/>
      <c r="I2" s="220"/>
      <c r="J2" s="231"/>
      <c r="K2" s="154"/>
    </row>
    <row r="3" spans="2:11" ht="30" customHeight="1">
      <c r="B3" s="740" t="s">
        <v>1049</v>
      </c>
      <c r="C3" s="741"/>
      <c r="D3" s="741"/>
      <c r="E3" s="741"/>
      <c r="F3" s="741"/>
      <c r="G3" s="741"/>
      <c r="H3" s="741"/>
      <c r="I3" s="742"/>
      <c r="J3" s="231"/>
      <c r="K3" s="154"/>
    </row>
    <row r="4" spans="2:11" ht="15">
      <c r="B4" s="221"/>
      <c r="C4" s="221"/>
      <c r="D4" s="221"/>
      <c r="E4" s="221"/>
      <c r="F4" s="221"/>
      <c r="G4" s="221"/>
      <c r="H4" s="221"/>
      <c r="I4" s="220"/>
      <c r="J4" s="231"/>
      <c r="K4" s="154"/>
    </row>
    <row r="5" spans="2:11" ht="15">
      <c r="B5" s="736" t="s">
        <v>1029</v>
      </c>
      <c r="C5" s="736"/>
      <c r="D5" s="736"/>
      <c r="E5" s="736"/>
      <c r="F5" s="736"/>
      <c r="G5" s="736"/>
      <c r="H5" s="736"/>
      <c r="I5" s="736"/>
      <c r="J5" s="231"/>
      <c r="K5" s="154"/>
    </row>
    <row r="6" spans="2:11" ht="15">
      <c r="B6" s="221"/>
      <c r="C6" s="221"/>
      <c r="D6" s="221"/>
      <c r="E6" s="221"/>
      <c r="F6" s="221"/>
      <c r="G6" s="221"/>
      <c r="H6" s="221"/>
      <c r="I6" s="220"/>
      <c r="J6" s="231"/>
      <c r="K6" s="154"/>
    </row>
    <row r="7" spans="2:11" ht="15.75">
      <c r="B7" s="502" t="s">
        <v>967</v>
      </c>
      <c r="C7" s="220"/>
      <c r="D7" s="221"/>
      <c r="E7" s="221"/>
      <c r="F7" s="221"/>
      <c r="G7" s="220"/>
      <c r="H7" s="221"/>
      <c r="I7" s="220"/>
      <c r="J7" s="231"/>
      <c r="K7" s="154"/>
    </row>
    <row r="8" spans="2:11" ht="15.75">
      <c r="B8" s="502" t="s">
        <v>2098</v>
      </c>
      <c r="C8" s="220"/>
      <c r="D8" s="221"/>
      <c r="E8" s="221"/>
      <c r="F8" s="221"/>
      <c r="G8" s="220"/>
      <c r="H8" s="221"/>
      <c r="I8" s="220"/>
      <c r="J8" s="231"/>
      <c r="K8" s="154"/>
    </row>
    <row r="9" spans="2:11" ht="15.75">
      <c r="B9" s="224" t="s">
        <v>2087</v>
      </c>
      <c r="C9" s="220"/>
      <c r="D9" s="225"/>
      <c r="E9" s="221"/>
      <c r="F9" s="221"/>
      <c r="G9" s="220"/>
      <c r="H9" s="221"/>
      <c r="I9" s="220"/>
      <c r="J9" s="231"/>
      <c r="K9" s="154"/>
    </row>
    <row r="10" spans="2:11" ht="15.75">
      <c r="B10" s="224" t="s">
        <v>1663</v>
      </c>
      <c r="C10" s="220"/>
      <c r="D10" s="225"/>
      <c r="E10" s="221"/>
      <c r="F10" s="221"/>
      <c r="G10" s="220"/>
      <c r="H10" s="221"/>
      <c r="I10" s="220"/>
      <c r="J10" s="231"/>
      <c r="K10" s="154"/>
    </row>
    <row r="11" spans="2:11" ht="15">
      <c r="B11" s="220" t="s">
        <v>1665</v>
      </c>
      <c r="C11" s="220"/>
      <c r="D11" s="220"/>
      <c r="E11" s="220"/>
      <c r="F11" s="220"/>
      <c r="G11" s="220"/>
      <c r="H11" s="221"/>
      <c r="I11" s="220"/>
      <c r="J11" s="231"/>
      <c r="K11" s="154"/>
    </row>
    <row r="12" spans="2:11" ht="15.75">
      <c r="B12" s="226" t="s">
        <v>1030</v>
      </c>
      <c r="C12" s="227" t="s">
        <v>1031</v>
      </c>
      <c r="D12" s="225"/>
      <c r="E12" s="225"/>
      <c r="F12" s="225"/>
      <c r="G12" s="225"/>
      <c r="H12" s="228"/>
      <c r="I12" s="220"/>
      <c r="J12" s="231"/>
      <c r="K12" s="154"/>
    </row>
    <row r="13" spans="2:11" ht="15.75">
      <c r="B13" s="226" t="s">
        <v>1032</v>
      </c>
      <c r="C13" s="223" t="s">
        <v>1033</v>
      </c>
      <c r="D13" s="225"/>
      <c r="E13" s="225"/>
      <c r="F13" s="225"/>
      <c r="G13" s="225"/>
      <c r="H13" s="228"/>
      <c r="I13" s="220"/>
      <c r="J13" s="231"/>
      <c r="K13" s="154"/>
    </row>
    <row r="14" spans="1:11" ht="15" thickBot="1">
      <c r="A14" s="31"/>
      <c r="B14" s="86"/>
      <c r="C14" s="31"/>
      <c r="D14" s="31"/>
      <c r="E14" s="31"/>
      <c r="F14" s="31"/>
      <c r="G14" s="31"/>
      <c r="H14" s="31"/>
      <c r="I14" s="86"/>
      <c r="J14" s="153"/>
      <c r="K14" s="154"/>
    </row>
    <row r="15" spans="1:15" ht="4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36.75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25.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ht="29.25">
      <c r="A18" s="274" t="s">
        <v>11</v>
      </c>
      <c r="B18" s="52" t="s">
        <v>756</v>
      </c>
      <c r="C18" s="52" t="s">
        <v>757</v>
      </c>
      <c r="D18" s="138" t="s">
        <v>758</v>
      </c>
      <c r="E18" s="52"/>
      <c r="F18" s="52" t="s">
        <v>759</v>
      </c>
      <c r="G18" s="52" t="s">
        <v>757</v>
      </c>
      <c r="H18" s="413" t="s">
        <v>1187</v>
      </c>
      <c r="I18" s="42">
        <v>256028</v>
      </c>
      <c r="J18" s="191" t="s">
        <v>154</v>
      </c>
      <c r="K18" s="164">
        <v>6.3</v>
      </c>
      <c r="L18" s="53">
        <f>94426-72543</f>
        <v>21883</v>
      </c>
      <c r="M18" s="54"/>
      <c r="N18" s="54"/>
      <c r="O18" s="53">
        <f>L18</f>
        <v>21883</v>
      </c>
    </row>
    <row r="19" spans="1:15" ht="43.5">
      <c r="A19" s="275" t="s">
        <v>11</v>
      </c>
      <c r="B19" s="55" t="s">
        <v>756</v>
      </c>
      <c r="C19" s="55" t="s">
        <v>757</v>
      </c>
      <c r="D19" s="60" t="s">
        <v>760</v>
      </c>
      <c r="E19" s="55"/>
      <c r="F19" s="55" t="s">
        <v>759</v>
      </c>
      <c r="G19" s="55" t="s">
        <v>757</v>
      </c>
      <c r="H19" s="415" t="s">
        <v>1188</v>
      </c>
      <c r="I19" s="46">
        <v>357151</v>
      </c>
      <c r="J19" s="156" t="s">
        <v>154</v>
      </c>
      <c r="K19" s="62">
        <v>10.8</v>
      </c>
      <c r="L19" s="13">
        <f>65914-51046</f>
        <v>14868</v>
      </c>
      <c r="M19" s="45"/>
      <c r="N19" s="45"/>
      <c r="O19" s="53">
        <f aca="true" t="shared" si="0" ref="O19:O82">L19</f>
        <v>14868</v>
      </c>
    </row>
    <row r="20" spans="1:15" ht="29.25" customHeight="1">
      <c r="A20" s="275" t="s">
        <v>11</v>
      </c>
      <c r="B20" s="55" t="s">
        <v>756</v>
      </c>
      <c r="C20" s="55" t="s">
        <v>757</v>
      </c>
      <c r="D20" s="60" t="s">
        <v>761</v>
      </c>
      <c r="E20" s="55"/>
      <c r="F20" s="55" t="s">
        <v>759</v>
      </c>
      <c r="G20" s="55" t="s">
        <v>757</v>
      </c>
      <c r="H20" s="415" t="s">
        <v>1189</v>
      </c>
      <c r="I20" s="46">
        <v>11202312</v>
      </c>
      <c r="J20" s="156" t="s">
        <v>154</v>
      </c>
      <c r="K20" s="62">
        <v>4.3</v>
      </c>
      <c r="L20" s="13">
        <f>265939-242613</f>
        <v>23326</v>
      </c>
      <c r="M20" s="45"/>
      <c r="N20" s="45"/>
      <c r="O20" s="53">
        <f t="shared" si="0"/>
        <v>23326</v>
      </c>
    </row>
    <row r="21" spans="1:15" ht="43.5">
      <c r="A21" s="275" t="s">
        <v>11</v>
      </c>
      <c r="B21" s="55" t="s">
        <v>756</v>
      </c>
      <c r="C21" s="55" t="s">
        <v>757</v>
      </c>
      <c r="D21" s="60" t="s">
        <v>762</v>
      </c>
      <c r="E21" s="55"/>
      <c r="F21" s="55" t="s">
        <v>759</v>
      </c>
      <c r="G21" s="55" t="s">
        <v>757</v>
      </c>
      <c r="H21" s="415" t="s">
        <v>1190</v>
      </c>
      <c r="I21" s="46">
        <v>356783</v>
      </c>
      <c r="J21" s="156" t="s">
        <v>154</v>
      </c>
      <c r="K21" s="62">
        <v>4.5</v>
      </c>
      <c r="L21" s="13">
        <f>203598-160740</f>
        <v>42858</v>
      </c>
      <c r="M21" s="45"/>
      <c r="N21" s="45"/>
      <c r="O21" s="53">
        <f t="shared" si="0"/>
        <v>42858</v>
      </c>
    </row>
    <row r="22" spans="1:15" ht="43.5">
      <c r="A22" s="275" t="s">
        <v>11</v>
      </c>
      <c r="B22" s="55" t="s">
        <v>756</v>
      </c>
      <c r="C22" s="55" t="s">
        <v>757</v>
      </c>
      <c r="D22" s="60" t="s">
        <v>763</v>
      </c>
      <c r="E22" s="55"/>
      <c r="F22" s="55" t="s">
        <v>759</v>
      </c>
      <c r="G22" s="55" t="s">
        <v>757</v>
      </c>
      <c r="H22" s="415" t="s">
        <v>1191</v>
      </c>
      <c r="I22" s="46">
        <v>8565535</v>
      </c>
      <c r="J22" s="156" t="s">
        <v>154</v>
      </c>
      <c r="K22" s="62">
        <v>3</v>
      </c>
      <c r="L22" s="13">
        <f>97187-87115</f>
        <v>10072</v>
      </c>
      <c r="M22" s="45"/>
      <c r="N22" s="45"/>
      <c r="O22" s="53">
        <f t="shared" si="0"/>
        <v>10072</v>
      </c>
    </row>
    <row r="23" spans="1:15" ht="29.25">
      <c r="A23" s="275" t="s">
        <v>11</v>
      </c>
      <c r="B23" s="55" t="s">
        <v>756</v>
      </c>
      <c r="C23" s="55" t="s">
        <v>757</v>
      </c>
      <c r="D23" s="60" t="s">
        <v>764</v>
      </c>
      <c r="E23" s="55"/>
      <c r="F23" s="55" t="s">
        <v>759</v>
      </c>
      <c r="G23" s="55" t="s">
        <v>757</v>
      </c>
      <c r="H23" s="415" t="s">
        <v>1192</v>
      </c>
      <c r="I23" s="46">
        <v>70542067</v>
      </c>
      <c r="J23" s="156" t="s">
        <v>154</v>
      </c>
      <c r="K23" s="62">
        <v>8.5</v>
      </c>
      <c r="L23" s="13">
        <f>114650-88105</f>
        <v>26545</v>
      </c>
      <c r="M23" s="45"/>
      <c r="N23" s="45"/>
      <c r="O23" s="53">
        <f t="shared" si="0"/>
        <v>26545</v>
      </c>
    </row>
    <row r="24" spans="1:15" ht="29.25">
      <c r="A24" s="275" t="s">
        <v>11</v>
      </c>
      <c r="B24" s="55" t="s">
        <v>756</v>
      </c>
      <c r="C24" s="55" t="s">
        <v>757</v>
      </c>
      <c r="D24" s="60" t="s">
        <v>765</v>
      </c>
      <c r="E24" s="55"/>
      <c r="F24" s="55" t="s">
        <v>759</v>
      </c>
      <c r="G24" s="55" t="s">
        <v>757</v>
      </c>
      <c r="H24" s="415" t="s">
        <v>1193</v>
      </c>
      <c r="I24" s="46">
        <v>70507405</v>
      </c>
      <c r="J24" s="156" t="s">
        <v>154</v>
      </c>
      <c r="K24" s="62">
        <v>5.5</v>
      </c>
      <c r="L24" s="13">
        <f>76285-67827</f>
        <v>8458</v>
      </c>
      <c r="M24" s="45"/>
      <c r="N24" s="45"/>
      <c r="O24" s="53">
        <f t="shared" si="0"/>
        <v>8458</v>
      </c>
    </row>
    <row r="25" spans="1:15" ht="18">
      <c r="A25" s="275" t="s">
        <v>11</v>
      </c>
      <c r="B25" s="55" t="s">
        <v>756</v>
      </c>
      <c r="C25" s="55" t="s">
        <v>1795</v>
      </c>
      <c r="D25" s="60" t="s">
        <v>1796</v>
      </c>
      <c r="E25" s="55"/>
      <c r="F25" s="55" t="s">
        <v>759</v>
      </c>
      <c r="G25" s="55" t="s">
        <v>757</v>
      </c>
      <c r="H25" s="415" t="s">
        <v>1194</v>
      </c>
      <c r="I25" s="46">
        <v>70544263</v>
      </c>
      <c r="J25" s="156" t="s">
        <v>154</v>
      </c>
      <c r="K25" s="62">
        <v>4.8</v>
      </c>
      <c r="L25" s="13">
        <f>63126-50489</f>
        <v>12637</v>
      </c>
      <c r="M25" s="45"/>
      <c r="N25" s="45"/>
      <c r="O25" s="53">
        <f t="shared" si="0"/>
        <v>12637</v>
      </c>
    </row>
    <row r="26" spans="1:15" ht="29.25">
      <c r="A26" s="275" t="s">
        <v>11</v>
      </c>
      <c r="B26" s="55" t="s">
        <v>756</v>
      </c>
      <c r="C26" s="55" t="s">
        <v>757</v>
      </c>
      <c r="D26" s="60" t="s">
        <v>766</v>
      </c>
      <c r="E26" s="55"/>
      <c r="F26" s="55" t="s">
        <v>759</v>
      </c>
      <c r="G26" s="55" t="s">
        <v>757</v>
      </c>
      <c r="H26" s="415" t="s">
        <v>1195</v>
      </c>
      <c r="I26" s="46">
        <v>70748129</v>
      </c>
      <c r="J26" s="156" t="s">
        <v>154</v>
      </c>
      <c r="K26" s="62">
        <v>4.5</v>
      </c>
      <c r="L26" s="13">
        <f>126163-108076</f>
        <v>18087</v>
      </c>
      <c r="M26" s="45"/>
      <c r="N26" s="45"/>
      <c r="O26" s="53">
        <f t="shared" si="0"/>
        <v>18087</v>
      </c>
    </row>
    <row r="27" spans="1:15" ht="43.5">
      <c r="A27" s="275" t="s">
        <v>11</v>
      </c>
      <c r="B27" s="55" t="s">
        <v>756</v>
      </c>
      <c r="C27" s="55" t="s">
        <v>757</v>
      </c>
      <c r="D27" s="60" t="s">
        <v>1798</v>
      </c>
      <c r="E27" s="55" t="s">
        <v>1797</v>
      </c>
      <c r="F27" s="55" t="s">
        <v>759</v>
      </c>
      <c r="G27" s="55" t="s">
        <v>757</v>
      </c>
      <c r="H27" s="415" t="s">
        <v>1196</v>
      </c>
      <c r="I27" s="46">
        <v>90084186</v>
      </c>
      <c r="J27" s="156" t="s">
        <v>154</v>
      </c>
      <c r="K27" s="62">
        <v>6</v>
      </c>
      <c r="L27" s="13">
        <f>33399-18514</f>
        <v>14885</v>
      </c>
      <c r="M27" s="45"/>
      <c r="N27" s="45"/>
      <c r="O27" s="53">
        <f t="shared" si="0"/>
        <v>14885</v>
      </c>
    </row>
    <row r="28" spans="1:15" ht="24.75" customHeight="1">
      <c r="A28" s="275" t="s">
        <v>11</v>
      </c>
      <c r="B28" s="55" t="s">
        <v>756</v>
      </c>
      <c r="C28" s="55" t="s">
        <v>757</v>
      </c>
      <c r="D28" s="60" t="s">
        <v>409</v>
      </c>
      <c r="E28" s="55"/>
      <c r="F28" s="55" t="s">
        <v>759</v>
      </c>
      <c r="G28" s="55" t="s">
        <v>757</v>
      </c>
      <c r="H28" s="415" t="s">
        <v>1197</v>
      </c>
      <c r="I28" s="46">
        <v>8275466</v>
      </c>
      <c r="J28" s="156" t="s">
        <v>154</v>
      </c>
      <c r="K28" s="62">
        <v>3.4</v>
      </c>
      <c r="L28" s="13">
        <f>56116-50636</f>
        <v>5480</v>
      </c>
      <c r="M28" s="45"/>
      <c r="N28" s="45"/>
      <c r="O28" s="53">
        <f t="shared" si="0"/>
        <v>5480</v>
      </c>
    </row>
    <row r="29" spans="1:15" ht="22.5" customHeight="1">
      <c r="A29" s="275" t="s">
        <v>11</v>
      </c>
      <c r="B29" s="55" t="s">
        <v>756</v>
      </c>
      <c r="C29" s="55" t="s">
        <v>757</v>
      </c>
      <c r="D29" s="60" t="s">
        <v>409</v>
      </c>
      <c r="E29" s="55"/>
      <c r="F29" s="55" t="s">
        <v>759</v>
      </c>
      <c r="G29" s="55" t="s">
        <v>757</v>
      </c>
      <c r="H29" s="415" t="s">
        <v>1198</v>
      </c>
      <c r="I29" s="46">
        <v>7511414</v>
      </c>
      <c r="J29" s="156" t="s">
        <v>154</v>
      </c>
      <c r="K29" s="62">
        <v>4</v>
      </c>
      <c r="L29" s="13">
        <f>122706-97600</f>
        <v>25106</v>
      </c>
      <c r="M29" s="45"/>
      <c r="N29" s="45"/>
      <c r="O29" s="53">
        <f t="shared" si="0"/>
        <v>25106</v>
      </c>
    </row>
    <row r="30" spans="1:15" ht="39" customHeight="1">
      <c r="A30" s="275" t="s">
        <v>11</v>
      </c>
      <c r="B30" s="55" t="s">
        <v>756</v>
      </c>
      <c r="C30" s="55" t="s">
        <v>757</v>
      </c>
      <c r="D30" s="60" t="s">
        <v>767</v>
      </c>
      <c r="E30" s="55"/>
      <c r="F30" s="55" t="s">
        <v>759</v>
      </c>
      <c r="G30" s="55" t="s">
        <v>757</v>
      </c>
      <c r="H30" s="415" t="s">
        <v>1199</v>
      </c>
      <c r="I30" s="46">
        <v>70529708</v>
      </c>
      <c r="J30" s="156" t="s">
        <v>154</v>
      </c>
      <c r="K30" s="62">
        <v>2</v>
      </c>
      <c r="L30" s="13">
        <f>31493-24734</f>
        <v>6759</v>
      </c>
      <c r="M30" s="45"/>
      <c r="N30" s="45"/>
      <c r="O30" s="53">
        <f t="shared" si="0"/>
        <v>6759</v>
      </c>
    </row>
    <row r="31" spans="1:15" ht="43.5">
      <c r="A31" s="275" t="s">
        <v>11</v>
      </c>
      <c r="B31" s="55" t="s">
        <v>756</v>
      </c>
      <c r="C31" s="55" t="s">
        <v>757</v>
      </c>
      <c r="D31" s="60" t="s">
        <v>768</v>
      </c>
      <c r="E31" s="55"/>
      <c r="F31" s="55" t="s">
        <v>759</v>
      </c>
      <c r="G31" s="55" t="s">
        <v>757</v>
      </c>
      <c r="H31" s="415" t="s">
        <v>1200</v>
      </c>
      <c r="I31" s="46">
        <v>8678099</v>
      </c>
      <c r="J31" s="156" t="s">
        <v>154</v>
      </c>
      <c r="K31" s="62">
        <v>4.8</v>
      </c>
      <c r="L31" s="13">
        <f>46623-41573</f>
        <v>5050</v>
      </c>
      <c r="M31" s="45"/>
      <c r="N31" s="45"/>
      <c r="O31" s="53">
        <f t="shared" si="0"/>
        <v>5050</v>
      </c>
    </row>
    <row r="32" spans="1:15" ht="43.5">
      <c r="A32" s="275" t="s">
        <v>11</v>
      </c>
      <c r="B32" s="55" t="s">
        <v>756</v>
      </c>
      <c r="C32" s="55" t="s">
        <v>757</v>
      </c>
      <c r="D32" s="60" t="s">
        <v>769</v>
      </c>
      <c r="E32" s="55"/>
      <c r="F32" s="55" t="s">
        <v>759</v>
      </c>
      <c r="G32" s="55" t="s">
        <v>757</v>
      </c>
      <c r="H32" s="415" t="s">
        <v>1201</v>
      </c>
      <c r="I32" s="46">
        <v>70652726</v>
      </c>
      <c r="J32" s="156" t="s">
        <v>154</v>
      </c>
      <c r="K32" s="62">
        <v>5</v>
      </c>
      <c r="L32" s="13">
        <f>25121-21119</f>
        <v>4002</v>
      </c>
      <c r="M32" s="45"/>
      <c r="N32" s="45"/>
      <c r="O32" s="53">
        <f t="shared" si="0"/>
        <v>4002</v>
      </c>
    </row>
    <row r="33" spans="1:15" ht="43.5">
      <c r="A33" s="275" t="s">
        <v>11</v>
      </c>
      <c r="B33" s="55" t="s">
        <v>756</v>
      </c>
      <c r="C33" s="55" t="s">
        <v>757</v>
      </c>
      <c r="D33" s="60" t="s">
        <v>770</v>
      </c>
      <c r="E33" s="55"/>
      <c r="F33" s="55" t="s">
        <v>759</v>
      </c>
      <c r="G33" s="55" t="s">
        <v>757</v>
      </c>
      <c r="H33" s="415" t="s">
        <v>1202</v>
      </c>
      <c r="I33" s="46">
        <v>20452</v>
      </c>
      <c r="J33" s="156" t="s">
        <v>154</v>
      </c>
      <c r="K33" s="62">
        <v>1.8</v>
      </c>
      <c r="L33" s="13">
        <f>25028-21395</f>
        <v>3633</v>
      </c>
      <c r="M33" s="45"/>
      <c r="N33" s="45"/>
      <c r="O33" s="53">
        <f t="shared" si="0"/>
        <v>3633</v>
      </c>
    </row>
    <row r="34" spans="1:15" ht="21" customHeight="1">
      <c r="A34" s="275" t="s">
        <v>11</v>
      </c>
      <c r="B34" s="55" t="s">
        <v>756</v>
      </c>
      <c r="C34" s="55" t="s">
        <v>757</v>
      </c>
      <c r="D34" s="60" t="s">
        <v>771</v>
      </c>
      <c r="E34" s="55"/>
      <c r="F34" s="55" t="s">
        <v>759</v>
      </c>
      <c r="G34" s="55" t="s">
        <v>757</v>
      </c>
      <c r="H34" s="415" t="s">
        <v>1203</v>
      </c>
      <c r="I34" s="46">
        <v>99894</v>
      </c>
      <c r="J34" s="156" t="s">
        <v>154</v>
      </c>
      <c r="K34" s="62">
        <v>7.5</v>
      </c>
      <c r="L34" s="13">
        <f>46105-40062</f>
        <v>6043</v>
      </c>
      <c r="M34" s="45"/>
      <c r="N34" s="45"/>
      <c r="O34" s="53">
        <f t="shared" si="0"/>
        <v>6043</v>
      </c>
    </row>
    <row r="35" spans="1:15" ht="29.25">
      <c r="A35" s="275" t="s">
        <v>11</v>
      </c>
      <c r="B35" s="55" t="s">
        <v>756</v>
      </c>
      <c r="C35" s="55" t="s">
        <v>757</v>
      </c>
      <c r="D35" s="60" t="s">
        <v>772</v>
      </c>
      <c r="E35" s="55"/>
      <c r="F35" s="55" t="s">
        <v>759</v>
      </c>
      <c r="G35" s="55" t="s">
        <v>757</v>
      </c>
      <c r="H35" s="415" t="s">
        <v>1204</v>
      </c>
      <c r="I35" s="46">
        <v>70544319</v>
      </c>
      <c r="J35" s="156" t="s">
        <v>154</v>
      </c>
      <c r="K35" s="62">
        <v>4.5</v>
      </c>
      <c r="L35" s="13">
        <f>147776-140951</f>
        <v>6825</v>
      </c>
      <c r="M35" s="45"/>
      <c r="N35" s="45"/>
      <c r="O35" s="53">
        <f t="shared" si="0"/>
        <v>6825</v>
      </c>
    </row>
    <row r="36" spans="1:15" ht="29.25">
      <c r="A36" s="275" t="s">
        <v>11</v>
      </c>
      <c r="B36" s="55" t="s">
        <v>756</v>
      </c>
      <c r="C36" s="55" t="s">
        <v>757</v>
      </c>
      <c r="D36" s="60" t="s">
        <v>773</v>
      </c>
      <c r="E36" s="55"/>
      <c r="F36" s="55" t="s">
        <v>759</v>
      </c>
      <c r="G36" s="55" t="s">
        <v>757</v>
      </c>
      <c r="H36" s="415" t="s">
        <v>1205</v>
      </c>
      <c r="I36" s="46">
        <v>90104527</v>
      </c>
      <c r="J36" s="156" t="s">
        <v>154</v>
      </c>
      <c r="K36" s="62">
        <v>8.5</v>
      </c>
      <c r="L36" s="13">
        <f>29622-23312</f>
        <v>6310</v>
      </c>
      <c r="M36" s="45"/>
      <c r="N36" s="45"/>
      <c r="O36" s="53">
        <f t="shared" si="0"/>
        <v>6310</v>
      </c>
    </row>
    <row r="37" spans="1:15" ht="29.25">
      <c r="A37" s="275" t="s">
        <v>11</v>
      </c>
      <c r="B37" s="55" t="s">
        <v>756</v>
      </c>
      <c r="C37" s="55" t="s">
        <v>757</v>
      </c>
      <c r="D37" s="60" t="s">
        <v>774</v>
      </c>
      <c r="E37" s="55"/>
      <c r="F37" s="55" t="s">
        <v>759</v>
      </c>
      <c r="G37" s="55" t="s">
        <v>757</v>
      </c>
      <c r="H37" s="415" t="s">
        <v>1206</v>
      </c>
      <c r="I37" s="46">
        <v>70652853</v>
      </c>
      <c r="J37" s="156" t="s">
        <v>154</v>
      </c>
      <c r="K37" s="62">
        <v>6.5</v>
      </c>
      <c r="L37" s="13">
        <f>129637-119342</f>
        <v>10295</v>
      </c>
      <c r="M37" s="45"/>
      <c r="N37" s="45"/>
      <c r="O37" s="53">
        <f t="shared" si="0"/>
        <v>10295</v>
      </c>
    </row>
    <row r="38" spans="1:15" ht="29.25">
      <c r="A38" s="275" t="s">
        <v>11</v>
      </c>
      <c r="B38" s="55" t="s">
        <v>756</v>
      </c>
      <c r="C38" s="55" t="s">
        <v>757</v>
      </c>
      <c r="D38" s="60" t="s">
        <v>775</v>
      </c>
      <c r="E38" s="55"/>
      <c r="F38" s="55" t="s">
        <v>759</v>
      </c>
      <c r="G38" s="55" t="s">
        <v>757</v>
      </c>
      <c r="H38" s="415" t="s">
        <v>1207</v>
      </c>
      <c r="I38" s="46">
        <v>70543871</v>
      </c>
      <c r="J38" s="156" t="s">
        <v>154</v>
      </c>
      <c r="K38" s="62">
        <v>8.8</v>
      </c>
      <c r="L38" s="13">
        <f>66013-55554</f>
        <v>10459</v>
      </c>
      <c r="M38" s="45"/>
      <c r="N38" s="45"/>
      <c r="O38" s="53">
        <f t="shared" si="0"/>
        <v>10459</v>
      </c>
    </row>
    <row r="39" spans="1:15" ht="29.25">
      <c r="A39" s="275" t="s">
        <v>11</v>
      </c>
      <c r="B39" s="55" t="s">
        <v>756</v>
      </c>
      <c r="C39" s="55" t="s">
        <v>757</v>
      </c>
      <c r="D39" s="60" t="s">
        <v>776</v>
      </c>
      <c r="E39" s="55"/>
      <c r="F39" s="55" t="s">
        <v>759</v>
      </c>
      <c r="G39" s="55" t="s">
        <v>757</v>
      </c>
      <c r="H39" s="415" t="s">
        <v>1208</v>
      </c>
      <c r="I39" s="46">
        <v>90103851</v>
      </c>
      <c r="J39" s="156" t="s">
        <v>154</v>
      </c>
      <c r="K39" s="62">
        <v>7</v>
      </c>
      <c r="L39" s="13">
        <f>15255-8614</f>
        <v>6641</v>
      </c>
      <c r="M39" s="45"/>
      <c r="N39" s="45"/>
      <c r="O39" s="53">
        <f t="shared" si="0"/>
        <v>6641</v>
      </c>
    </row>
    <row r="40" spans="1:15" ht="43.5">
      <c r="A40" s="275" t="s">
        <v>11</v>
      </c>
      <c r="B40" s="55" t="s">
        <v>756</v>
      </c>
      <c r="C40" s="55" t="s">
        <v>757</v>
      </c>
      <c r="D40" s="60" t="s">
        <v>777</v>
      </c>
      <c r="E40" s="55"/>
      <c r="F40" s="55" t="s">
        <v>759</v>
      </c>
      <c r="G40" s="55" t="s">
        <v>757</v>
      </c>
      <c r="H40" s="415" t="s">
        <v>1209</v>
      </c>
      <c r="I40" s="46">
        <v>90207410</v>
      </c>
      <c r="J40" s="156" t="s">
        <v>154</v>
      </c>
      <c r="K40" s="62">
        <v>7.5</v>
      </c>
      <c r="L40" s="13">
        <f>27130-13256</f>
        <v>13874</v>
      </c>
      <c r="M40" s="45"/>
      <c r="N40" s="45"/>
      <c r="O40" s="53">
        <f t="shared" si="0"/>
        <v>13874</v>
      </c>
    </row>
    <row r="41" spans="1:15" ht="29.25">
      <c r="A41" s="275" t="s">
        <v>11</v>
      </c>
      <c r="B41" s="55" t="s">
        <v>756</v>
      </c>
      <c r="C41" s="55" t="s">
        <v>757</v>
      </c>
      <c r="D41" s="60" t="s">
        <v>778</v>
      </c>
      <c r="E41" s="55"/>
      <c r="F41" s="55" t="s">
        <v>759</v>
      </c>
      <c r="G41" s="55" t="s">
        <v>757</v>
      </c>
      <c r="H41" s="415" t="s">
        <v>1210</v>
      </c>
      <c r="I41" s="46">
        <v>90103769</v>
      </c>
      <c r="J41" s="156" t="s">
        <v>154</v>
      </c>
      <c r="K41" s="62">
        <v>22</v>
      </c>
      <c r="L41" s="13">
        <f>54967-27326</f>
        <v>27641</v>
      </c>
      <c r="M41" s="45"/>
      <c r="N41" s="45"/>
      <c r="O41" s="53">
        <f t="shared" si="0"/>
        <v>27641</v>
      </c>
    </row>
    <row r="42" spans="1:15" ht="18">
      <c r="A42" s="275" t="s">
        <v>11</v>
      </c>
      <c r="B42" s="55" t="s">
        <v>756</v>
      </c>
      <c r="C42" s="55" t="s">
        <v>757</v>
      </c>
      <c r="D42" s="60" t="s">
        <v>779</v>
      </c>
      <c r="E42" s="55"/>
      <c r="F42" s="55" t="s">
        <v>759</v>
      </c>
      <c r="G42" s="55" t="s">
        <v>757</v>
      </c>
      <c r="H42" s="415" t="s">
        <v>1211</v>
      </c>
      <c r="I42" s="46">
        <v>90102597</v>
      </c>
      <c r="J42" s="156" t="s">
        <v>154</v>
      </c>
      <c r="K42" s="62">
        <v>7.5</v>
      </c>
      <c r="L42" s="13">
        <f>28459-16437</f>
        <v>12022</v>
      </c>
      <c r="M42" s="45"/>
      <c r="N42" s="45"/>
      <c r="O42" s="53">
        <f t="shared" si="0"/>
        <v>12022</v>
      </c>
    </row>
    <row r="43" spans="1:15" ht="29.25">
      <c r="A43" s="275" t="s">
        <v>11</v>
      </c>
      <c r="B43" s="55" t="s">
        <v>756</v>
      </c>
      <c r="C43" s="55" t="s">
        <v>757</v>
      </c>
      <c r="D43" s="60" t="s">
        <v>780</v>
      </c>
      <c r="E43" s="55"/>
      <c r="F43" s="55" t="s">
        <v>759</v>
      </c>
      <c r="G43" s="55" t="s">
        <v>757</v>
      </c>
      <c r="H43" s="415" t="s">
        <v>1212</v>
      </c>
      <c r="I43" s="46">
        <v>70691866</v>
      </c>
      <c r="J43" s="156" t="s">
        <v>154</v>
      </c>
      <c r="K43" s="62">
        <v>20</v>
      </c>
      <c r="L43" s="13">
        <f>109603-94292</f>
        <v>15311</v>
      </c>
      <c r="M43" s="45"/>
      <c r="N43" s="45"/>
      <c r="O43" s="53">
        <f t="shared" si="0"/>
        <v>15311</v>
      </c>
    </row>
    <row r="44" spans="1:15" ht="29.25">
      <c r="A44" s="275" t="s">
        <v>11</v>
      </c>
      <c r="B44" s="55" t="s">
        <v>756</v>
      </c>
      <c r="C44" s="55" t="s">
        <v>757</v>
      </c>
      <c r="D44" s="60" t="s">
        <v>781</v>
      </c>
      <c r="E44" s="55"/>
      <c r="F44" s="55" t="s">
        <v>759</v>
      </c>
      <c r="G44" s="55" t="s">
        <v>757</v>
      </c>
      <c r="H44" s="415" t="s">
        <v>1213</v>
      </c>
      <c r="I44" s="46">
        <v>70748130</v>
      </c>
      <c r="J44" s="156" t="s">
        <v>154</v>
      </c>
      <c r="K44" s="62">
        <v>3</v>
      </c>
      <c r="L44" s="13">
        <f>120049-105101</f>
        <v>14948</v>
      </c>
      <c r="M44" s="45"/>
      <c r="N44" s="45"/>
      <c r="O44" s="53">
        <f t="shared" si="0"/>
        <v>14948</v>
      </c>
    </row>
    <row r="45" spans="1:15" ht="29.25">
      <c r="A45" s="275" t="s">
        <v>11</v>
      </c>
      <c r="B45" s="55" t="s">
        <v>756</v>
      </c>
      <c r="C45" s="55" t="s">
        <v>757</v>
      </c>
      <c r="D45" s="60" t="s">
        <v>782</v>
      </c>
      <c r="E45" s="55"/>
      <c r="F45" s="55" t="s">
        <v>759</v>
      </c>
      <c r="G45" s="55" t="s">
        <v>757</v>
      </c>
      <c r="H45" s="415" t="s">
        <v>1214</v>
      </c>
      <c r="I45" s="46">
        <v>356781</v>
      </c>
      <c r="J45" s="156" t="s">
        <v>154</v>
      </c>
      <c r="K45" s="62">
        <v>10</v>
      </c>
      <c r="L45" s="13">
        <f>45298-34675</f>
        <v>10623</v>
      </c>
      <c r="M45" s="45"/>
      <c r="N45" s="45"/>
      <c r="O45" s="53">
        <f t="shared" si="0"/>
        <v>10623</v>
      </c>
    </row>
    <row r="46" spans="1:15" ht="29.25">
      <c r="A46" s="275" t="s">
        <v>11</v>
      </c>
      <c r="B46" s="55" t="s">
        <v>756</v>
      </c>
      <c r="C46" s="55" t="s">
        <v>757</v>
      </c>
      <c r="D46" s="60" t="s">
        <v>783</v>
      </c>
      <c r="E46" s="55"/>
      <c r="F46" s="55" t="s">
        <v>759</v>
      </c>
      <c r="G46" s="55" t="s">
        <v>757</v>
      </c>
      <c r="H46" s="415" t="s">
        <v>1215</v>
      </c>
      <c r="I46" s="46">
        <v>70544597</v>
      </c>
      <c r="J46" s="156" t="s">
        <v>154</v>
      </c>
      <c r="K46" s="62">
        <v>10</v>
      </c>
      <c r="L46" s="13">
        <f>135590-110453</f>
        <v>25137</v>
      </c>
      <c r="M46" s="45"/>
      <c r="N46" s="45"/>
      <c r="O46" s="53">
        <f t="shared" si="0"/>
        <v>25137</v>
      </c>
    </row>
    <row r="47" spans="1:15" ht="29.25">
      <c r="A47" s="275" t="s">
        <v>11</v>
      </c>
      <c r="B47" s="55" t="s">
        <v>756</v>
      </c>
      <c r="C47" s="55" t="s">
        <v>757</v>
      </c>
      <c r="D47" s="60" t="s">
        <v>784</v>
      </c>
      <c r="E47" s="55"/>
      <c r="F47" s="55" t="s">
        <v>759</v>
      </c>
      <c r="G47" s="55" t="s">
        <v>757</v>
      </c>
      <c r="H47" s="415" t="s">
        <v>1216</v>
      </c>
      <c r="I47" s="46">
        <v>70693943</v>
      </c>
      <c r="J47" s="156" t="s">
        <v>154</v>
      </c>
      <c r="K47" s="62">
        <v>10</v>
      </c>
      <c r="L47" s="13">
        <f>119727-106768</f>
        <v>12959</v>
      </c>
      <c r="M47" s="45"/>
      <c r="N47" s="45"/>
      <c r="O47" s="53">
        <f t="shared" si="0"/>
        <v>12959</v>
      </c>
    </row>
    <row r="48" spans="1:15" ht="29.25">
      <c r="A48" s="275" t="s">
        <v>11</v>
      </c>
      <c r="B48" s="55" t="s">
        <v>756</v>
      </c>
      <c r="C48" s="55" t="s">
        <v>757</v>
      </c>
      <c r="D48" s="60" t="s">
        <v>785</v>
      </c>
      <c r="E48" s="55"/>
      <c r="F48" s="55" t="s">
        <v>759</v>
      </c>
      <c r="G48" s="55" t="s">
        <v>757</v>
      </c>
      <c r="H48" s="415" t="s">
        <v>1217</v>
      </c>
      <c r="I48" s="46">
        <v>8301247</v>
      </c>
      <c r="J48" s="156" t="s">
        <v>154</v>
      </c>
      <c r="K48" s="62">
        <v>6</v>
      </c>
      <c r="L48" s="13">
        <f>126637-103298</f>
        <v>23339</v>
      </c>
      <c r="M48" s="45"/>
      <c r="N48" s="45"/>
      <c r="O48" s="53">
        <f t="shared" si="0"/>
        <v>23339</v>
      </c>
    </row>
    <row r="49" spans="1:15" ht="29.25">
      <c r="A49" s="275" t="s">
        <v>11</v>
      </c>
      <c r="B49" s="55" t="s">
        <v>756</v>
      </c>
      <c r="C49" s="55" t="s">
        <v>757</v>
      </c>
      <c r="D49" s="60" t="s">
        <v>786</v>
      </c>
      <c r="E49" s="55"/>
      <c r="F49" s="55" t="s">
        <v>759</v>
      </c>
      <c r="G49" s="55" t="s">
        <v>757</v>
      </c>
      <c r="H49" s="415" t="s">
        <v>1218</v>
      </c>
      <c r="I49" s="46">
        <v>357158</v>
      </c>
      <c r="J49" s="156" t="s">
        <v>154</v>
      </c>
      <c r="K49" s="62">
        <v>5.4</v>
      </c>
      <c r="L49" s="13">
        <f>58790-45320</f>
        <v>13470</v>
      </c>
      <c r="M49" s="45"/>
      <c r="N49" s="45"/>
      <c r="O49" s="53">
        <f t="shared" si="0"/>
        <v>13470</v>
      </c>
    </row>
    <row r="50" spans="1:15" ht="29.25">
      <c r="A50" s="275" t="s">
        <v>11</v>
      </c>
      <c r="B50" s="55" t="s">
        <v>756</v>
      </c>
      <c r="C50" s="55" t="s">
        <v>757</v>
      </c>
      <c r="D50" s="60" t="s">
        <v>787</v>
      </c>
      <c r="E50" s="55"/>
      <c r="F50" s="55" t="s">
        <v>759</v>
      </c>
      <c r="G50" s="55" t="s">
        <v>757</v>
      </c>
      <c r="H50" s="415" t="s">
        <v>1219</v>
      </c>
      <c r="I50" s="46">
        <v>9037386</v>
      </c>
      <c r="J50" s="156" t="s">
        <v>154</v>
      </c>
      <c r="K50" s="62">
        <v>37</v>
      </c>
      <c r="L50" s="13">
        <f>471400-427245</f>
        <v>44155</v>
      </c>
      <c r="M50" s="45"/>
      <c r="N50" s="45"/>
      <c r="O50" s="53">
        <f t="shared" si="0"/>
        <v>44155</v>
      </c>
    </row>
    <row r="51" spans="1:15" ht="29.25">
      <c r="A51" s="275" t="s">
        <v>11</v>
      </c>
      <c r="B51" s="46" t="s">
        <v>756</v>
      </c>
      <c r="C51" s="46" t="s">
        <v>757</v>
      </c>
      <c r="D51" s="27" t="s">
        <v>788</v>
      </c>
      <c r="E51" s="46"/>
      <c r="F51" s="46" t="s">
        <v>759</v>
      </c>
      <c r="G51" s="46" t="s">
        <v>757</v>
      </c>
      <c r="H51" s="415" t="s">
        <v>1220</v>
      </c>
      <c r="I51" s="46">
        <v>70960844</v>
      </c>
      <c r="J51" s="157" t="s">
        <v>154</v>
      </c>
      <c r="K51" s="48">
        <v>3</v>
      </c>
      <c r="L51" s="13">
        <f>99152-84595</f>
        <v>14557</v>
      </c>
      <c r="M51" s="45"/>
      <c r="N51" s="45"/>
      <c r="O51" s="53">
        <f t="shared" si="0"/>
        <v>14557</v>
      </c>
    </row>
    <row r="52" spans="1:15" ht="30.75" customHeight="1">
      <c r="A52" s="275" t="s">
        <v>11</v>
      </c>
      <c r="B52" s="55" t="s">
        <v>756</v>
      </c>
      <c r="C52" s="55" t="s">
        <v>757</v>
      </c>
      <c r="D52" s="60" t="s">
        <v>789</v>
      </c>
      <c r="E52" s="55"/>
      <c r="F52" s="55" t="s">
        <v>759</v>
      </c>
      <c r="G52" s="55" t="s">
        <v>757</v>
      </c>
      <c r="H52" s="415" t="s">
        <v>1221</v>
      </c>
      <c r="I52" s="46">
        <v>8316773</v>
      </c>
      <c r="J52" s="156" t="s">
        <v>154</v>
      </c>
      <c r="K52" s="62">
        <v>1.5</v>
      </c>
      <c r="L52" s="13">
        <f>128356-114015</f>
        <v>14341</v>
      </c>
      <c r="M52" s="45"/>
      <c r="N52" s="45"/>
      <c r="O52" s="53">
        <f t="shared" si="0"/>
        <v>14341</v>
      </c>
    </row>
    <row r="53" spans="1:15" ht="18">
      <c r="A53" s="275" t="s">
        <v>11</v>
      </c>
      <c r="B53" s="55" t="s">
        <v>756</v>
      </c>
      <c r="C53" s="55" t="s">
        <v>757</v>
      </c>
      <c r="D53" s="60" t="s">
        <v>790</v>
      </c>
      <c r="E53" s="55"/>
      <c r="F53" s="55" t="s">
        <v>759</v>
      </c>
      <c r="G53" s="55" t="s">
        <v>757</v>
      </c>
      <c r="H53" s="415" t="s">
        <v>1222</v>
      </c>
      <c r="I53" s="46">
        <v>317848</v>
      </c>
      <c r="J53" s="156" t="s">
        <v>154</v>
      </c>
      <c r="K53" s="62">
        <v>10</v>
      </c>
      <c r="L53" s="13">
        <f>153736-118663</f>
        <v>35073</v>
      </c>
      <c r="M53" s="45"/>
      <c r="N53" s="45"/>
      <c r="O53" s="53">
        <f t="shared" si="0"/>
        <v>35073</v>
      </c>
    </row>
    <row r="54" spans="1:15" ht="29.25">
      <c r="A54" s="275" t="s">
        <v>11</v>
      </c>
      <c r="B54" s="55" t="s">
        <v>756</v>
      </c>
      <c r="C54" s="55" t="s">
        <v>757</v>
      </c>
      <c r="D54" s="60" t="s">
        <v>791</v>
      </c>
      <c r="E54" s="55"/>
      <c r="F54" s="55" t="s">
        <v>759</v>
      </c>
      <c r="G54" s="55" t="s">
        <v>757</v>
      </c>
      <c r="H54" s="415" t="s">
        <v>1223</v>
      </c>
      <c r="I54" s="46">
        <v>70923612</v>
      </c>
      <c r="J54" s="156" t="s">
        <v>154</v>
      </c>
      <c r="K54" s="62">
        <v>12.5</v>
      </c>
      <c r="L54" s="13">
        <f>74536-62613</f>
        <v>11923</v>
      </c>
      <c r="M54" s="45"/>
      <c r="N54" s="45"/>
      <c r="O54" s="53">
        <f t="shared" si="0"/>
        <v>11923</v>
      </c>
    </row>
    <row r="55" spans="1:15" ht="29.25">
      <c r="A55" s="275" t="s">
        <v>11</v>
      </c>
      <c r="B55" s="55" t="s">
        <v>756</v>
      </c>
      <c r="C55" s="55" t="s">
        <v>757</v>
      </c>
      <c r="D55" s="60" t="s">
        <v>792</v>
      </c>
      <c r="E55" s="55"/>
      <c r="F55" s="55" t="s">
        <v>759</v>
      </c>
      <c r="G55" s="55" t="s">
        <v>757</v>
      </c>
      <c r="H55" s="415" t="s">
        <v>1224</v>
      </c>
      <c r="I55" s="46">
        <v>90299394</v>
      </c>
      <c r="J55" s="156" t="s">
        <v>154</v>
      </c>
      <c r="K55" s="62">
        <v>4.5</v>
      </c>
      <c r="L55" s="13">
        <f>5280-2948</f>
        <v>2332</v>
      </c>
      <c r="M55" s="45"/>
      <c r="N55" s="45"/>
      <c r="O55" s="53">
        <f t="shared" si="0"/>
        <v>2332</v>
      </c>
    </row>
    <row r="56" spans="1:15" ht="43.5">
      <c r="A56" s="275" t="s">
        <v>11</v>
      </c>
      <c r="B56" s="55" t="s">
        <v>756</v>
      </c>
      <c r="C56" s="55" t="s">
        <v>757</v>
      </c>
      <c r="D56" s="60" t="s">
        <v>793</v>
      </c>
      <c r="E56" s="55"/>
      <c r="F56" s="55" t="s">
        <v>759</v>
      </c>
      <c r="G56" s="55" t="s">
        <v>757</v>
      </c>
      <c r="H56" s="415" t="s">
        <v>1225</v>
      </c>
      <c r="I56" s="46">
        <v>357156</v>
      </c>
      <c r="J56" s="156" t="s">
        <v>154</v>
      </c>
      <c r="K56" s="62">
        <v>3.5</v>
      </c>
      <c r="L56" s="13">
        <f>55331-43105</f>
        <v>12226</v>
      </c>
      <c r="M56" s="45"/>
      <c r="N56" s="45"/>
      <c r="O56" s="53">
        <f t="shared" si="0"/>
        <v>12226</v>
      </c>
    </row>
    <row r="57" spans="1:15" ht="29.25">
      <c r="A57" s="275" t="s">
        <v>11</v>
      </c>
      <c r="B57" s="55" t="s">
        <v>756</v>
      </c>
      <c r="C57" s="55" t="s">
        <v>757</v>
      </c>
      <c r="D57" s="60" t="s">
        <v>794</v>
      </c>
      <c r="E57" s="55"/>
      <c r="F57" s="55" t="s">
        <v>759</v>
      </c>
      <c r="G57" s="55" t="s">
        <v>757</v>
      </c>
      <c r="H57" s="415" t="s">
        <v>1226</v>
      </c>
      <c r="I57" s="46">
        <v>314496</v>
      </c>
      <c r="J57" s="156" t="s">
        <v>154</v>
      </c>
      <c r="K57" s="62">
        <v>3</v>
      </c>
      <c r="L57" s="13">
        <f>77710-60013</f>
        <v>17697</v>
      </c>
      <c r="M57" s="45"/>
      <c r="N57" s="45"/>
      <c r="O57" s="53">
        <f t="shared" si="0"/>
        <v>17697</v>
      </c>
    </row>
    <row r="58" spans="1:15" ht="29.25">
      <c r="A58" s="275" t="s">
        <v>11</v>
      </c>
      <c r="B58" s="46" t="s">
        <v>756</v>
      </c>
      <c r="C58" s="46" t="s">
        <v>757</v>
      </c>
      <c r="D58" s="27" t="s">
        <v>795</v>
      </c>
      <c r="E58" s="46"/>
      <c r="F58" s="46" t="s">
        <v>759</v>
      </c>
      <c r="G58" s="46" t="s">
        <v>757</v>
      </c>
      <c r="H58" s="415" t="s">
        <v>1227</v>
      </c>
      <c r="I58" s="46">
        <v>10351358</v>
      </c>
      <c r="J58" s="157" t="s">
        <v>154</v>
      </c>
      <c r="K58" s="48">
        <v>5.7</v>
      </c>
      <c r="L58" s="13">
        <f>68625-58492</f>
        <v>10133</v>
      </c>
      <c r="M58" s="45"/>
      <c r="N58" s="45"/>
      <c r="O58" s="53">
        <f t="shared" si="0"/>
        <v>10133</v>
      </c>
    </row>
    <row r="59" spans="1:15" ht="29.25">
      <c r="A59" s="275" t="s">
        <v>11</v>
      </c>
      <c r="B59" s="55" t="s">
        <v>756</v>
      </c>
      <c r="C59" s="55" t="s">
        <v>757</v>
      </c>
      <c r="D59" s="60" t="s">
        <v>796</v>
      </c>
      <c r="E59" s="55"/>
      <c r="F59" s="55" t="s">
        <v>759</v>
      </c>
      <c r="G59" s="55" t="s">
        <v>757</v>
      </c>
      <c r="H59" s="415" t="s">
        <v>1228</v>
      </c>
      <c r="I59" s="46">
        <v>356787</v>
      </c>
      <c r="J59" s="156" t="s">
        <v>154</v>
      </c>
      <c r="K59" s="62">
        <v>20</v>
      </c>
      <c r="L59" s="13">
        <f>72378-56521</f>
        <v>15857</v>
      </c>
      <c r="M59" s="45"/>
      <c r="N59" s="45"/>
      <c r="O59" s="53">
        <f t="shared" si="0"/>
        <v>15857</v>
      </c>
    </row>
    <row r="60" spans="1:15" ht="29.25">
      <c r="A60" s="275" t="s">
        <v>11</v>
      </c>
      <c r="B60" s="55" t="s">
        <v>756</v>
      </c>
      <c r="C60" s="55" t="s">
        <v>757</v>
      </c>
      <c r="D60" s="60" t="s">
        <v>797</v>
      </c>
      <c r="E60" s="55"/>
      <c r="F60" s="55" t="s">
        <v>759</v>
      </c>
      <c r="G60" s="55" t="s">
        <v>757</v>
      </c>
      <c r="H60" s="415" t="s">
        <v>1229</v>
      </c>
      <c r="I60" s="46">
        <v>91066939</v>
      </c>
      <c r="J60" s="156" t="s">
        <v>154</v>
      </c>
      <c r="K60" s="62">
        <v>8.7</v>
      </c>
      <c r="L60" s="13">
        <f>45379-31615</f>
        <v>13764</v>
      </c>
      <c r="M60" s="45"/>
      <c r="N60" s="45"/>
      <c r="O60" s="53">
        <f t="shared" si="0"/>
        <v>13764</v>
      </c>
    </row>
    <row r="61" spans="1:15" ht="18">
      <c r="A61" s="275" t="s">
        <v>11</v>
      </c>
      <c r="B61" s="55" t="s">
        <v>756</v>
      </c>
      <c r="C61" s="55" t="s">
        <v>757</v>
      </c>
      <c r="D61" s="60" t="s">
        <v>798</v>
      </c>
      <c r="E61" s="55"/>
      <c r="F61" s="55" t="s">
        <v>759</v>
      </c>
      <c r="G61" s="55" t="s">
        <v>757</v>
      </c>
      <c r="H61" s="415" t="s">
        <v>1230</v>
      </c>
      <c r="I61" s="46">
        <v>317855</v>
      </c>
      <c r="J61" s="156" t="s">
        <v>154</v>
      </c>
      <c r="K61" s="62">
        <v>20</v>
      </c>
      <c r="L61" s="13">
        <f>44922-34473</f>
        <v>10449</v>
      </c>
      <c r="M61" s="45"/>
      <c r="N61" s="45"/>
      <c r="O61" s="53">
        <f t="shared" si="0"/>
        <v>10449</v>
      </c>
    </row>
    <row r="62" spans="1:15" ht="29.25">
      <c r="A62" s="275" t="s">
        <v>11</v>
      </c>
      <c r="B62" s="55" t="s">
        <v>756</v>
      </c>
      <c r="C62" s="55" t="s">
        <v>757</v>
      </c>
      <c r="D62" s="60" t="s">
        <v>799</v>
      </c>
      <c r="E62" s="55"/>
      <c r="F62" s="55" t="s">
        <v>759</v>
      </c>
      <c r="G62" s="55" t="s">
        <v>757</v>
      </c>
      <c r="H62" s="415" t="s">
        <v>1231</v>
      </c>
      <c r="I62" s="46">
        <v>70544460</v>
      </c>
      <c r="J62" s="156" t="s">
        <v>154</v>
      </c>
      <c r="K62" s="62">
        <v>4.7</v>
      </c>
      <c r="L62" s="13">
        <f>67375-54579</f>
        <v>12796</v>
      </c>
      <c r="M62" s="45"/>
      <c r="N62" s="45"/>
      <c r="O62" s="53">
        <f t="shared" si="0"/>
        <v>12796</v>
      </c>
    </row>
    <row r="63" spans="1:15" ht="29.25">
      <c r="A63" s="275" t="s">
        <v>11</v>
      </c>
      <c r="B63" s="55" t="s">
        <v>756</v>
      </c>
      <c r="C63" s="55" t="s">
        <v>757</v>
      </c>
      <c r="D63" s="60" t="s">
        <v>800</v>
      </c>
      <c r="E63" s="55"/>
      <c r="F63" s="55" t="s">
        <v>759</v>
      </c>
      <c r="G63" s="55" t="s">
        <v>757</v>
      </c>
      <c r="H63" s="415" t="s">
        <v>1232</v>
      </c>
      <c r="I63" s="46">
        <v>320136</v>
      </c>
      <c r="J63" s="156" t="s">
        <v>154</v>
      </c>
      <c r="K63" s="62">
        <v>6</v>
      </c>
      <c r="L63" s="13">
        <f>59902-45760</f>
        <v>14142</v>
      </c>
      <c r="M63" s="45"/>
      <c r="N63" s="45"/>
      <c r="O63" s="53">
        <f t="shared" si="0"/>
        <v>14142</v>
      </c>
    </row>
    <row r="64" spans="1:15" ht="29.25">
      <c r="A64" s="275" t="s">
        <v>11</v>
      </c>
      <c r="B64" s="55" t="s">
        <v>756</v>
      </c>
      <c r="C64" s="55" t="s">
        <v>757</v>
      </c>
      <c r="D64" s="60" t="s">
        <v>801</v>
      </c>
      <c r="E64" s="55"/>
      <c r="F64" s="55" t="s">
        <v>759</v>
      </c>
      <c r="G64" s="55" t="s">
        <v>757</v>
      </c>
      <c r="H64" s="415" t="s">
        <v>1233</v>
      </c>
      <c r="I64" s="46">
        <v>110254</v>
      </c>
      <c r="J64" s="156" t="s">
        <v>154</v>
      </c>
      <c r="K64" s="62">
        <v>8</v>
      </c>
      <c r="L64" s="13">
        <f>89953-80396</f>
        <v>9557</v>
      </c>
      <c r="M64" s="45"/>
      <c r="N64" s="45"/>
      <c r="O64" s="53">
        <f t="shared" si="0"/>
        <v>9557</v>
      </c>
    </row>
    <row r="65" spans="1:15" ht="29.25">
      <c r="A65" s="275" t="s">
        <v>11</v>
      </c>
      <c r="B65" s="55" t="s">
        <v>756</v>
      </c>
      <c r="C65" s="55" t="s">
        <v>757</v>
      </c>
      <c r="D65" s="60" t="s">
        <v>802</v>
      </c>
      <c r="E65" s="55"/>
      <c r="F65" s="55" t="s">
        <v>759</v>
      </c>
      <c r="G65" s="55" t="s">
        <v>757</v>
      </c>
      <c r="H65" s="415" t="s">
        <v>1234</v>
      </c>
      <c r="I65" s="46">
        <v>8317921</v>
      </c>
      <c r="J65" s="156" t="s">
        <v>154</v>
      </c>
      <c r="K65" s="62">
        <v>7</v>
      </c>
      <c r="L65" s="13">
        <f>61084-53701</f>
        <v>7383</v>
      </c>
      <c r="M65" s="45"/>
      <c r="N65" s="45"/>
      <c r="O65" s="53">
        <f t="shared" si="0"/>
        <v>7383</v>
      </c>
    </row>
    <row r="66" spans="1:15" ht="29.25">
      <c r="A66" s="275" t="s">
        <v>11</v>
      </c>
      <c r="B66" s="55" t="s">
        <v>756</v>
      </c>
      <c r="C66" s="55" t="s">
        <v>757</v>
      </c>
      <c r="D66" s="60" t="s">
        <v>803</v>
      </c>
      <c r="E66" s="55"/>
      <c r="F66" s="55" t="s">
        <v>759</v>
      </c>
      <c r="G66" s="55" t="s">
        <v>757</v>
      </c>
      <c r="H66" s="415" t="s">
        <v>1235</v>
      </c>
      <c r="I66" s="46">
        <v>90182882</v>
      </c>
      <c r="J66" s="156" t="s">
        <v>154</v>
      </c>
      <c r="K66" s="62">
        <v>7</v>
      </c>
      <c r="L66" s="13">
        <f>1100-1100</f>
        <v>0</v>
      </c>
      <c r="M66" s="45"/>
      <c r="N66" s="45"/>
      <c r="O66" s="53">
        <f t="shared" si="0"/>
        <v>0</v>
      </c>
    </row>
    <row r="67" spans="1:15" ht="29.25">
      <c r="A67" s="275" t="s">
        <v>11</v>
      </c>
      <c r="B67" s="55" t="s">
        <v>756</v>
      </c>
      <c r="C67" s="55" t="s">
        <v>757</v>
      </c>
      <c r="D67" s="60" t="s">
        <v>804</v>
      </c>
      <c r="E67" s="55"/>
      <c r="F67" s="55" t="s">
        <v>759</v>
      </c>
      <c r="G67" s="55" t="s">
        <v>757</v>
      </c>
      <c r="H67" s="415" t="s">
        <v>1236</v>
      </c>
      <c r="I67" s="46">
        <v>70830757</v>
      </c>
      <c r="J67" s="156" t="s">
        <v>154</v>
      </c>
      <c r="K67" s="62">
        <v>14</v>
      </c>
      <c r="L67" s="13">
        <f>57223-50892</f>
        <v>6331</v>
      </c>
      <c r="M67" s="45"/>
      <c r="N67" s="45"/>
      <c r="O67" s="53">
        <f t="shared" si="0"/>
        <v>6331</v>
      </c>
    </row>
    <row r="68" spans="1:15" ht="29.25">
      <c r="A68" s="275" t="s">
        <v>11</v>
      </c>
      <c r="B68" s="55" t="s">
        <v>756</v>
      </c>
      <c r="C68" s="55" t="s">
        <v>757</v>
      </c>
      <c r="D68" s="60" t="s">
        <v>805</v>
      </c>
      <c r="E68" s="55"/>
      <c r="F68" s="55" t="s">
        <v>759</v>
      </c>
      <c r="G68" s="55" t="s">
        <v>757</v>
      </c>
      <c r="H68" s="415" t="s">
        <v>1237</v>
      </c>
      <c r="I68" s="46">
        <v>70925024</v>
      </c>
      <c r="J68" s="156" t="s">
        <v>154</v>
      </c>
      <c r="K68" s="62">
        <v>3.5</v>
      </c>
      <c r="L68" s="13">
        <f>51820-39636</f>
        <v>12184</v>
      </c>
      <c r="M68" s="45"/>
      <c r="N68" s="45"/>
      <c r="O68" s="53">
        <f t="shared" si="0"/>
        <v>12184</v>
      </c>
    </row>
    <row r="69" spans="1:15" ht="29.25">
      <c r="A69" s="275" t="s">
        <v>11</v>
      </c>
      <c r="B69" s="55" t="s">
        <v>756</v>
      </c>
      <c r="C69" s="55" t="s">
        <v>757</v>
      </c>
      <c r="D69" s="60" t="s">
        <v>806</v>
      </c>
      <c r="E69" s="55"/>
      <c r="F69" s="55" t="s">
        <v>759</v>
      </c>
      <c r="G69" s="55" t="s">
        <v>757</v>
      </c>
      <c r="H69" s="415" t="s">
        <v>1238</v>
      </c>
      <c r="I69" s="46">
        <v>7445717</v>
      </c>
      <c r="J69" s="156" t="s">
        <v>154</v>
      </c>
      <c r="K69" s="62">
        <v>3</v>
      </c>
      <c r="L69" s="13">
        <f>144327-132185</f>
        <v>12142</v>
      </c>
      <c r="M69" s="45"/>
      <c r="N69" s="45"/>
      <c r="O69" s="53">
        <f t="shared" si="0"/>
        <v>12142</v>
      </c>
    </row>
    <row r="70" spans="1:15" ht="29.25">
      <c r="A70" s="275" t="s">
        <v>11</v>
      </c>
      <c r="B70" s="55" t="s">
        <v>756</v>
      </c>
      <c r="C70" s="55" t="s">
        <v>757</v>
      </c>
      <c r="D70" s="60" t="s">
        <v>807</v>
      </c>
      <c r="E70" s="55"/>
      <c r="F70" s="55" t="s">
        <v>759</v>
      </c>
      <c r="G70" s="55" t="s">
        <v>757</v>
      </c>
      <c r="H70" s="415" t="s">
        <v>1239</v>
      </c>
      <c r="I70" s="46">
        <v>90028781</v>
      </c>
      <c r="J70" s="156" t="s">
        <v>154</v>
      </c>
      <c r="K70" s="62">
        <v>16</v>
      </c>
      <c r="L70" s="13">
        <f>6433-4157</f>
        <v>2276</v>
      </c>
      <c r="M70" s="45"/>
      <c r="N70" s="45"/>
      <c r="O70" s="53">
        <f t="shared" si="0"/>
        <v>2276</v>
      </c>
    </row>
    <row r="71" spans="1:15" ht="18">
      <c r="A71" s="275" t="s">
        <v>11</v>
      </c>
      <c r="B71" s="55" t="s">
        <v>756</v>
      </c>
      <c r="C71" s="55" t="s">
        <v>757</v>
      </c>
      <c r="D71" s="60" t="s">
        <v>808</v>
      </c>
      <c r="E71" s="55"/>
      <c r="F71" s="55" t="s">
        <v>759</v>
      </c>
      <c r="G71" s="55" t="s">
        <v>757</v>
      </c>
      <c r="H71" s="415" t="s">
        <v>1240</v>
      </c>
      <c r="I71" s="46">
        <v>314487</v>
      </c>
      <c r="J71" s="156" t="s">
        <v>154</v>
      </c>
      <c r="K71" s="62">
        <v>3.8</v>
      </c>
      <c r="L71" s="13">
        <f>46171-35813</f>
        <v>10358</v>
      </c>
      <c r="M71" s="45"/>
      <c r="N71" s="45"/>
      <c r="O71" s="53">
        <f t="shared" si="0"/>
        <v>10358</v>
      </c>
    </row>
    <row r="72" spans="1:15" ht="29.25">
      <c r="A72" s="275" t="s">
        <v>11</v>
      </c>
      <c r="B72" s="55" t="s">
        <v>756</v>
      </c>
      <c r="C72" s="55" t="s">
        <v>757</v>
      </c>
      <c r="D72" s="60" t="s">
        <v>809</v>
      </c>
      <c r="E72" s="55"/>
      <c r="F72" s="55" t="s">
        <v>759</v>
      </c>
      <c r="G72" s="55" t="s">
        <v>757</v>
      </c>
      <c r="H72" s="415" t="s">
        <v>1241</v>
      </c>
      <c r="I72" s="46">
        <v>70507646</v>
      </c>
      <c r="J72" s="156" t="s">
        <v>154</v>
      </c>
      <c r="K72" s="62">
        <v>1.8</v>
      </c>
      <c r="L72" s="13">
        <f>18214-17233</f>
        <v>981</v>
      </c>
      <c r="M72" s="45"/>
      <c r="N72" s="45"/>
      <c r="O72" s="53">
        <f t="shared" si="0"/>
        <v>981</v>
      </c>
    </row>
    <row r="73" spans="1:15" ht="29.25">
      <c r="A73" s="275" t="s">
        <v>11</v>
      </c>
      <c r="B73" s="55" t="s">
        <v>756</v>
      </c>
      <c r="C73" s="55" t="s">
        <v>757</v>
      </c>
      <c r="D73" s="60" t="s">
        <v>810</v>
      </c>
      <c r="E73" s="55"/>
      <c r="F73" s="55" t="s">
        <v>759</v>
      </c>
      <c r="G73" s="55" t="s">
        <v>757</v>
      </c>
      <c r="H73" s="415" t="s">
        <v>1242</v>
      </c>
      <c r="I73" s="46">
        <v>34189</v>
      </c>
      <c r="J73" s="156" t="s">
        <v>154</v>
      </c>
      <c r="K73" s="62">
        <v>2</v>
      </c>
      <c r="L73" s="13">
        <f>46893-44531</f>
        <v>2362</v>
      </c>
      <c r="M73" s="45"/>
      <c r="N73" s="45"/>
      <c r="O73" s="53">
        <f t="shared" si="0"/>
        <v>2362</v>
      </c>
    </row>
    <row r="74" spans="1:15" ht="27.75" customHeight="1">
      <c r="A74" s="275" t="s">
        <v>11</v>
      </c>
      <c r="B74" s="55" t="s">
        <v>756</v>
      </c>
      <c r="C74" s="55" t="s">
        <v>757</v>
      </c>
      <c r="D74" s="60" t="s">
        <v>364</v>
      </c>
      <c r="E74" s="55"/>
      <c r="F74" s="55" t="s">
        <v>759</v>
      </c>
      <c r="G74" s="55" t="s">
        <v>757</v>
      </c>
      <c r="H74" s="415" t="s">
        <v>1243</v>
      </c>
      <c r="I74" s="46">
        <v>70750760</v>
      </c>
      <c r="J74" s="156" t="s">
        <v>154</v>
      </c>
      <c r="K74" s="62">
        <v>1.1</v>
      </c>
      <c r="L74" s="13">
        <f>39139-33892</f>
        <v>5247</v>
      </c>
      <c r="M74" s="45"/>
      <c r="N74" s="45"/>
      <c r="O74" s="53">
        <f t="shared" si="0"/>
        <v>5247</v>
      </c>
    </row>
    <row r="75" spans="1:15" ht="29.25">
      <c r="A75" s="275" t="s">
        <v>11</v>
      </c>
      <c r="B75" s="55" t="s">
        <v>756</v>
      </c>
      <c r="C75" s="55" t="s">
        <v>757</v>
      </c>
      <c r="D75" s="60" t="s">
        <v>811</v>
      </c>
      <c r="E75" s="55"/>
      <c r="F75" s="55" t="s">
        <v>759</v>
      </c>
      <c r="G75" s="55" t="s">
        <v>757</v>
      </c>
      <c r="H75" s="415" t="s">
        <v>1244</v>
      </c>
      <c r="I75" s="46">
        <v>356123</v>
      </c>
      <c r="J75" s="156" t="s">
        <v>154</v>
      </c>
      <c r="K75" s="62">
        <v>5</v>
      </c>
      <c r="L75" s="13">
        <f>27086-20874</f>
        <v>6212</v>
      </c>
      <c r="M75" s="45"/>
      <c r="N75" s="45"/>
      <c r="O75" s="53">
        <f t="shared" si="0"/>
        <v>6212</v>
      </c>
    </row>
    <row r="76" spans="1:15" ht="30" customHeight="1">
      <c r="A76" s="275" t="s">
        <v>11</v>
      </c>
      <c r="B76" s="55" t="s">
        <v>756</v>
      </c>
      <c r="C76" s="55" t="s">
        <v>757</v>
      </c>
      <c r="D76" s="60" t="s">
        <v>81</v>
      </c>
      <c r="E76" s="55"/>
      <c r="F76" s="55" t="s">
        <v>759</v>
      </c>
      <c r="G76" s="55" t="s">
        <v>757</v>
      </c>
      <c r="H76" s="415" t="s">
        <v>1245</v>
      </c>
      <c r="I76" s="46">
        <v>70692760</v>
      </c>
      <c r="J76" s="156" t="s">
        <v>154</v>
      </c>
      <c r="K76" s="62">
        <v>4.8</v>
      </c>
      <c r="L76" s="13">
        <f>46899-38572</f>
        <v>8327</v>
      </c>
      <c r="M76" s="45"/>
      <c r="N76" s="45"/>
      <c r="O76" s="53">
        <f t="shared" si="0"/>
        <v>8327</v>
      </c>
    </row>
    <row r="77" spans="1:15" ht="29.25">
      <c r="A77" s="275" t="s">
        <v>11</v>
      </c>
      <c r="B77" s="55" t="s">
        <v>756</v>
      </c>
      <c r="C77" s="55" t="s">
        <v>757</v>
      </c>
      <c r="D77" s="60" t="s">
        <v>812</v>
      </c>
      <c r="E77" s="55"/>
      <c r="F77" s="55" t="s">
        <v>759</v>
      </c>
      <c r="G77" s="55" t="s">
        <v>757</v>
      </c>
      <c r="H77" s="415" t="s">
        <v>1246</v>
      </c>
      <c r="I77" s="46">
        <v>357353</v>
      </c>
      <c r="J77" s="156" t="s">
        <v>154</v>
      </c>
      <c r="K77" s="62">
        <v>5</v>
      </c>
      <c r="L77" s="13">
        <f>48140-37077</f>
        <v>11063</v>
      </c>
      <c r="M77" s="45"/>
      <c r="N77" s="45"/>
      <c r="O77" s="53">
        <f t="shared" si="0"/>
        <v>11063</v>
      </c>
    </row>
    <row r="78" spans="1:15" ht="29.25">
      <c r="A78" s="275" t="s">
        <v>11</v>
      </c>
      <c r="B78" s="55" t="s">
        <v>756</v>
      </c>
      <c r="C78" s="55" t="s">
        <v>757</v>
      </c>
      <c r="D78" s="60" t="s">
        <v>813</v>
      </c>
      <c r="E78" s="55"/>
      <c r="F78" s="55" t="s">
        <v>759</v>
      </c>
      <c r="G78" s="55" t="s">
        <v>757</v>
      </c>
      <c r="H78" s="415" t="s">
        <v>1247</v>
      </c>
      <c r="I78" s="46">
        <v>357150</v>
      </c>
      <c r="J78" s="156" t="s">
        <v>154</v>
      </c>
      <c r="K78" s="62">
        <v>7.5</v>
      </c>
      <c r="L78" s="13">
        <f>58361-41674</f>
        <v>16687</v>
      </c>
      <c r="M78" s="45"/>
      <c r="N78" s="45"/>
      <c r="O78" s="53">
        <f t="shared" si="0"/>
        <v>16687</v>
      </c>
    </row>
    <row r="79" spans="1:15" ht="43.5">
      <c r="A79" s="275" t="s">
        <v>11</v>
      </c>
      <c r="B79" s="46" t="s">
        <v>756</v>
      </c>
      <c r="C79" s="46" t="s">
        <v>757</v>
      </c>
      <c r="D79" s="27" t="s">
        <v>814</v>
      </c>
      <c r="E79" s="46"/>
      <c r="F79" s="46" t="s">
        <v>759</v>
      </c>
      <c r="G79" s="46" t="s">
        <v>757</v>
      </c>
      <c r="H79" s="415" t="s">
        <v>1248</v>
      </c>
      <c r="I79" s="46">
        <v>10852706</v>
      </c>
      <c r="J79" s="157" t="s">
        <v>154</v>
      </c>
      <c r="K79" s="48">
        <v>5.8</v>
      </c>
      <c r="L79" s="13">
        <f>77332-63039</f>
        <v>14293</v>
      </c>
      <c r="M79" s="45"/>
      <c r="N79" s="45"/>
      <c r="O79" s="53">
        <f t="shared" si="0"/>
        <v>14293</v>
      </c>
    </row>
    <row r="80" spans="1:15" ht="29.25">
      <c r="A80" s="275" t="s">
        <v>11</v>
      </c>
      <c r="B80" s="55" t="s">
        <v>756</v>
      </c>
      <c r="C80" s="55" t="s">
        <v>757</v>
      </c>
      <c r="D80" s="60" t="s">
        <v>1310</v>
      </c>
      <c r="E80" s="55"/>
      <c r="F80" s="55" t="s">
        <v>759</v>
      </c>
      <c r="G80" s="55" t="s">
        <v>757</v>
      </c>
      <c r="H80" s="415" t="s">
        <v>1249</v>
      </c>
      <c r="I80" s="46">
        <v>318920</v>
      </c>
      <c r="J80" s="156" t="s">
        <v>154</v>
      </c>
      <c r="K80" s="62">
        <v>5</v>
      </c>
      <c r="L80" s="13">
        <f>2406-2406</f>
        <v>0</v>
      </c>
      <c r="M80" s="45"/>
      <c r="N80" s="45"/>
      <c r="O80" s="53">
        <f t="shared" si="0"/>
        <v>0</v>
      </c>
    </row>
    <row r="81" spans="1:15" ht="29.25">
      <c r="A81" s="275" t="s">
        <v>11</v>
      </c>
      <c r="B81" s="55" t="s">
        <v>756</v>
      </c>
      <c r="C81" s="55" t="s">
        <v>757</v>
      </c>
      <c r="D81" s="60" t="s">
        <v>1311</v>
      </c>
      <c r="E81" s="55"/>
      <c r="F81" s="55" t="s">
        <v>759</v>
      </c>
      <c r="G81" s="55" t="s">
        <v>757</v>
      </c>
      <c r="H81" s="415" t="s">
        <v>1250</v>
      </c>
      <c r="I81" s="46">
        <v>356784</v>
      </c>
      <c r="J81" s="156" t="s">
        <v>154</v>
      </c>
      <c r="K81" s="62">
        <v>11</v>
      </c>
      <c r="L81" s="13">
        <f>49506-38004</f>
        <v>11502</v>
      </c>
      <c r="M81" s="45"/>
      <c r="N81" s="45"/>
      <c r="O81" s="53">
        <f t="shared" si="0"/>
        <v>11502</v>
      </c>
    </row>
    <row r="82" spans="1:15" ht="29.25">
      <c r="A82" s="275" t="s">
        <v>11</v>
      </c>
      <c r="B82" s="55" t="s">
        <v>756</v>
      </c>
      <c r="C82" s="55" t="s">
        <v>757</v>
      </c>
      <c r="D82" s="60" t="s">
        <v>815</v>
      </c>
      <c r="E82" s="55"/>
      <c r="F82" s="55" t="s">
        <v>759</v>
      </c>
      <c r="G82" s="55" t="s">
        <v>757</v>
      </c>
      <c r="H82" s="415" t="s">
        <v>1251</v>
      </c>
      <c r="I82" s="46">
        <v>71018345</v>
      </c>
      <c r="J82" s="156" t="s">
        <v>154</v>
      </c>
      <c r="K82" s="62">
        <v>4.5</v>
      </c>
      <c r="L82" s="13">
        <f>42721-33771</f>
        <v>8950</v>
      </c>
      <c r="M82" s="45"/>
      <c r="N82" s="45"/>
      <c r="O82" s="53">
        <f t="shared" si="0"/>
        <v>8950</v>
      </c>
    </row>
    <row r="83" spans="1:15" ht="43.5">
      <c r="A83" s="275" t="s">
        <v>11</v>
      </c>
      <c r="B83" s="55" t="s">
        <v>756</v>
      </c>
      <c r="C83" s="55" t="s">
        <v>757</v>
      </c>
      <c r="D83" s="60" t="s">
        <v>816</v>
      </c>
      <c r="E83" s="55"/>
      <c r="F83" s="55" t="s">
        <v>759</v>
      </c>
      <c r="G83" s="55" t="s">
        <v>757</v>
      </c>
      <c r="H83" s="415" t="s">
        <v>1252</v>
      </c>
      <c r="I83" s="46">
        <v>318735</v>
      </c>
      <c r="J83" s="156" t="s">
        <v>154</v>
      </c>
      <c r="K83" s="62">
        <v>3.5</v>
      </c>
      <c r="L83" s="13">
        <f>27112-20887</f>
        <v>6225</v>
      </c>
      <c r="M83" s="45"/>
      <c r="N83" s="45"/>
      <c r="O83" s="53">
        <f aca="true" t="shared" si="1" ref="O83:O125">L83</f>
        <v>6225</v>
      </c>
    </row>
    <row r="84" spans="1:15" ht="43.5">
      <c r="A84" s="275" t="s">
        <v>11</v>
      </c>
      <c r="B84" s="55" t="s">
        <v>756</v>
      </c>
      <c r="C84" s="55" t="s">
        <v>757</v>
      </c>
      <c r="D84" s="60" t="s">
        <v>817</v>
      </c>
      <c r="E84" s="55"/>
      <c r="F84" s="55" t="s">
        <v>759</v>
      </c>
      <c r="G84" s="55" t="s">
        <v>757</v>
      </c>
      <c r="H84" s="415" t="s">
        <v>1253</v>
      </c>
      <c r="I84" s="46">
        <v>226244</v>
      </c>
      <c r="J84" s="156" t="s">
        <v>154</v>
      </c>
      <c r="K84" s="62">
        <v>5.8</v>
      </c>
      <c r="L84" s="13">
        <f>26669-17935</f>
        <v>8734</v>
      </c>
      <c r="M84" s="45"/>
      <c r="N84" s="45"/>
      <c r="O84" s="53">
        <f t="shared" si="1"/>
        <v>8734</v>
      </c>
    </row>
    <row r="85" spans="1:15" ht="18">
      <c r="A85" s="275" t="s">
        <v>11</v>
      </c>
      <c r="B85" s="55" t="s">
        <v>756</v>
      </c>
      <c r="C85" s="55" t="s">
        <v>757</v>
      </c>
      <c r="D85" s="60" t="s">
        <v>818</v>
      </c>
      <c r="E85" s="55"/>
      <c r="F85" s="55" t="s">
        <v>759</v>
      </c>
      <c r="G85" s="55" t="s">
        <v>757</v>
      </c>
      <c r="H85" s="415" t="s">
        <v>1254</v>
      </c>
      <c r="I85" s="46">
        <v>5088344</v>
      </c>
      <c r="J85" s="156" t="s">
        <v>154</v>
      </c>
      <c r="K85" s="62">
        <v>4.5</v>
      </c>
      <c r="L85" s="13">
        <f>98734-92153</f>
        <v>6581</v>
      </c>
      <c r="M85" s="45"/>
      <c r="N85" s="45"/>
      <c r="O85" s="53">
        <f t="shared" si="1"/>
        <v>6581</v>
      </c>
    </row>
    <row r="86" spans="1:15" ht="29.25">
      <c r="A86" s="275" t="s">
        <v>11</v>
      </c>
      <c r="B86" s="55" t="s">
        <v>756</v>
      </c>
      <c r="C86" s="55" t="s">
        <v>757</v>
      </c>
      <c r="D86" s="60" t="s">
        <v>819</v>
      </c>
      <c r="E86" s="55"/>
      <c r="F86" s="55" t="s">
        <v>759</v>
      </c>
      <c r="G86" s="55" t="s">
        <v>757</v>
      </c>
      <c r="H86" s="415" t="s">
        <v>1255</v>
      </c>
      <c r="I86" s="46">
        <v>90066091</v>
      </c>
      <c r="J86" s="156" t="s">
        <v>154</v>
      </c>
      <c r="K86" s="62">
        <v>2.5</v>
      </c>
      <c r="L86" s="13">
        <f>5698-3143</f>
        <v>2555</v>
      </c>
      <c r="M86" s="45"/>
      <c r="N86" s="45"/>
      <c r="O86" s="53">
        <f t="shared" si="1"/>
        <v>2555</v>
      </c>
    </row>
    <row r="87" spans="1:15" ht="43.5">
      <c r="A87" s="275" t="s">
        <v>11</v>
      </c>
      <c r="B87" s="55" t="s">
        <v>756</v>
      </c>
      <c r="C87" s="55" t="s">
        <v>757</v>
      </c>
      <c r="D87" s="60" t="s">
        <v>820</v>
      </c>
      <c r="E87" s="55"/>
      <c r="F87" s="55" t="s">
        <v>759</v>
      </c>
      <c r="G87" s="55" t="s">
        <v>757</v>
      </c>
      <c r="H87" s="415" t="s">
        <v>1256</v>
      </c>
      <c r="I87" s="46">
        <v>70830969</v>
      </c>
      <c r="J87" s="156" t="s">
        <v>154</v>
      </c>
      <c r="K87" s="62">
        <v>3.8</v>
      </c>
      <c r="L87" s="13">
        <f>64724-60245</f>
        <v>4479</v>
      </c>
      <c r="M87" s="45"/>
      <c r="N87" s="45"/>
      <c r="O87" s="53">
        <f t="shared" si="1"/>
        <v>4479</v>
      </c>
    </row>
    <row r="88" spans="1:15" ht="29.25">
      <c r="A88" s="275" t="s">
        <v>11</v>
      </c>
      <c r="B88" s="55" t="s">
        <v>756</v>
      </c>
      <c r="C88" s="55" t="s">
        <v>757</v>
      </c>
      <c r="D88" s="60" t="s">
        <v>1312</v>
      </c>
      <c r="E88" s="55"/>
      <c r="F88" s="55" t="s">
        <v>759</v>
      </c>
      <c r="G88" s="55" t="s">
        <v>757</v>
      </c>
      <c r="H88" s="415" t="s">
        <v>1257</v>
      </c>
      <c r="I88" s="46">
        <v>356785</v>
      </c>
      <c r="J88" s="156" t="s">
        <v>154</v>
      </c>
      <c r="K88" s="62">
        <v>2.5</v>
      </c>
      <c r="L88" s="13">
        <f>32506-25486</f>
        <v>7020</v>
      </c>
      <c r="M88" s="45"/>
      <c r="N88" s="45"/>
      <c r="O88" s="53">
        <f t="shared" si="1"/>
        <v>7020</v>
      </c>
    </row>
    <row r="89" spans="1:15" ht="43.5">
      <c r="A89" s="275" t="s">
        <v>11</v>
      </c>
      <c r="B89" s="55" t="s">
        <v>756</v>
      </c>
      <c r="C89" s="55" t="s">
        <v>757</v>
      </c>
      <c r="D89" s="60" t="s">
        <v>1313</v>
      </c>
      <c r="E89" s="55"/>
      <c r="F89" s="55" t="s">
        <v>759</v>
      </c>
      <c r="G89" s="55" t="s">
        <v>757</v>
      </c>
      <c r="H89" s="415" t="s">
        <v>1258</v>
      </c>
      <c r="I89" s="46">
        <v>91185311</v>
      </c>
      <c r="J89" s="156" t="s">
        <v>154</v>
      </c>
      <c r="K89" s="62">
        <v>12</v>
      </c>
      <c r="L89" s="13">
        <f>10031-7062</f>
        <v>2969</v>
      </c>
      <c r="M89" s="45"/>
      <c r="N89" s="45"/>
      <c r="O89" s="53">
        <f t="shared" si="1"/>
        <v>2969</v>
      </c>
    </row>
    <row r="90" spans="1:15" ht="43.5">
      <c r="A90" s="275" t="s">
        <v>11</v>
      </c>
      <c r="B90" s="55" t="s">
        <v>756</v>
      </c>
      <c r="C90" s="55" t="s">
        <v>757</v>
      </c>
      <c r="D90" s="60" t="s">
        <v>1314</v>
      </c>
      <c r="E90" s="55"/>
      <c r="F90" s="55" t="s">
        <v>759</v>
      </c>
      <c r="G90" s="55" t="s">
        <v>757</v>
      </c>
      <c r="H90" s="415" t="s">
        <v>1259</v>
      </c>
      <c r="I90" s="46">
        <v>357231</v>
      </c>
      <c r="J90" s="156" t="s">
        <v>154</v>
      </c>
      <c r="K90" s="62">
        <v>5.8</v>
      </c>
      <c r="L90" s="13">
        <f>39937-30799</f>
        <v>9138</v>
      </c>
      <c r="M90" s="45"/>
      <c r="N90" s="45"/>
      <c r="O90" s="53">
        <f t="shared" si="1"/>
        <v>9138</v>
      </c>
    </row>
    <row r="91" spans="1:15" ht="29.25">
      <c r="A91" s="275" t="s">
        <v>11</v>
      </c>
      <c r="B91" s="55" t="s">
        <v>756</v>
      </c>
      <c r="C91" s="55" t="s">
        <v>757</v>
      </c>
      <c r="D91" s="60" t="s">
        <v>1315</v>
      </c>
      <c r="E91" s="55"/>
      <c r="F91" s="55" t="s">
        <v>759</v>
      </c>
      <c r="G91" s="55" t="s">
        <v>757</v>
      </c>
      <c r="H91" s="415" t="s">
        <v>1260</v>
      </c>
      <c r="I91" s="46">
        <v>349969</v>
      </c>
      <c r="J91" s="156" t="s">
        <v>154</v>
      </c>
      <c r="K91" s="62">
        <v>4</v>
      </c>
      <c r="L91" s="13">
        <f>23958-18954</f>
        <v>5004</v>
      </c>
      <c r="M91" s="45"/>
      <c r="N91" s="45"/>
      <c r="O91" s="53">
        <f t="shared" si="1"/>
        <v>5004</v>
      </c>
    </row>
    <row r="92" spans="1:15" ht="29.25">
      <c r="A92" s="275" t="s">
        <v>11</v>
      </c>
      <c r="B92" s="55" t="s">
        <v>756</v>
      </c>
      <c r="C92" s="55" t="s">
        <v>757</v>
      </c>
      <c r="D92" s="60" t="s">
        <v>1316</v>
      </c>
      <c r="E92" s="55"/>
      <c r="F92" s="55" t="s">
        <v>759</v>
      </c>
      <c r="G92" s="55" t="s">
        <v>757</v>
      </c>
      <c r="H92" s="415" t="s">
        <v>1261</v>
      </c>
      <c r="I92" s="46">
        <v>356782</v>
      </c>
      <c r="J92" s="156" t="s">
        <v>154</v>
      </c>
      <c r="K92" s="62">
        <v>9.8</v>
      </c>
      <c r="L92" s="13">
        <f>45472-35691</f>
        <v>9781</v>
      </c>
      <c r="M92" s="45"/>
      <c r="N92" s="45"/>
      <c r="O92" s="53">
        <f t="shared" si="1"/>
        <v>9781</v>
      </c>
    </row>
    <row r="93" spans="1:15" ht="30" customHeight="1">
      <c r="A93" s="275" t="s">
        <v>11</v>
      </c>
      <c r="B93" s="55" t="s">
        <v>756</v>
      </c>
      <c r="C93" s="55" t="s">
        <v>757</v>
      </c>
      <c r="D93" s="60" t="s">
        <v>1317</v>
      </c>
      <c r="E93" s="55"/>
      <c r="F93" s="55" t="s">
        <v>759</v>
      </c>
      <c r="G93" s="55" t="s">
        <v>757</v>
      </c>
      <c r="H93" s="415" t="s">
        <v>1262</v>
      </c>
      <c r="I93" s="46">
        <v>26206556</v>
      </c>
      <c r="J93" s="156" t="s">
        <v>154</v>
      </c>
      <c r="K93" s="62">
        <v>1.5</v>
      </c>
      <c r="L93" s="13">
        <f>15230-12610</f>
        <v>2620</v>
      </c>
      <c r="M93" s="45"/>
      <c r="N93" s="45"/>
      <c r="O93" s="53">
        <f t="shared" si="1"/>
        <v>2620</v>
      </c>
    </row>
    <row r="94" spans="1:15" ht="29.25">
      <c r="A94" s="275" t="s">
        <v>11</v>
      </c>
      <c r="B94" s="55" t="s">
        <v>756</v>
      </c>
      <c r="C94" s="55" t="s">
        <v>757</v>
      </c>
      <c r="D94" s="60" t="s">
        <v>821</v>
      </c>
      <c r="E94" s="55"/>
      <c r="F94" s="55" t="s">
        <v>759</v>
      </c>
      <c r="G94" s="55" t="s">
        <v>757</v>
      </c>
      <c r="H94" s="415" t="s">
        <v>1263</v>
      </c>
      <c r="I94" s="46">
        <v>357357</v>
      </c>
      <c r="J94" s="156" t="s">
        <v>154</v>
      </c>
      <c r="K94" s="62">
        <v>7.5</v>
      </c>
      <c r="L94" s="13">
        <f>38412-30761</f>
        <v>7651</v>
      </c>
      <c r="M94" s="45"/>
      <c r="N94" s="45"/>
      <c r="O94" s="53">
        <f t="shared" si="1"/>
        <v>7651</v>
      </c>
    </row>
    <row r="95" spans="1:15" ht="29.25">
      <c r="A95" s="275" t="s">
        <v>11</v>
      </c>
      <c r="B95" s="55" t="s">
        <v>756</v>
      </c>
      <c r="C95" s="55" t="s">
        <v>757</v>
      </c>
      <c r="D95" s="60" t="s">
        <v>822</v>
      </c>
      <c r="E95" s="55"/>
      <c r="F95" s="55" t="s">
        <v>759</v>
      </c>
      <c r="G95" s="55" t="s">
        <v>757</v>
      </c>
      <c r="H95" s="415" t="s">
        <v>1264</v>
      </c>
      <c r="I95" s="46">
        <v>356780</v>
      </c>
      <c r="J95" s="156" t="s">
        <v>154</v>
      </c>
      <c r="K95" s="62">
        <v>4.8</v>
      </c>
      <c r="L95" s="13">
        <f>44131-34825</f>
        <v>9306</v>
      </c>
      <c r="M95" s="45"/>
      <c r="N95" s="45"/>
      <c r="O95" s="53">
        <f t="shared" si="1"/>
        <v>9306</v>
      </c>
    </row>
    <row r="96" spans="1:15" ht="29.25">
      <c r="A96" s="275" t="s">
        <v>11</v>
      </c>
      <c r="B96" s="55" t="s">
        <v>756</v>
      </c>
      <c r="C96" s="55" t="s">
        <v>757</v>
      </c>
      <c r="D96" s="60" t="s">
        <v>823</v>
      </c>
      <c r="E96" s="55"/>
      <c r="F96" s="55" t="s">
        <v>759</v>
      </c>
      <c r="G96" s="55" t="s">
        <v>757</v>
      </c>
      <c r="H96" s="415" t="s">
        <v>1265</v>
      </c>
      <c r="I96" s="46">
        <v>356080</v>
      </c>
      <c r="J96" s="156" t="s">
        <v>154</v>
      </c>
      <c r="K96" s="62">
        <v>5</v>
      </c>
      <c r="L96" s="13">
        <f>84950-66109</f>
        <v>18841</v>
      </c>
      <c r="M96" s="45"/>
      <c r="N96" s="45"/>
      <c r="O96" s="53">
        <f t="shared" si="1"/>
        <v>18841</v>
      </c>
    </row>
    <row r="97" spans="1:15" ht="29.25">
      <c r="A97" s="275" t="s">
        <v>11</v>
      </c>
      <c r="B97" s="55" t="s">
        <v>756</v>
      </c>
      <c r="C97" s="55" t="s">
        <v>757</v>
      </c>
      <c r="D97" s="60" t="s">
        <v>824</v>
      </c>
      <c r="E97" s="55"/>
      <c r="F97" s="55" t="s">
        <v>759</v>
      </c>
      <c r="G97" s="55" t="s">
        <v>757</v>
      </c>
      <c r="H97" s="415" t="s">
        <v>1266</v>
      </c>
      <c r="I97" s="46">
        <v>71010334</v>
      </c>
      <c r="J97" s="156" t="s">
        <v>154</v>
      </c>
      <c r="K97" s="62">
        <v>6.5</v>
      </c>
      <c r="L97" s="13">
        <f>111997-93979</f>
        <v>18018</v>
      </c>
      <c r="M97" s="45"/>
      <c r="N97" s="45"/>
      <c r="O97" s="53">
        <f t="shared" si="1"/>
        <v>18018</v>
      </c>
    </row>
    <row r="98" spans="1:15" ht="43.5">
      <c r="A98" s="275" t="s">
        <v>11</v>
      </c>
      <c r="B98" s="55" t="s">
        <v>756</v>
      </c>
      <c r="C98" s="55" t="s">
        <v>757</v>
      </c>
      <c r="D98" s="60" t="s">
        <v>825</v>
      </c>
      <c r="E98" s="55"/>
      <c r="F98" s="55" t="s">
        <v>759</v>
      </c>
      <c r="G98" s="55" t="s">
        <v>757</v>
      </c>
      <c r="H98" s="415" t="s">
        <v>1267</v>
      </c>
      <c r="I98" s="46">
        <v>357352</v>
      </c>
      <c r="J98" s="156" t="s">
        <v>154</v>
      </c>
      <c r="K98" s="62">
        <v>4.8</v>
      </c>
      <c r="L98" s="13">
        <f>9557-8199</f>
        <v>1358</v>
      </c>
      <c r="M98" s="45"/>
      <c r="N98" s="45"/>
      <c r="O98" s="53">
        <f t="shared" si="1"/>
        <v>1358</v>
      </c>
    </row>
    <row r="99" spans="1:15" ht="43.5">
      <c r="A99" s="275" t="s">
        <v>11</v>
      </c>
      <c r="B99" s="55" t="s">
        <v>756</v>
      </c>
      <c r="C99" s="55" t="s">
        <v>757</v>
      </c>
      <c r="D99" s="60" t="s">
        <v>826</v>
      </c>
      <c r="E99" s="55"/>
      <c r="F99" s="55" t="s">
        <v>759</v>
      </c>
      <c r="G99" s="55" t="s">
        <v>757</v>
      </c>
      <c r="H99" s="415" t="s">
        <v>1268</v>
      </c>
      <c r="I99" s="46">
        <v>320127</v>
      </c>
      <c r="J99" s="156" t="s">
        <v>154</v>
      </c>
      <c r="K99" s="62">
        <v>6.5</v>
      </c>
      <c r="L99" s="13">
        <f>40202-31196</f>
        <v>9006</v>
      </c>
      <c r="M99" s="45"/>
      <c r="N99" s="45"/>
      <c r="O99" s="53">
        <f t="shared" si="1"/>
        <v>9006</v>
      </c>
    </row>
    <row r="100" spans="1:15" ht="29.25">
      <c r="A100" s="275" t="s">
        <v>11</v>
      </c>
      <c r="B100" s="55" t="s">
        <v>756</v>
      </c>
      <c r="C100" s="55" t="s">
        <v>757</v>
      </c>
      <c r="D100" s="60" t="s">
        <v>827</v>
      </c>
      <c r="E100" s="55"/>
      <c r="F100" s="55" t="s">
        <v>759</v>
      </c>
      <c r="G100" s="55" t="s">
        <v>757</v>
      </c>
      <c r="H100" s="415" t="s">
        <v>1269</v>
      </c>
      <c r="I100" s="46">
        <v>98334</v>
      </c>
      <c r="J100" s="156" t="s">
        <v>154</v>
      </c>
      <c r="K100" s="62">
        <v>4.8</v>
      </c>
      <c r="L100" s="13">
        <f>52529-46321</f>
        <v>6208</v>
      </c>
      <c r="M100" s="45"/>
      <c r="N100" s="45"/>
      <c r="O100" s="53">
        <f t="shared" si="1"/>
        <v>6208</v>
      </c>
    </row>
    <row r="101" spans="1:15" ht="29.25">
      <c r="A101" s="275" t="s">
        <v>11</v>
      </c>
      <c r="B101" s="55" t="s">
        <v>756</v>
      </c>
      <c r="C101" s="55" t="s">
        <v>757</v>
      </c>
      <c r="D101" s="60" t="s">
        <v>828</v>
      </c>
      <c r="E101" s="55"/>
      <c r="F101" s="55" t="s">
        <v>759</v>
      </c>
      <c r="G101" s="55" t="s">
        <v>757</v>
      </c>
      <c r="H101" s="415" t="s">
        <v>1270</v>
      </c>
      <c r="I101" s="46">
        <v>357153</v>
      </c>
      <c r="J101" s="156" t="s">
        <v>154</v>
      </c>
      <c r="K101" s="62">
        <v>4.3</v>
      </c>
      <c r="L101" s="13">
        <f>25826-20034</f>
        <v>5792</v>
      </c>
      <c r="M101" s="45"/>
      <c r="N101" s="45"/>
      <c r="O101" s="53">
        <f t="shared" si="1"/>
        <v>5792</v>
      </c>
    </row>
    <row r="102" spans="1:15" ht="29.25">
      <c r="A102" s="275" t="s">
        <v>11</v>
      </c>
      <c r="B102" s="55" t="s">
        <v>756</v>
      </c>
      <c r="C102" s="55" t="s">
        <v>757</v>
      </c>
      <c r="D102" s="60" t="s">
        <v>822</v>
      </c>
      <c r="E102" s="55"/>
      <c r="F102" s="55" t="s">
        <v>759</v>
      </c>
      <c r="G102" s="55" t="s">
        <v>757</v>
      </c>
      <c r="H102" s="415" t="s">
        <v>1271</v>
      </c>
      <c r="I102" s="46">
        <v>357155</v>
      </c>
      <c r="J102" s="156" t="s">
        <v>154</v>
      </c>
      <c r="K102" s="62">
        <v>5.2</v>
      </c>
      <c r="L102" s="13">
        <f>83377-64088</f>
        <v>19289</v>
      </c>
      <c r="M102" s="45"/>
      <c r="N102" s="45"/>
      <c r="O102" s="53">
        <f t="shared" si="1"/>
        <v>19289</v>
      </c>
    </row>
    <row r="103" spans="1:15" ht="29.25">
      <c r="A103" s="275" t="s">
        <v>11</v>
      </c>
      <c r="B103" s="55" t="s">
        <v>756</v>
      </c>
      <c r="C103" s="55" t="s">
        <v>757</v>
      </c>
      <c r="D103" s="60" t="s">
        <v>829</v>
      </c>
      <c r="E103" s="55"/>
      <c r="F103" s="55" t="s">
        <v>759</v>
      </c>
      <c r="G103" s="55" t="s">
        <v>757</v>
      </c>
      <c r="H103" s="415" t="s">
        <v>1272</v>
      </c>
      <c r="I103" s="46">
        <v>291222</v>
      </c>
      <c r="J103" s="156" t="s">
        <v>154</v>
      </c>
      <c r="K103" s="62">
        <v>4.3</v>
      </c>
      <c r="L103" s="13">
        <f>12224-9544</f>
        <v>2680</v>
      </c>
      <c r="M103" s="45"/>
      <c r="N103" s="45"/>
      <c r="O103" s="53">
        <f t="shared" si="1"/>
        <v>2680</v>
      </c>
    </row>
    <row r="104" spans="1:15" ht="29.25">
      <c r="A104" s="275" t="s">
        <v>11</v>
      </c>
      <c r="B104" s="55" t="s">
        <v>756</v>
      </c>
      <c r="C104" s="55" t="s">
        <v>757</v>
      </c>
      <c r="D104" s="60" t="s">
        <v>829</v>
      </c>
      <c r="E104" s="55"/>
      <c r="F104" s="55" t="s">
        <v>759</v>
      </c>
      <c r="G104" s="55" t="s">
        <v>757</v>
      </c>
      <c r="H104" s="415" t="s">
        <v>1273</v>
      </c>
      <c r="I104" s="46">
        <v>356788</v>
      </c>
      <c r="J104" s="156" t="s">
        <v>154</v>
      </c>
      <c r="K104" s="62">
        <v>6</v>
      </c>
      <c r="L104" s="13">
        <f>79773-58915</f>
        <v>20858</v>
      </c>
      <c r="M104" s="45"/>
      <c r="N104" s="45"/>
      <c r="O104" s="53">
        <f t="shared" si="1"/>
        <v>20858</v>
      </c>
    </row>
    <row r="105" spans="1:15" ht="18">
      <c r="A105" s="275" t="s">
        <v>11</v>
      </c>
      <c r="B105" s="55" t="s">
        <v>756</v>
      </c>
      <c r="C105" s="55" t="s">
        <v>757</v>
      </c>
      <c r="D105" s="60" t="s">
        <v>830</v>
      </c>
      <c r="E105" s="55"/>
      <c r="F105" s="55" t="s">
        <v>759</v>
      </c>
      <c r="G105" s="55" t="s">
        <v>757</v>
      </c>
      <c r="H105" s="415" t="s">
        <v>1274</v>
      </c>
      <c r="I105" s="46">
        <v>70652793</v>
      </c>
      <c r="J105" s="156" t="s">
        <v>154</v>
      </c>
      <c r="K105" s="62">
        <v>6.8</v>
      </c>
      <c r="L105" s="13">
        <f>67795-62237</f>
        <v>5558</v>
      </c>
      <c r="M105" s="45"/>
      <c r="N105" s="45"/>
      <c r="O105" s="53">
        <f t="shared" si="1"/>
        <v>5558</v>
      </c>
    </row>
    <row r="106" spans="1:15" ht="25.5" customHeight="1">
      <c r="A106" s="275" t="s">
        <v>11</v>
      </c>
      <c r="B106" s="55" t="s">
        <v>756</v>
      </c>
      <c r="C106" s="55" t="s">
        <v>757</v>
      </c>
      <c r="D106" s="60" t="s">
        <v>81</v>
      </c>
      <c r="E106" s="55"/>
      <c r="F106" s="55" t="s">
        <v>759</v>
      </c>
      <c r="G106" s="55" t="s">
        <v>757</v>
      </c>
      <c r="H106" s="415" t="s">
        <v>1275</v>
      </c>
      <c r="I106" s="46">
        <v>70522207</v>
      </c>
      <c r="J106" s="156" t="s">
        <v>154</v>
      </c>
      <c r="K106" s="62">
        <v>3.3</v>
      </c>
      <c r="L106" s="13">
        <f>29921-23272</f>
        <v>6649</v>
      </c>
      <c r="M106" s="45"/>
      <c r="N106" s="45"/>
      <c r="O106" s="53">
        <f t="shared" si="1"/>
        <v>6649</v>
      </c>
    </row>
    <row r="107" spans="1:15" ht="18">
      <c r="A107" s="275" t="s">
        <v>11</v>
      </c>
      <c r="B107" s="55" t="s">
        <v>756</v>
      </c>
      <c r="C107" s="55" t="s">
        <v>757</v>
      </c>
      <c r="D107" s="60" t="s">
        <v>831</v>
      </c>
      <c r="E107" s="55"/>
      <c r="F107" s="55" t="s">
        <v>759</v>
      </c>
      <c r="G107" s="55" t="s">
        <v>757</v>
      </c>
      <c r="H107" s="415" t="s">
        <v>1276</v>
      </c>
      <c r="I107" s="46">
        <v>356084</v>
      </c>
      <c r="J107" s="156" t="s">
        <v>154</v>
      </c>
      <c r="K107" s="62">
        <v>5.5</v>
      </c>
      <c r="L107" s="13">
        <f>49030-37967</f>
        <v>11063</v>
      </c>
      <c r="M107" s="45"/>
      <c r="N107" s="45"/>
      <c r="O107" s="53">
        <f t="shared" si="1"/>
        <v>11063</v>
      </c>
    </row>
    <row r="108" spans="1:15" ht="43.5">
      <c r="A108" s="275" t="s">
        <v>11</v>
      </c>
      <c r="B108" s="55" t="s">
        <v>756</v>
      </c>
      <c r="C108" s="55" t="s">
        <v>757</v>
      </c>
      <c r="D108" s="60" t="s">
        <v>832</v>
      </c>
      <c r="E108" s="55"/>
      <c r="F108" s="55" t="s">
        <v>759</v>
      </c>
      <c r="G108" s="55" t="s">
        <v>757</v>
      </c>
      <c r="H108" s="415" t="s">
        <v>1277</v>
      </c>
      <c r="I108" s="46">
        <v>320133</v>
      </c>
      <c r="J108" s="156" t="s">
        <v>154</v>
      </c>
      <c r="K108" s="62">
        <v>3.5</v>
      </c>
      <c r="L108" s="13">
        <f>22158-16428</f>
        <v>5730</v>
      </c>
      <c r="M108" s="45"/>
      <c r="N108" s="45"/>
      <c r="O108" s="53">
        <f t="shared" si="1"/>
        <v>5730</v>
      </c>
    </row>
    <row r="109" spans="1:15" ht="18">
      <c r="A109" s="275" t="s">
        <v>11</v>
      </c>
      <c r="B109" s="55" t="s">
        <v>756</v>
      </c>
      <c r="C109" s="55" t="s">
        <v>757</v>
      </c>
      <c r="D109" s="60" t="s">
        <v>833</v>
      </c>
      <c r="E109" s="55"/>
      <c r="F109" s="55" t="s">
        <v>759</v>
      </c>
      <c r="G109" s="55" t="s">
        <v>757</v>
      </c>
      <c r="H109" s="415" t="s">
        <v>1278</v>
      </c>
      <c r="I109" s="46">
        <v>356023</v>
      </c>
      <c r="J109" s="156" t="s">
        <v>154</v>
      </c>
      <c r="K109" s="62">
        <v>4</v>
      </c>
      <c r="L109" s="13">
        <f>26001-20553</f>
        <v>5448</v>
      </c>
      <c r="M109" s="45"/>
      <c r="N109" s="45"/>
      <c r="O109" s="53">
        <f t="shared" si="1"/>
        <v>5448</v>
      </c>
    </row>
    <row r="110" spans="1:15" ht="29.25" customHeight="1">
      <c r="A110" s="275" t="s">
        <v>11</v>
      </c>
      <c r="B110" s="55" t="s">
        <v>756</v>
      </c>
      <c r="C110" s="55" t="s">
        <v>757</v>
      </c>
      <c r="D110" s="60" t="s">
        <v>834</v>
      </c>
      <c r="E110" s="55"/>
      <c r="F110" s="55" t="s">
        <v>759</v>
      </c>
      <c r="G110" s="55" t="s">
        <v>757</v>
      </c>
      <c r="H110" s="415" t="s">
        <v>1279</v>
      </c>
      <c r="I110" s="46">
        <v>357230</v>
      </c>
      <c r="J110" s="156" t="s">
        <v>154</v>
      </c>
      <c r="K110" s="62">
        <v>5.3</v>
      </c>
      <c r="L110" s="13">
        <f>31482-24531</f>
        <v>6951</v>
      </c>
      <c r="M110" s="45"/>
      <c r="N110" s="45"/>
      <c r="O110" s="53">
        <f t="shared" si="1"/>
        <v>6951</v>
      </c>
    </row>
    <row r="111" spans="1:15" ht="29.25">
      <c r="A111" s="275" t="s">
        <v>11</v>
      </c>
      <c r="B111" s="55" t="s">
        <v>756</v>
      </c>
      <c r="C111" s="55" t="s">
        <v>757</v>
      </c>
      <c r="D111" s="60" t="s">
        <v>835</v>
      </c>
      <c r="E111" s="55"/>
      <c r="F111" s="55" t="s">
        <v>759</v>
      </c>
      <c r="G111" s="55" t="s">
        <v>757</v>
      </c>
      <c r="H111" s="415" t="s">
        <v>1280</v>
      </c>
      <c r="I111" s="46">
        <v>90104540</v>
      </c>
      <c r="J111" s="156" t="s">
        <v>154</v>
      </c>
      <c r="K111" s="62">
        <v>7.8</v>
      </c>
      <c r="L111" s="13">
        <f>13758-9098</f>
        <v>4660</v>
      </c>
      <c r="M111" s="45"/>
      <c r="N111" s="45"/>
      <c r="O111" s="53">
        <f t="shared" si="1"/>
        <v>4660</v>
      </c>
    </row>
    <row r="112" spans="1:15" ht="29.25">
      <c r="A112" s="275" t="s">
        <v>11</v>
      </c>
      <c r="B112" s="55" t="s">
        <v>756</v>
      </c>
      <c r="C112" s="55" t="s">
        <v>757</v>
      </c>
      <c r="D112" s="60" t="s">
        <v>836</v>
      </c>
      <c r="E112" s="55"/>
      <c r="F112" s="55" t="s">
        <v>759</v>
      </c>
      <c r="G112" s="55" t="s">
        <v>757</v>
      </c>
      <c r="H112" s="415" t="s">
        <v>1281</v>
      </c>
      <c r="I112" s="46">
        <v>10962272</v>
      </c>
      <c r="J112" s="156" t="s">
        <v>154</v>
      </c>
      <c r="K112" s="62">
        <v>4</v>
      </c>
      <c r="L112" s="13">
        <f>43009-6482</f>
        <v>36527</v>
      </c>
      <c r="M112" s="45"/>
      <c r="N112" s="45"/>
      <c r="O112" s="53">
        <f t="shared" si="1"/>
        <v>36527</v>
      </c>
    </row>
    <row r="113" spans="1:15" ht="29.25">
      <c r="A113" s="275" t="s">
        <v>11</v>
      </c>
      <c r="B113" s="55" t="s">
        <v>756</v>
      </c>
      <c r="C113" s="55" t="s">
        <v>757</v>
      </c>
      <c r="D113" s="60" t="s">
        <v>837</v>
      </c>
      <c r="E113" s="55"/>
      <c r="F113" s="55" t="s">
        <v>759</v>
      </c>
      <c r="G113" s="55" t="s">
        <v>757</v>
      </c>
      <c r="H113" s="415" t="s">
        <v>1282</v>
      </c>
      <c r="I113" s="46">
        <v>7992418</v>
      </c>
      <c r="J113" s="156" t="s">
        <v>154</v>
      </c>
      <c r="K113" s="62">
        <v>7.5</v>
      </c>
      <c r="L113" s="13">
        <f>180170-168833</f>
        <v>11337</v>
      </c>
      <c r="M113" s="45"/>
      <c r="N113" s="45"/>
      <c r="O113" s="53">
        <f t="shared" si="1"/>
        <v>11337</v>
      </c>
    </row>
    <row r="114" spans="1:15" ht="29.25">
      <c r="A114" s="275" t="s">
        <v>11</v>
      </c>
      <c r="B114" s="55" t="s">
        <v>756</v>
      </c>
      <c r="C114" s="55" t="s">
        <v>757</v>
      </c>
      <c r="D114" s="60" t="s">
        <v>786</v>
      </c>
      <c r="E114" s="55"/>
      <c r="F114" s="55" t="s">
        <v>759</v>
      </c>
      <c r="G114" s="55" t="s">
        <v>757</v>
      </c>
      <c r="H114" s="415" t="s">
        <v>1283</v>
      </c>
      <c r="I114" s="46">
        <v>9677706</v>
      </c>
      <c r="J114" s="156" t="s">
        <v>154</v>
      </c>
      <c r="K114" s="62">
        <v>3.3</v>
      </c>
      <c r="L114" s="13">
        <f>53198-44839</f>
        <v>8359</v>
      </c>
      <c r="M114" s="45"/>
      <c r="N114" s="45"/>
      <c r="O114" s="53">
        <f t="shared" si="1"/>
        <v>8359</v>
      </c>
    </row>
    <row r="115" spans="1:15" ht="29.25">
      <c r="A115" s="275" t="s">
        <v>11</v>
      </c>
      <c r="B115" s="55" t="s">
        <v>756</v>
      </c>
      <c r="C115" s="55" t="s">
        <v>757</v>
      </c>
      <c r="D115" s="60" t="s">
        <v>838</v>
      </c>
      <c r="E115" s="55"/>
      <c r="F115" s="55" t="s">
        <v>759</v>
      </c>
      <c r="G115" s="55" t="s">
        <v>757</v>
      </c>
      <c r="H115" s="415" t="s">
        <v>1284</v>
      </c>
      <c r="I115" s="46">
        <v>7338814</v>
      </c>
      <c r="J115" s="156" t="s">
        <v>154</v>
      </c>
      <c r="K115" s="62">
        <v>5.8</v>
      </c>
      <c r="L115" s="13">
        <f>204129-180648</f>
        <v>23481</v>
      </c>
      <c r="M115" s="45"/>
      <c r="N115" s="45"/>
      <c r="O115" s="53">
        <f t="shared" si="1"/>
        <v>23481</v>
      </c>
    </row>
    <row r="116" spans="1:15" ht="18">
      <c r="A116" s="275" t="s">
        <v>11</v>
      </c>
      <c r="B116" s="55" t="s">
        <v>756</v>
      </c>
      <c r="C116" s="55" t="s">
        <v>757</v>
      </c>
      <c r="D116" s="60" t="s">
        <v>839</v>
      </c>
      <c r="E116" s="55"/>
      <c r="F116" s="55" t="s">
        <v>759</v>
      </c>
      <c r="G116" s="55" t="s">
        <v>757</v>
      </c>
      <c r="H116" s="415" t="s">
        <v>1285</v>
      </c>
      <c r="I116" s="46">
        <v>90103479</v>
      </c>
      <c r="J116" s="156" t="s">
        <v>154</v>
      </c>
      <c r="K116" s="62">
        <v>2.8</v>
      </c>
      <c r="L116" s="13">
        <f>40689-20772</f>
        <v>19917</v>
      </c>
      <c r="M116" s="45"/>
      <c r="N116" s="45"/>
      <c r="O116" s="53">
        <f t="shared" si="1"/>
        <v>19917</v>
      </c>
    </row>
    <row r="117" spans="1:15" ht="29.25">
      <c r="A117" s="275" t="s">
        <v>11</v>
      </c>
      <c r="B117" s="55" t="s">
        <v>756</v>
      </c>
      <c r="C117" s="55" t="s">
        <v>757</v>
      </c>
      <c r="D117" s="60" t="s">
        <v>840</v>
      </c>
      <c r="E117" s="55"/>
      <c r="F117" s="55" t="s">
        <v>759</v>
      </c>
      <c r="G117" s="55" t="s">
        <v>757</v>
      </c>
      <c r="H117" s="415" t="s">
        <v>1286</v>
      </c>
      <c r="I117" s="46">
        <v>9984733</v>
      </c>
      <c r="J117" s="156" t="s">
        <v>154</v>
      </c>
      <c r="K117" s="62">
        <v>7.2</v>
      </c>
      <c r="L117" s="13">
        <f>109961-95649</f>
        <v>14312</v>
      </c>
      <c r="M117" s="45"/>
      <c r="N117" s="45"/>
      <c r="O117" s="53">
        <f t="shared" si="1"/>
        <v>14312</v>
      </c>
    </row>
    <row r="118" spans="1:15" ht="35.25" customHeight="1">
      <c r="A118" s="275" t="s">
        <v>11</v>
      </c>
      <c r="B118" s="46" t="s">
        <v>756</v>
      </c>
      <c r="C118" s="46" t="s">
        <v>757</v>
      </c>
      <c r="D118" s="27" t="s">
        <v>841</v>
      </c>
      <c r="E118" s="46"/>
      <c r="F118" s="46" t="s">
        <v>759</v>
      </c>
      <c r="G118" s="46" t="s">
        <v>757</v>
      </c>
      <c r="H118" s="415" t="s">
        <v>1287</v>
      </c>
      <c r="I118" s="46">
        <v>10661419</v>
      </c>
      <c r="J118" s="157" t="s">
        <v>154</v>
      </c>
      <c r="K118" s="48">
        <v>3</v>
      </c>
      <c r="L118" s="13">
        <f>48021-39871</f>
        <v>8150</v>
      </c>
      <c r="M118" s="45"/>
      <c r="N118" s="45"/>
      <c r="O118" s="53">
        <f t="shared" si="1"/>
        <v>8150</v>
      </c>
    </row>
    <row r="119" spans="1:15" ht="29.25">
      <c r="A119" s="275" t="s">
        <v>11</v>
      </c>
      <c r="B119" s="55" t="s">
        <v>756</v>
      </c>
      <c r="C119" s="55" t="s">
        <v>757</v>
      </c>
      <c r="D119" s="60" t="s">
        <v>842</v>
      </c>
      <c r="E119" s="55"/>
      <c r="F119" s="55" t="s">
        <v>759</v>
      </c>
      <c r="G119" s="55" t="s">
        <v>757</v>
      </c>
      <c r="H119" s="415" t="s">
        <v>1288</v>
      </c>
      <c r="I119" s="46">
        <v>356088</v>
      </c>
      <c r="J119" s="156" t="s">
        <v>154</v>
      </c>
      <c r="K119" s="62">
        <v>10</v>
      </c>
      <c r="L119" s="13">
        <f>88751-68794</f>
        <v>19957</v>
      </c>
      <c r="M119" s="45"/>
      <c r="N119" s="45"/>
      <c r="O119" s="53">
        <f t="shared" si="1"/>
        <v>19957</v>
      </c>
    </row>
    <row r="120" spans="1:15" ht="43.5">
      <c r="A120" s="275" t="s">
        <v>11</v>
      </c>
      <c r="B120" s="55" t="s">
        <v>756</v>
      </c>
      <c r="C120" s="55" t="s">
        <v>757</v>
      </c>
      <c r="D120" s="60" t="s">
        <v>843</v>
      </c>
      <c r="E120" s="55"/>
      <c r="F120" s="55" t="s">
        <v>759</v>
      </c>
      <c r="G120" s="55" t="s">
        <v>757</v>
      </c>
      <c r="H120" s="415" t="s">
        <v>1289</v>
      </c>
      <c r="I120" s="46">
        <v>9578696</v>
      </c>
      <c r="J120" s="156" t="s">
        <v>154</v>
      </c>
      <c r="K120" s="62">
        <v>23</v>
      </c>
      <c r="L120" s="13">
        <f>82666-71220</f>
        <v>11446</v>
      </c>
      <c r="M120" s="45"/>
      <c r="N120" s="45"/>
      <c r="O120" s="53">
        <f t="shared" si="1"/>
        <v>11446</v>
      </c>
    </row>
    <row r="121" spans="1:15" ht="29.25">
      <c r="A121" s="275" t="s">
        <v>11</v>
      </c>
      <c r="B121" s="55" t="s">
        <v>756</v>
      </c>
      <c r="C121" s="55" t="s">
        <v>757</v>
      </c>
      <c r="D121" s="60" t="s">
        <v>786</v>
      </c>
      <c r="E121" s="55"/>
      <c r="F121" s="55" t="s">
        <v>759</v>
      </c>
      <c r="G121" s="55" t="s">
        <v>757</v>
      </c>
      <c r="H121" s="415" t="s">
        <v>1290</v>
      </c>
      <c r="I121" s="46">
        <v>356022</v>
      </c>
      <c r="J121" s="156" t="s">
        <v>154</v>
      </c>
      <c r="K121" s="62">
        <v>2</v>
      </c>
      <c r="L121" s="13">
        <f>23817-17852</f>
        <v>5965</v>
      </c>
      <c r="M121" s="45"/>
      <c r="N121" s="45"/>
      <c r="O121" s="53">
        <f t="shared" si="1"/>
        <v>5965</v>
      </c>
    </row>
    <row r="122" spans="1:15" ht="43.5">
      <c r="A122" s="275" t="s">
        <v>11</v>
      </c>
      <c r="B122" s="55" t="s">
        <v>756</v>
      </c>
      <c r="C122" s="55" t="s">
        <v>757</v>
      </c>
      <c r="D122" s="60" t="s">
        <v>844</v>
      </c>
      <c r="E122" s="55"/>
      <c r="F122" s="55" t="s">
        <v>759</v>
      </c>
      <c r="G122" s="55" t="s">
        <v>757</v>
      </c>
      <c r="H122" s="415" t="s">
        <v>1291</v>
      </c>
      <c r="I122" s="46">
        <v>83143374</v>
      </c>
      <c r="J122" s="156" t="s">
        <v>154</v>
      </c>
      <c r="K122" s="62">
        <v>5.5</v>
      </c>
      <c r="L122" s="13">
        <f>14508-8850</f>
        <v>5658</v>
      </c>
      <c r="M122" s="45"/>
      <c r="N122" s="45"/>
      <c r="O122" s="53">
        <f t="shared" si="1"/>
        <v>5658</v>
      </c>
    </row>
    <row r="123" spans="1:15" ht="29.25">
      <c r="A123" s="275" t="s">
        <v>11</v>
      </c>
      <c r="B123" s="55" t="s">
        <v>756</v>
      </c>
      <c r="C123" s="55" t="s">
        <v>757</v>
      </c>
      <c r="D123" s="60" t="s">
        <v>845</v>
      </c>
      <c r="E123" s="55"/>
      <c r="F123" s="55" t="s">
        <v>759</v>
      </c>
      <c r="G123" s="55" t="s">
        <v>757</v>
      </c>
      <c r="H123" s="415" t="s">
        <v>1292</v>
      </c>
      <c r="I123" s="46">
        <v>12642589</v>
      </c>
      <c r="J123" s="156" t="s">
        <v>154</v>
      </c>
      <c r="K123" s="62">
        <v>2.5</v>
      </c>
      <c r="L123" s="13">
        <f>115049-106677</f>
        <v>8372</v>
      </c>
      <c r="M123" s="45"/>
      <c r="N123" s="45"/>
      <c r="O123" s="53">
        <f t="shared" si="1"/>
        <v>8372</v>
      </c>
    </row>
    <row r="124" spans="1:15" ht="29.25">
      <c r="A124" s="275" t="s">
        <v>11</v>
      </c>
      <c r="B124" s="55" t="s">
        <v>756</v>
      </c>
      <c r="C124" s="55" t="s">
        <v>757</v>
      </c>
      <c r="D124" s="60" t="s">
        <v>786</v>
      </c>
      <c r="E124" s="55"/>
      <c r="F124" s="55" t="s">
        <v>759</v>
      </c>
      <c r="G124" s="55" t="s">
        <v>757</v>
      </c>
      <c r="H124" s="415" t="s">
        <v>1293</v>
      </c>
      <c r="I124" s="46">
        <v>78240550</v>
      </c>
      <c r="J124" s="156" t="s">
        <v>154</v>
      </c>
      <c r="K124" s="62">
        <v>0.9</v>
      </c>
      <c r="L124" s="13">
        <f>83714-77209</f>
        <v>6505</v>
      </c>
      <c r="M124" s="45"/>
      <c r="N124" s="45"/>
      <c r="O124" s="53">
        <f t="shared" si="1"/>
        <v>6505</v>
      </c>
    </row>
    <row r="125" spans="1:15" ht="27" customHeight="1">
      <c r="A125" s="275" t="s">
        <v>11</v>
      </c>
      <c r="B125" s="55" t="s">
        <v>756</v>
      </c>
      <c r="C125" s="55" t="s">
        <v>757</v>
      </c>
      <c r="D125" s="60" t="s">
        <v>79</v>
      </c>
      <c r="E125" s="55"/>
      <c r="F125" s="55" t="s">
        <v>759</v>
      </c>
      <c r="G125" s="55" t="s">
        <v>757</v>
      </c>
      <c r="H125" s="415" t="s">
        <v>1294</v>
      </c>
      <c r="I125" s="46">
        <v>12180090</v>
      </c>
      <c r="J125" s="156" t="s">
        <v>154</v>
      </c>
      <c r="K125" s="62">
        <v>3.3</v>
      </c>
      <c r="L125" s="13">
        <f>200747-186245</f>
        <v>14502</v>
      </c>
      <c r="M125" s="45"/>
      <c r="N125" s="45"/>
      <c r="O125" s="53">
        <f t="shared" si="1"/>
        <v>14502</v>
      </c>
    </row>
    <row r="126" spans="1:15" ht="43.5">
      <c r="A126" s="275" t="s">
        <v>11</v>
      </c>
      <c r="B126" s="55" t="s">
        <v>756</v>
      </c>
      <c r="C126" s="55" t="s">
        <v>757</v>
      </c>
      <c r="D126" s="60" t="s">
        <v>846</v>
      </c>
      <c r="E126" s="55"/>
      <c r="F126" s="55" t="s">
        <v>759</v>
      </c>
      <c r="G126" s="55" t="s">
        <v>757</v>
      </c>
      <c r="H126" s="415" t="s">
        <v>1295</v>
      </c>
      <c r="I126" s="46">
        <v>14935</v>
      </c>
      <c r="J126" s="155" t="s">
        <v>377</v>
      </c>
      <c r="K126" s="62">
        <v>2</v>
      </c>
      <c r="L126" s="45"/>
      <c r="M126" s="13">
        <f>11811-9895</f>
        <v>1916</v>
      </c>
      <c r="N126" s="13">
        <f>22053-18170</f>
        <v>3883</v>
      </c>
      <c r="O126" s="13">
        <f>SUM(M126:N126)</f>
        <v>5799</v>
      </c>
    </row>
    <row r="127" spans="1:15" ht="29.25">
      <c r="A127" s="275" t="s">
        <v>11</v>
      </c>
      <c r="B127" s="55" t="s">
        <v>756</v>
      </c>
      <c r="C127" s="55" t="s">
        <v>757</v>
      </c>
      <c r="D127" s="60" t="s">
        <v>847</v>
      </c>
      <c r="E127" s="55"/>
      <c r="F127" s="55" t="s">
        <v>759</v>
      </c>
      <c r="G127" s="55" t="s">
        <v>757</v>
      </c>
      <c r="H127" s="415" t="s">
        <v>1296</v>
      </c>
      <c r="I127" s="46">
        <v>11747</v>
      </c>
      <c r="J127" s="155" t="s">
        <v>377</v>
      </c>
      <c r="K127" s="62">
        <v>6</v>
      </c>
      <c r="L127" s="45"/>
      <c r="M127" s="13">
        <f>47362-41535</f>
        <v>5827</v>
      </c>
      <c r="N127" s="13">
        <f>93862-81429</f>
        <v>12433</v>
      </c>
      <c r="O127" s="13">
        <f>SUM(M127:N127)</f>
        <v>18260</v>
      </c>
    </row>
    <row r="128" spans="1:15" ht="18">
      <c r="A128" s="275" t="s">
        <v>11</v>
      </c>
      <c r="B128" s="55" t="s">
        <v>756</v>
      </c>
      <c r="C128" s="55" t="s">
        <v>757</v>
      </c>
      <c r="D128" s="60" t="s">
        <v>848</v>
      </c>
      <c r="E128" s="55"/>
      <c r="F128" s="55" t="s">
        <v>759</v>
      </c>
      <c r="G128" s="55" t="s">
        <v>757</v>
      </c>
      <c r="H128" s="415" t="s">
        <v>1297</v>
      </c>
      <c r="I128" s="46">
        <v>89115708</v>
      </c>
      <c r="J128" s="4" t="s">
        <v>152</v>
      </c>
      <c r="K128" s="62">
        <v>2</v>
      </c>
      <c r="L128" s="13">
        <f>20371-17544</f>
        <v>2827</v>
      </c>
      <c r="M128" s="45"/>
      <c r="N128" s="45"/>
      <c r="O128" s="13">
        <f>L128</f>
        <v>2827</v>
      </c>
    </row>
    <row r="129" spans="1:15" ht="29.25">
      <c r="A129" s="275" t="s">
        <v>11</v>
      </c>
      <c r="B129" s="46" t="s">
        <v>756</v>
      </c>
      <c r="C129" s="46" t="s">
        <v>757</v>
      </c>
      <c r="D129" s="27" t="s">
        <v>849</v>
      </c>
      <c r="E129" s="46"/>
      <c r="F129" s="46" t="s">
        <v>759</v>
      </c>
      <c r="G129" s="46" t="s">
        <v>757</v>
      </c>
      <c r="H129" s="415" t="s">
        <v>1298</v>
      </c>
      <c r="I129" s="46">
        <v>71010221</v>
      </c>
      <c r="J129" s="73" t="s">
        <v>152</v>
      </c>
      <c r="K129" s="48">
        <v>2.5</v>
      </c>
      <c r="L129" s="13">
        <f>17184-14718</f>
        <v>2466</v>
      </c>
      <c r="M129" s="45"/>
      <c r="N129" s="45"/>
      <c r="O129" s="13">
        <f>L129</f>
        <v>2466</v>
      </c>
    </row>
    <row r="130" spans="1:15" ht="27" customHeight="1">
      <c r="A130" s="275" t="s">
        <v>11</v>
      </c>
      <c r="B130" s="55" t="s">
        <v>756</v>
      </c>
      <c r="C130" s="55" t="s">
        <v>757</v>
      </c>
      <c r="D130" s="60" t="s">
        <v>850</v>
      </c>
      <c r="E130" s="55"/>
      <c r="F130" s="55" t="s">
        <v>759</v>
      </c>
      <c r="G130" s="55" t="s">
        <v>757</v>
      </c>
      <c r="H130" s="415" t="s">
        <v>1299</v>
      </c>
      <c r="I130" s="46">
        <v>7051115</v>
      </c>
      <c r="J130" s="4" t="s">
        <v>152</v>
      </c>
      <c r="K130" s="62">
        <v>5.2</v>
      </c>
      <c r="L130" s="13">
        <f>124407-107154</f>
        <v>17253</v>
      </c>
      <c r="M130" s="45"/>
      <c r="N130" s="45"/>
      <c r="O130" s="13">
        <f>L130</f>
        <v>17253</v>
      </c>
    </row>
    <row r="131" spans="1:15" ht="34.5" customHeight="1" thickBot="1">
      <c r="A131" s="275" t="s">
        <v>11</v>
      </c>
      <c r="B131" s="56" t="s">
        <v>756</v>
      </c>
      <c r="C131" s="56" t="s">
        <v>757</v>
      </c>
      <c r="D131" s="64" t="s">
        <v>850</v>
      </c>
      <c r="E131" s="55"/>
      <c r="F131" s="55" t="s">
        <v>759</v>
      </c>
      <c r="G131" s="55" t="s">
        <v>757</v>
      </c>
      <c r="H131" s="415" t="s">
        <v>1300</v>
      </c>
      <c r="I131" s="46">
        <v>12702864</v>
      </c>
      <c r="J131" s="4" t="s">
        <v>152</v>
      </c>
      <c r="K131" s="62">
        <v>5.2</v>
      </c>
      <c r="L131" s="13">
        <f>140137-131834</f>
        <v>8303</v>
      </c>
      <c r="M131" s="45"/>
      <c r="N131" s="45"/>
      <c r="O131" s="13">
        <f>L131</f>
        <v>8303</v>
      </c>
    </row>
    <row r="132" spans="2:15" ht="42.75" customHeight="1">
      <c r="B132" s="568" t="s">
        <v>155</v>
      </c>
      <c r="C132" s="569" t="s">
        <v>1666</v>
      </c>
      <c r="D132" s="616"/>
      <c r="G132" s="672" t="s">
        <v>2097</v>
      </c>
      <c r="H132" s="612" t="s">
        <v>1666</v>
      </c>
      <c r="I132" s="261"/>
      <c r="K132" s="1"/>
      <c r="N132" s="13" t="s">
        <v>2088</v>
      </c>
      <c r="O132" s="276">
        <f>SUM(O18:O131)</f>
        <v>1314414</v>
      </c>
    </row>
    <row r="133" spans="2:15" ht="15">
      <c r="B133" s="570"/>
      <c r="C133" s="571" t="s">
        <v>1967</v>
      </c>
      <c r="D133" s="617"/>
      <c r="G133" s="611"/>
      <c r="H133" s="613" t="s">
        <v>1967</v>
      </c>
      <c r="I133" s="86"/>
      <c r="J133" s="86"/>
      <c r="K133" s="86"/>
      <c r="L133" s="154"/>
      <c r="M133" s="154"/>
      <c r="N133" s="154"/>
      <c r="O133" s="2"/>
    </row>
    <row r="134" spans="2:14" ht="15.75" thickBot="1">
      <c r="B134" s="570"/>
      <c r="C134" s="571" t="s">
        <v>1667</v>
      </c>
      <c r="D134" s="617"/>
      <c r="G134" s="614"/>
      <c r="H134" s="615" t="s">
        <v>1667</v>
      </c>
      <c r="I134" s="86"/>
      <c r="J134" s="86"/>
      <c r="K134" s="154"/>
      <c r="L134" s="154"/>
      <c r="N134" s="154"/>
    </row>
    <row r="135" spans="2:14" ht="15">
      <c r="B135" s="572" t="s">
        <v>1670</v>
      </c>
      <c r="C135" s="571" t="s">
        <v>1968</v>
      </c>
      <c r="D135" s="617"/>
      <c r="F135" s="31"/>
      <c r="G135" s="31"/>
      <c r="H135" s="31"/>
      <c r="I135" s="86"/>
      <c r="J135" s="86"/>
      <c r="K135" s="154"/>
      <c r="L135" s="154"/>
      <c r="M135" s="154"/>
      <c r="N135" s="154"/>
    </row>
    <row r="136" spans="2:14" ht="15.75" thickBot="1">
      <c r="B136" s="573" t="s">
        <v>1674</v>
      </c>
      <c r="C136" s="574" t="s">
        <v>1794</v>
      </c>
      <c r="D136" s="618"/>
      <c r="F136" s="31"/>
      <c r="G136" s="31"/>
      <c r="H136" s="31"/>
      <c r="I136" s="86"/>
      <c r="J136" s="86"/>
      <c r="K136" s="154"/>
      <c r="N136" s="154"/>
    </row>
    <row r="137" spans="2:14" ht="15.75" thickBot="1">
      <c r="B137" s="642"/>
      <c r="C137" s="571"/>
      <c r="D137" s="643"/>
      <c r="F137" s="31"/>
      <c r="G137" s="31"/>
      <c r="H137" s="31"/>
      <c r="I137" s="86"/>
      <c r="J137" s="86"/>
      <c r="K137" s="154"/>
      <c r="L137" s="234"/>
      <c r="M137" s="154"/>
      <c r="N137" s="154"/>
    </row>
    <row r="138" spans="1:20" ht="45" customHeight="1">
      <c r="A138" s="703" t="s">
        <v>0</v>
      </c>
      <c r="B138" s="697" t="s">
        <v>1</v>
      </c>
      <c r="C138" s="697" t="s">
        <v>2</v>
      </c>
      <c r="D138" s="697" t="s">
        <v>3</v>
      </c>
      <c r="E138" s="697" t="s">
        <v>4</v>
      </c>
      <c r="F138" s="697" t="s">
        <v>5</v>
      </c>
      <c r="G138" s="697" t="s">
        <v>6</v>
      </c>
      <c r="H138" s="697" t="s">
        <v>8</v>
      </c>
      <c r="I138" s="697" t="s">
        <v>753</v>
      </c>
      <c r="J138" s="697" t="s">
        <v>157</v>
      </c>
      <c r="K138" s="754" t="s">
        <v>9</v>
      </c>
      <c r="L138" s="751" t="s">
        <v>1043</v>
      </c>
      <c r="M138" s="751"/>
      <c r="N138" s="751"/>
      <c r="O138" s="751"/>
      <c r="P138" s="751" t="s">
        <v>1044</v>
      </c>
      <c r="Q138" s="751"/>
      <c r="R138" s="751"/>
      <c r="S138" s="751"/>
      <c r="T138" s="780" t="s">
        <v>1806</v>
      </c>
    </row>
    <row r="139" spans="1:20" ht="45" customHeight="1">
      <c r="A139" s="704"/>
      <c r="B139" s="698"/>
      <c r="C139" s="698"/>
      <c r="D139" s="698"/>
      <c r="E139" s="698"/>
      <c r="F139" s="698"/>
      <c r="G139" s="698"/>
      <c r="H139" s="698"/>
      <c r="I139" s="698"/>
      <c r="J139" s="698"/>
      <c r="K139" s="755"/>
      <c r="L139" s="738" t="s">
        <v>1041</v>
      </c>
      <c r="M139" s="738" t="s">
        <v>1035</v>
      </c>
      <c r="N139" s="738" t="s">
        <v>1036</v>
      </c>
      <c r="O139" s="738" t="s">
        <v>1045</v>
      </c>
      <c r="P139" s="738" t="s">
        <v>1041</v>
      </c>
      <c r="Q139" s="738" t="s">
        <v>1035</v>
      </c>
      <c r="R139" s="738" t="s">
        <v>1036</v>
      </c>
      <c r="S139" s="738" t="s">
        <v>1045</v>
      </c>
      <c r="T139" s="781"/>
    </row>
    <row r="140" spans="1:20" ht="45" customHeight="1" thickBot="1">
      <c r="A140" s="705"/>
      <c r="B140" s="699"/>
      <c r="C140" s="699"/>
      <c r="D140" s="699"/>
      <c r="E140" s="699"/>
      <c r="F140" s="699"/>
      <c r="G140" s="699"/>
      <c r="H140" s="699"/>
      <c r="I140" s="699"/>
      <c r="J140" s="699"/>
      <c r="K140" s="779"/>
      <c r="L140" s="783"/>
      <c r="M140" s="783"/>
      <c r="N140" s="783"/>
      <c r="O140" s="783"/>
      <c r="P140" s="783"/>
      <c r="Q140" s="783"/>
      <c r="R140" s="783"/>
      <c r="S140" s="783"/>
      <c r="T140" s="782"/>
    </row>
    <row r="141" spans="1:20" ht="57.75">
      <c r="A141" s="277" t="s">
        <v>754</v>
      </c>
      <c r="B141" s="138" t="s">
        <v>1306</v>
      </c>
      <c r="C141" s="241" t="s">
        <v>757</v>
      </c>
      <c r="D141" s="138" t="s">
        <v>1999</v>
      </c>
      <c r="E141" s="138" t="s">
        <v>2000</v>
      </c>
      <c r="F141" s="52" t="s">
        <v>759</v>
      </c>
      <c r="G141" s="52" t="s">
        <v>757</v>
      </c>
      <c r="H141" s="415" t="s">
        <v>2001</v>
      </c>
      <c r="I141" s="644"/>
      <c r="J141" s="191" t="s">
        <v>152</v>
      </c>
      <c r="K141" s="190">
        <v>0.5</v>
      </c>
      <c r="L141" s="53">
        <v>2000</v>
      </c>
      <c r="M141" s="54"/>
      <c r="N141" s="54"/>
      <c r="O141" s="53">
        <f>L141</f>
        <v>2000</v>
      </c>
      <c r="P141" s="53">
        <f>L141</f>
        <v>2000</v>
      </c>
      <c r="Q141" s="54"/>
      <c r="R141" s="54"/>
      <c r="S141" s="53">
        <f>P141</f>
        <v>2000</v>
      </c>
      <c r="T141" s="466" t="s">
        <v>1985</v>
      </c>
    </row>
    <row r="142" spans="1:20" ht="29.25">
      <c r="A142" s="277" t="s">
        <v>754</v>
      </c>
      <c r="B142" s="138" t="s">
        <v>1306</v>
      </c>
      <c r="C142" s="241" t="s">
        <v>757</v>
      </c>
      <c r="D142" s="138" t="s">
        <v>299</v>
      </c>
      <c r="E142" s="138" t="s">
        <v>2002</v>
      </c>
      <c r="F142" s="52" t="s">
        <v>759</v>
      </c>
      <c r="G142" s="52" t="s">
        <v>757</v>
      </c>
      <c r="H142" s="415" t="s">
        <v>2003</v>
      </c>
      <c r="I142" s="644"/>
      <c r="J142" s="191" t="s">
        <v>152</v>
      </c>
      <c r="K142" s="190">
        <v>0.5</v>
      </c>
      <c r="L142" s="53">
        <v>2000</v>
      </c>
      <c r="M142" s="54"/>
      <c r="N142" s="54"/>
      <c r="O142" s="53">
        <f>L142</f>
        <v>2000</v>
      </c>
      <c r="P142" s="53">
        <f>L142</f>
        <v>2000</v>
      </c>
      <c r="Q142" s="54"/>
      <c r="R142" s="54"/>
      <c r="S142" s="53">
        <f>P142</f>
        <v>2000</v>
      </c>
      <c r="T142" s="466" t="s">
        <v>1985</v>
      </c>
    </row>
    <row r="143" spans="1:20" ht="48" customHeight="1" thickBot="1">
      <c r="A143" s="277" t="s">
        <v>754</v>
      </c>
      <c r="B143" s="138" t="s">
        <v>1306</v>
      </c>
      <c r="C143" s="241" t="s">
        <v>757</v>
      </c>
      <c r="D143" s="138" t="s">
        <v>2004</v>
      </c>
      <c r="E143" s="138" t="s">
        <v>2005</v>
      </c>
      <c r="F143" s="52" t="s">
        <v>759</v>
      </c>
      <c r="G143" s="52" t="s">
        <v>757</v>
      </c>
      <c r="H143" s="415" t="s">
        <v>2006</v>
      </c>
      <c r="I143" s="644"/>
      <c r="J143" s="191" t="s">
        <v>152</v>
      </c>
      <c r="K143" s="190">
        <v>2</v>
      </c>
      <c r="L143" s="53">
        <v>9000</v>
      </c>
      <c r="M143" s="54"/>
      <c r="N143" s="54"/>
      <c r="O143" s="53">
        <f>L143</f>
        <v>9000</v>
      </c>
      <c r="P143" s="53">
        <f>L143</f>
        <v>9000</v>
      </c>
      <c r="Q143" s="54"/>
      <c r="R143" s="54"/>
      <c r="S143" s="53">
        <f>P143</f>
        <v>9000</v>
      </c>
      <c r="T143" s="466" t="s">
        <v>1985</v>
      </c>
    </row>
    <row r="144" spans="2:19" ht="34.5" customHeight="1">
      <c r="B144" s="568" t="s">
        <v>155</v>
      </c>
      <c r="C144" s="569" t="s">
        <v>1666</v>
      </c>
      <c r="D144" s="616"/>
      <c r="G144" s="672" t="s">
        <v>2097</v>
      </c>
      <c r="H144" s="612" t="s">
        <v>1666</v>
      </c>
      <c r="I144" s="86"/>
      <c r="J144" s="86"/>
      <c r="K144" s="154"/>
      <c r="L144" s="234"/>
      <c r="M144" s="154"/>
      <c r="N144" s="154"/>
      <c r="R144" s="13" t="s">
        <v>2088</v>
      </c>
      <c r="S144" s="276">
        <f>SUM(S141:S143)</f>
        <v>13000</v>
      </c>
    </row>
    <row r="145" spans="2:14" ht="15">
      <c r="B145" s="570"/>
      <c r="C145" s="571" t="s">
        <v>1967</v>
      </c>
      <c r="D145" s="617"/>
      <c r="G145" s="611"/>
      <c r="H145" s="613" t="s">
        <v>1967</v>
      </c>
      <c r="I145" s="86"/>
      <c r="J145" s="86"/>
      <c r="K145" s="154"/>
      <c r="L145" s="234"/>
      <c r="M145" s="154"/>
      <c r="N145" s="154"/>
    </row>
    <row r="146" spans="2:14" ht="15.75" thickBot="1">
      <c r="B146" s="570"/>
      <c r="C146" s="571" t="s">
        <v>1667</v>
      </c>
      <c r="D146" s="617"/>
      <c r="G146" s="614"/>
      <c r="H146" s="615" t="s">
        <v>1667</v>
      </c>
      <c r="I146" s="86"/>
      <c r="J146" s="86"/>
      <c r="K146" s="154"/>
      <c r="L146" s="234"/>
      <c r="M146" s="154"/>
      <c r="N146" s="154"/>
    </row>
    <row r="147" spans="2:14" ht="15">
      <c r="B147" s="572" t="s">
        <v>1670</v>
      </c>
      <c r="C147" s="571" t="s">
        <v>1968</v>
      </c>
      <c r="D147" s="617"/>
      <c r="F147" s="31"/>
      <c r="G147" s="31"/>
      <c r="H147" s="31"/>
      <c r="I147" s="86"/>
      <c r="J147" s="86"/>
      <c r="K147" s="154"/>
      <c r="L147" s="234"/>
      <c r="M147" s="154"/>
      <c r="N147" s="154"/>
    </row>
    <row r="148" spans="2:14" ht="15.75" thickBot="1">
      <c r="B148" s="573" t="s">
        <v>1674</v>
      </c>
      <c r="C148" s="574" t="s">
        <v>1794</v>
      </c>
      <c r="D148" s="618"/>
      <c r="F148" s="31"/>
      <c r="G148" s="31"/>
      <c r="H148" s="31"/>
      <c r="I148" s="86"/>
      <c r="J148" s="86"/>
      <c r="K148" s="154"/>
      <c r="L148" s="234"/>
      <c r="M148" s="154"/>
      <c r="N148" s="154"/>
    </row>
    <row r="149" spans="2:14" ht="15">
      <c r="B149" s="642"/>
      <c r="C149" s="571"/>
      <c r="D149" s="643"/>
      <c r="F149" s="31"/>
      <c r="G149" s="31"/>
      <c r="H149" s="31"/>
      <c r="I149" s="86"/>
      <c r="J149" s="86"/>
      <c r="K149" s="154"/>
      <c r="L149" s="234" t="s">
        <v>160</v>
      </c>
      <c r="M149" s="154">
        <f>O132+S144</f>
        <v>1327414</v>
      </c>
      <c r="N149" s="154"/>
    </row>
    <row r="150" spans="2:14" ht="15.75" thickBot="1">
      <c r="B150" s="196"/>
      <c r="C150" s="76"/>
      <c r="D150" s="196"/>
      <c r="F150" s="31"/>
      <c r="G150" s="31"/>
      <c r="H150" s="31"/>
      <c r="I150" s="86"/>
      <c r="J150" s="86"/>
      <c r="K150" s="154"/>
      <c r="L150" s="154"/>
      <c r="M150" s="154"/>
      <c r="N150" s="154"/>
    </row>
    <row r="151" spans="6:15" ht="46.5" customHeight="1">
      <c r="F151" s="31"/>
      <c r="G151" s="169"/>
      <c r="H151" s="169"/>
      <c r="I151" s="169"/>
      <c r="J151" s="236"/>
      <c r="K151" s="757" t="s">
        <v>157</v>
      </c>
      <c r="L151" s="706" t="s">
        <v>1034</v>
      </c>
      <c r="M151" s="707"/>
      <c r="N151" s="708"/>
      <c r="O151" s="743" t="s">
        <v>158</v>
      </c>
    </row>
    <row r="152" spans="6:15" ht="23.25" customHeight="1" thickBot="1">
      <c r="F152" s="31"/>
      <c r="G152" s="169"/>
      <c r="H152" s="232"/>
      <c r="I152" s="232"/>
      <c r="J152" s="236"/>
      <c r="K152" s="758"/>
      <c r="L152" s="128" t="s">
        <v>159</v>
      </c>
      <c r="M152" s="128" t="s">
        <v>1035</v>
      </c>
      <c r="N152" s="128" t="s">
        <v>1036</v>
      </c>
      <c r="O152" s="744"/>
    </row>
    <row r="153" spans="6:15" ht="23.25" customHeight="1">
      <c r="F153" s="31"/>
      <c r="G153" s="169"/>
      <c r="H153" s="232"/>
      <c r="I153" s="232"/>
      <c r="J153" s="236"/>
      <c r="K153" s="159" t="s">
        <v>152</v>
      </c>
      <c r="L153" s="160">
        <f>SUM(L128:L131,P141:P143)</f>
        <v>43849</v>
      </c>
      <c r="M153" s="347"/>
      <c r="N153" s="347"/>
      <c r="O153" s="348">
        <v>7</v>
      </c>
    </row>
    <row r="154" spans="6:15" ht="21" customHeight="1">
      <c r="F154" s="31"/>
      <c r="G154" s="233"/>
      <c r="H154" s="234"/>
      <c r="I154" s="153"/>
      <c r="J154" s="234"/>
      <c r="K154" s="13" t="s">
        <v>154</v>
      </c>
      <c r="L154" s="13">
        <f>SUM(L18:L125)</f>
        <v>1259506</v>
      </c>
      <c r="M154" s="158"/>
      <c r="N154" s="158"/>
      <c r="O154" s="101">
        <v>108</v>
      </c>
    </row>
    <row r="155" spans="6:15" ht="22.5" customHeight="1" thickBot="1">
      <c r="F155" s="31"/>
      <c r="G155" s="31"/>
      <c r="H155" s="154"/>
      <c r="I155" s="154"/>
      <c r="J155" s="154"/>
      <c r="K155" s="55" t="s">
        <v>377</v>
      </c>
      <c r="L155" s="57"/>
      <c r="M155" s="14">
        <f>M126+M127</f>
        <v>7743</v>
      </c>
      <c r="N155" s="14">
        <f>N126+N127</f>
        <v>16316</v>
      </c>
      <c r="O155" s="344">
        <v>2</v>
      </c>
    </row>
    <row r="156" spans="6:15" ht="22.5" customHeight="1" thickBot="1">
      <c r="F156" s="31"/>
      <c r="G156" s="147"/>
      <c r="H156" s="154"/>
      <c r="I156" s="154"/>
      <c r="J156" s="154"/>
      <c r="K156" s="339" t="s">
        <v>160</v>
      </c>
      <c r="L156" s="133">
        <f>SUM(L153:L155)</f>
        <v>1303355</v>
      </c>
      <c r="M156" s="18">
        <f>SUM(M153:M155)</f>
        <v>7743</v>
      </c>
      <c r="N156" s="15">
        <f>SUM(N153:N155)</f>
        <v>16316</v>
      </c>
      <c r="O156" s="346">
        <f>SUM(O153:O155)</f>
        <v>117</v>
      </c>
    </row>
    <row r="157" spans="6:15" ht="18.75" thickBot="1">
      <c r="F157" s="31"/>
      <c r="G157" s="31"/>
      <c r="H157" s="234"/>
      <c r="I157" s="154"/>
      <c r="J157" s="154"/>
      <c r="K157"/>
      <c r="L157" s="20" t="s">
        <v>161</v>
      </c>
      <c r="M157" s="338">
        <f>SUM(L156:N156)</f>
        <v>1327414</v>
      </c>
      <c r="O157" s="2"/>
    </row>
    <row r="158" spans="6:14" ht="14.25">
      <c r="F158" s="31"/>
      <c r="G158" s="31"/>
      <c r="H158" s="31"/>
      <c r="I158" s="86"/>
      <c r="J158" s="86"/>
      <c r="K158" s="154"/>
      <c r="L158" s="154"/>
      <c r="M158" s="31"/>
      <c r="N158" s="154"/>
    </row>
    <row r="159" spans="6:14" ht="14.25">
      <c r="F159" s="31"/>
      <c r="G159" s="31"/>
      <c r="H159" s="31"/>
      <c r="I159" s="86"/>
      <c r="J159" s="86"/>
      <c r="K159" s="154"/>
      <c r="L159" s="154"/>
      <c r="M159" s="31"/>
      <c r="N159" s="154"/>
    </row>
    <row r="160" spans="6:14" ht="14.25">
      <c r="F160" s="31"/>
      <c r="G160" s="31"/>
      <c r="H160" s="31"/>
      <c r="I160" s="86"/>
      <c r="J160" s="86"/>
      <c r="K160" s="154"/>
      <c r="L160" s="154"/>
      <c r="M160" s="31"/>
      <c r="N160" s="154"/>
    </row>
    <row r="161" spans="6:14" ht="14.25">
      <c r="F161" s="31"/>
      <c r="G161" s="31"/>
      <c r="H161" s="31"/>
      <c r="I161" s="86"/>
      <c r="J161" s="86"/>
      <c r="K161" s="154"/>
      <c r="L161" s="154"/>
      <c r="M161" s="31"/>
      <c r="N161" s="154"/>
    </row>
    <row r="162" spans="6:14" ht="14.25">
      <c r="F162" s="31"/>
      <c r="G162" s="31"/>
      <c r="H162" s="31"/>
      <c r="I162" s="31"/>
      <c r="J162" s="31"/>
      <c r="K162" s="31"/>
      <c r="L162" s="31"/>
      <c r="M162" s="31"/>
      <c r="N162" s="154"/>
    </row>
    <row r="163" spans="9:13" ht="14.25">
      <c r="I163"/>
      <c r="J163"/>
      <c r="K163"/>
      <c r="L163"/>
      <c r="M163"/>
    </row>
    <row r="164" spans="9:13" ht="14.25">
      <c r="I164"/>
      <c r="J164"/>
      <c r="K164"/>
      <c r="L164"/>
      <c r="M164"/>
    </row>
    <row r="165" spans="9:13" ht="14.25">
      <c r="I165"/>
      <c r="J165"/>
      <c r="K165"/>
      <c r="L165"/>
      <c r="M165"/>
    </row>
    <row r="166" spans="9:13" ht="14.25">
      <c r="I166"/>
      <c r="J166"/>
      <c r="K166"/>
      <c r="L166"/>
      <c r="M166"/>
    </row>
    <row r="167" spans="9:13" ht="14.25">
      <c r="I167"/>
      <c r="J167"/>
      <c r="K167"/>
      <c r="L167"/>
      <c r="M167"/>
    </row>
  </sheetData>
  <sheetProtection/>
  <mergeCells count="41">
    <mergeCell ref="P138:S138"/>
    <mergeCell ref="T138:T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G138:G140"/>
    <mergeCell ref="H138:H140"/>
    <mergeCell ref="I138:I140"/>
    <mergeCell ref="J138:J140"/>
    <mergeCell ref="K138:K140"/>
    <mergeCell ref="L138:O138"/>
    <mergeCell ref="A138:A140"/>
    <mergeCell ref="B138:B140"/>
    <mergeCell ref="C138:C140"/>
    <mergeCell ref="D138:D140"/>
    <mergeCell ref="E138:E140"/>
    <mergeCell ref="F138:F140"/>
    <mergeCell ref="L15:O15"/>
    <mergeCell ref="A15:A17"/>
    <mergeCell ref="B15:B17"/>
    <mergeCell ref="C15:C17"/>
    <mergeCell ref="D15:D17"/>
    <mergeCell ref="G15:G17"/>
    <mergeCell ref="J15:J17"/>
    <mergeCell ref="H15:H17"/>
    <mergeCell ref="I15:I17"/>
    <mergeCell ref="B1:K1"/>
    <mergeCell ref="O151:O152"/>
    <mergeCell ref="B3:I3"/>
    <mergeCell ref="B5:I5"/>
    <mergeCell ref="E15:E17"/>
    <mergeCell ref="L151:N151"/>
    <mergeCell ref="F15:F17"/>
    <mergeCell ref="K151:K152"/>
    <mergeCell ref="L16:O16"/>
    <mergeCell ref="K15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8"/>
  <sheetViews>
    <sheetView zoomScale="80" zoomScaleNormal="80" zoomScalePageLayoutView="0" workbookViewId="0" topLeftCell="A91">
      <selection activeCell="B7" sqref="B7:B8"/>
    </sheetView>
  </sheetViews>
  <sheetFormatPr defaultColWidth="8.796875" defaultRowHeight="14.25"/>
  <cols>
    <col min="1" max="1" width="12.3984375" style="1" customWidth="1"/>
    <col min="2" max="2" width="16.8984375" style="0" customWidth="1"/>
    <col min="3" max="3" width="15" style="119" customWidth="1"/>
    <col min="4" max="4" width="15.09765625" style="0" customWidth="1"/>
    <col min="5" max="5" width="14.59765625" style="0" customWidth="1"/>
    <col min="6" max="6" width="15.19921875" style="0" customWidth="1"/>
    <col min="8" max="8" width="25" style="0" customWidth="1"/>
    <col min="9" max="9" width="17.19921875" style="0" customWidth="1"/>
    <col min="10" max="10" width="12.8984375" style="1" customWidth="1"/>
    <col min="11" max="11" width="9" style="59" customWidth="1"/>
    <col min="12" max="12" width="13.19921875" style="0" customWidth="1"/>
    <col min="13" max="13" width="15.69921875" style="2" customWidth="1"/>
    <col min="14" max="14" width="18.69921875" style="2" customWidth="1"/>
    <col min="15" max="15" width="16.09765625" style="2" customWidth="1"/>
  </cols>
  <sheetData>
    <row r="1" spans="1:12" ht="18">
      <c r="A1"/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  <c r="L1" s="2"/>
    </row>
    <row r="2" spans="1:12" ht="14.25" customHeight="1">
      <c r="A2"/>
      <c r="B2" s="220"/>
      <c r="C2" s="220"/>
      <c r="D2" s="220"/>
      <c r="E2" s="220"/>
      <c r="F2" s="220"/>
      <c r="G2" s="220"/>
      <c r="H2" s="222"/>
      <c r="I2" s="220"/>
      <c r="J2" s="230"/>
      <c r="K2" s="220"/>
      <c r="L2" s="2"/>
    </row>
    <row r="3" spans="1:12" ht="32.25" customHeight="1">
      <c r="A3"/>
      <c r="B3" s="740" t="s">
        <v>1048</v>
      </c>
      <c r="C3" s="741"/>
      <c r="D3" s="741"/>
      <c r="E3" s="741"/>
      <c r="F3" s="741"/>
      <c r="G3" s="741"/>
      <c r="H3" s="741"/>
      <c r="I3" s="742"/>
      <c r="J3" s="230"/>
      <c r="K3" s="220"/>
      <c r="L3" s="2"/>
    </row>
    <row r="4" spans="1:12" ht="15">
      <c r="A4"/>
      <c r="B4" s="221"/>
      <c r="C4" s="221"/>
      <c r="D4" s="221"/>
      <c r="E4" s="221"/>
      <c r="F4" s="221"/>
      <c r="G4" s="221"/>
      <c r="H4" s="222"/>
      <c r="I4" s="220"/>
      <c r="J4" s="230"/>
      <c r="K4" s="220"/>
      <c r="L4" s="2"/>
    </row>
    <row r="5" spans="1:12" ht="15">
      <c r="A5"/>
      <c r="B5" s="736" t="s">
        <v>1029</v>
      </c>
      <c r="C5" s="736"/>
      <c r="D5" s="736"/>
      <c r="E5" s="736"/>
      <c r="F5" s="736"/>
      <c r="G5" s="736"/>
      <c r="H5" s="736"/>
      <c r="I5" s="736"/>
      <c r="J5" s="230"/>
      <c r="K5" s="220"/>
      <c r="L5" s="2"/>
    </row>
    <row r="6" spans="1:12" ht="15">
      <c r="A6"/>
      <c r="B6" s="221"/>
      <c r="C6" s="221"/>
      <c r="D6" s="221"/>
      <c r="E6" s="221"/>
      <c r="F6" s="221"/>
      <c r="G6" s="221"/>
      <c r="H6" s="222"/>
      <c r="I6" s="220"/>
      <c r="J6" s="230"/>
      <c r="K6" s="220"/>
      <c r="L6" s="2"/>
    </row>
    <row r="7" spans="1:12" ht="15.75">
      <c r="A7"/>
      <c r="B7" s="502" t="s">
        <v>967</v>
      </c>
      <c r="C7" s="220"/>
      <c r="D7" s="221"/>
      <c r="E7" s="221"/>
      <c r="F7" s="221"/>
      <c r="G7" s="220"/>
      <c r="H7" s="222"/>
      <c r="I7" s="220"/>
      <c r="J7" s="230"/>
      <c r="K7" s="220"/>
      <c r="L7" s="2"/>
    </row>
    <row r="8" spans="1:12" ht="15.75">
      <c r="A8"/>
      <c r="B8" s="502" t="s">
        <v>2098</v>
      </c>
      <c r="C8" s="220"/>
      <c r="D8" s="221"/>
      <c r="E8" s="221"/>
      <c r="F8" s="221"/>
      <c r="G8" s="220"/>
      <c r="H8" s="222"/>
      <c r="I8" s="220"/>
      <c r="J8" s="230"/>
      <c r="K8" s="220"/>
      <c r="L8" s="2"/>
    </row>
    <row r="9" spans="1:12" ht="15.75">
      <c r="A9"/>
      <c r="B9" s="224" t="s">
        <v>2087</v>
      </c>
      <c r="C9" s="220"/>
      <c r="D9" s="225"/>
      <c r="E9" s="221"/>
      <c r="F9" s="221"/>
      <c r="G9" s="220"/>
      <c r="H9" s="222"/>
      <c r="I9" s="220"/>
      <c r="J9" s="230"/>
      <c r="K9" s="220"/>
      <c r="L9" s="2"/>
    </row>
    <row r="10" spans="1:12" ht="15.75">
      <c r="A10"/>
      <c r="B10" s="224" t="s">
        <v>1663</v>
      </c>
      <c r="C10" s="220"/>
      <c r="D10" s="225"/>
      <c r="E10" s="221"/>
      <c r="F10" s="221"/>
      <c r="G10" s="220"/>
      <c r="H10" s="222"/>
      <c r="I10" s="220"/>
      <c r="J10" s="230"/>
      <c r="K10" s="220"/>
      <c r="L10" s="2"/>
    </row>
    <row r="11" spans="1:12" ht="15">
      <c r="A11"/>
      <c r="B11" s="220" t="s">
        <v>1665</v>
      </c>
      <c r="C11" s="220"/>
      <c r="D11" s="220"/>
      <c r="E11" s="220"/>
      <c r="F11" s="220"/>
      <c r="G11" s="220"/>
      <c r="H11" s="222"/>
      <c r="I11" s="220"/>
      <c r="J11" s="230"/>
      <c r="K11" s="220"/>
      <c r="L11" s="2"/>
    </row>
    <row r="12" spans="1:12" ht="15.75">
      <c r="A12"/>
      <c r="B12" s="226"/>
      <c r="C12" s="227"/>
      <c r="D12" s="225"/>
      <c r="E12" s="225"/>
      <c r="F12" s="225"/>
      <c r="G12" s="225"/>
      <c r="H12" s="220"/>
      <c r="I12" s="220"/>
      <c r="J12" s="230"/>
      <c r="K12" s="220"/>
      <c r="L12" s="2"/>
    </row>
    <row r="13" spans="1:12" ht="15.75">
      <c r="A13"/>
      <c r="B13" s="226" t="s">
        <v>1032</v>
      </c>
      <c r="C13" s="223" t="s">
        <v>1033</v>
      </c>
      <c r="D13" s="225"/>
      <c r="E13" s="225"/>
      <c r="F13" s="225"/>
      <c r="G13" s="225"/>
      <c r="H13" s="220"/>
      <c r="I13" s="220"/>
      <c r="J13" s="230"/>
      <c r="K13" s="220"/>
      <c r="L13" s="2"/>
    </row>
    <row r="14" spans="1:12" ht="15" thickBot="1">
      <c r="A14" s="31"/>
      <c r="B14" s="86"/>
      <c r="C14" s="147"/>
      <c r="D14" s="31"/>
      <c r="E14" s="31"/>
      <c r="F14" s="31"/>
      <c r="G14" s="31"/>
      <c r="H14" s="31"/>
      <c r="I14" s="31"/>
      <c r="J14" s="86"/>
      <c r="K14"/>
      <c r="L14" s="2"/>
    </row>
    <row r="15" spans="1:15" ht="52.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1385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3.5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43.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ht="29.25">
      <c r="A18" s="284" t="s">
        <v>11</v>
      </c>
      <c r="B18" s="60" t="s">
        <v>851</v>
      </c>
      <c r="C18" s="60" t="s">
        <v>852</v>
      </c>
      <c r="D18" s="55"/>
      <c r="E18" s="55"/>
      <c r="F18" s="55" t="s">
        <v>243</v>
      </c>
      <c r="G18" s="55" t="s">
        <v>853</v>
      </c>
      <c r="H18" s="376" t="s">
        <v>854</v>
      </c>
      <c r="I18" s="55">
        <v>39849</v>
      </c>
      <c r="J18" s="4" t="s">
        <v>16</v>
      </c>
      <c r="K18" s="80">
        <v>2.7</v>
      </c>
      <c r="L18" s="95"/>
      <c r="M18" s="13">
        <f>6916-6105</f>
        <v>811</v>
      </c>
      <c r="N18" s="13">
        <f>27549-24506</f>
        <v>3043</v>
      </c>
      <c r="O18" s="13">
        <f aca="true" t="shared" si="0" ref="O18:O81">SUM(M18:N18)</f>
        <v>3854</v>
      </c>
    </row>
    <row r="19" spans="1:15" ht="29.25">
      <c r="A19" s="284" t="s">
        <v>11</v>
      </c>
      <c r="B19" s="60" t="s">
        <v>851</v>
      </c>
      <c r="C19" s="60" t="s">
        <v>855</v>
      </c>
      <c r="D19" s="55"/>
      <c r="E19" s="55" t="s">
        <v>146</v>
      </c>
      <c r="F19" s="55" t="s">
        <v>243</v>
      </c>
      <c r="G19" s="55" t="s">
        <v>853</v>
      </c>
      <c r="H19" s="376" t="s">
        <v>856</v>
      </c>
      <c r="I19" s="55">
        <v>41486</v>
      </c>
      <c r="J19" s="4" t="s">
        <v>16</v>
      </c>
      <c r="K19" s="80">
        <v>1.1</v>
      </c>
      <c r="L19" s="95"/>
      <c r="M19" s="13">
        <f>2809-2478</f>
        <v>331</v>
      </c>
      <c r="N19" s="13">
        <f>8825-7592</f>
        <v>1233</v>
      </c>
      <c r="O19" s="13">
        <f t="shared" si="0"/>
        <v>1564</v>
      </c>
    </row>
    <row r="20" spans="1:15" ht="29.25">
      <c r="A20" s="284" t="s">
        <v>11</v>
      </c>
      <c r="B20" s="60" t="s">
        <v>851</v>
      </c>
      <c r="C20" s="60" t="s">
        <v>855</v>
      </c>
      <c r="D20" s="55"/>
      <c r="E20" s="55" t="s">
        <v>686</v>
      </c>
      <c r="F20" s="55" t="s">
        <v>243</v>
      </c>
      <c r="G20" s="55" t="s">
        <v>853</v>
      </c>
      <c r="H20" s="376" t="s">
        <v>857</v>
      </c>
      <c r="I20" s="55">
        <v>41487</v>
      </c>
      <c r="J20" s="4" t="s">
        <v>16</v>
      </c>
      <c r="K20" s="80">
        <v>1.2</v>
      </c>
      <c r="L20" s="95"/>
      <c r="M20" s="13">
        <f>5675-5059</f>
        <v>616</v>
      </c>
      <c r="N20" s="13">
        <f>17802-15579</f>
        <v>2223</v>
      </c>
      <c r="O20" s="13">
        <f t="shared" si="0"/>
        <v>2839</v>
      </c>
    </row>
    <row r="21" spans="1:15" ht="29.25">
      <c r="A21" s="284" t="s">
        <v>11</v>
      </c>
      <c r="B21" s="60" t="s">
        <v>851</v>
      </c>
      <c r="C21" s="60" t="s">
        <v>858</v>
      </c>
      <c r="D21" s="55"/>
      <c r="E21" s="55" t="s">
        <v>686</v>
      </c>
      <c r="F21" s="55" t="s">
        <v>243</v>
      </c>
      <c r="G21" s="55" t="s">
        <v>853</v>
      </c>
      <c r="H21" s="376" t="s">
        <v>859</v>
      </c>
      <c r="I21" s="55">
        <v>39848</v>
      </c>
      <c r="J21" s="4" t="s">
        <v>16</v>
      </c>
      <c r="K21" s="80">
        <v>1.7</v>
      </c>
      <c r="L21" s="95"/>
      <c r="M21" s="13">
        <f>5732-4866</f>
        <v>866</v>
      </c>
      <c r="N21" s="13">
        <f>23449-19888</f>
        <v>3561</v>
      </c>
      <c r="O21" s="13">
        <f t="shared" si="0"/>
        <v>4427</v>
      </c>
    </row>
    <row r="22" spans="1:15" ht="29.25">
      <c r="A22" s="284" t="s">
        <v>11</v>
      </c>
      <c r="B22" s="60" t="s">
        <v>851</v>
      </c>
      <c r="C22" s="60" t="s">
        <v>858</v>
      </c>
      <c r="D22" s="55"/>
      <c r="E22" s="55" t="s">
        <v>878</v>
      </c>
      <c r="F22" s="55" t="s">
        <v>243</v>
      </c>
      <c r="G22" s="55" t="s">
        <v>853</v>
      </c>
      <c r="H22" s="376" t="s">
        <v>860</v>
      </c>
      <c r="I22" s="55">
        <v>41484</v>
      </c>
      <c r="J22" s="4" t="s">
        <v>16</v>
      </c>
      <c r="K22" s="80">
        <v>1.4</v>
      </c>
      <c r="L22" s="95"/>
      <c r="M22" s="13">
        <f>6842-5925</f>
        <v>917</v>
      </c>
      <c r="N22" s="13">
        <f>21302-17900</f>
        <v>3402</v>
      </c>
      <c r="O22" s="13">
        <f t="shared" si="0"/>
        <v>4319</v>
      </c>
    </row>
    <row r="23" spans="1:15" ht="29.25">
      <c r="A23" s="284" t="s">
        <v>11</v>
      </c>
      <c r="B23" s="60" t="s">
        <v>851</v>
      </c>
      <c r="C23" s="60" t="s">
        <v>858</v>
      </c>
      <c r="D23" s="55"/>
      <c r="E23" s="55" t="s">
        <v>319</v>
      </c>
      <c r="F23" s="55" t="s">
        <v>243</v>
      </c>
      <c r="G23" s="55" t="s">
        <v>853</v>
      </c>
      <c r="H23" s="376" t="s">
        <v>861</v>
      </c>
      <c r="I23" s="55">
        <v>41929</v>
      </c>
      <c r="J23" s="4" t="s">
        <v>16</v>
      </c>
      <c r="K23" s="80">
        <v>1</v>
      </c>
      <c r="L23" s="95"/>
      <c r="M23" s="13">
        <f>4747-4117</f>
        <v>630</v>
      </c>
      <c r="N23" s="13">
        <f>14868-12624</f>
        <v>2244</v>
      </c>
      <c r="O23" s="13">
        <f t="shared" si="0"/>
        <v>2874</v>
      </c>
    </row>
    <row r="24" spans="1:15" ht="29.25">
      <c r="A24" s="284" t="s">
        <v>11</v>
      </c>
      <c r="B24" s="60" t="s">
        <v>851</v>
      </c>
      <c r="C24" s="60" t="s">
        <v>862</v>
      </c>
      <c r="D24" s="55"/>
      <c r="E24" s="55">
        <v>1</v>
      </c>
      <c r="F24" s="55" t="s">
        <v>243</v>
      </c>
      <c r="G24" s="55" t="s">
        <v>853</v>
      </c>
      <c r="H24" s="376" t="s">
        <v>863</v>
      </c>
      <c r="I24" s="55">
        <v>70526313</v>
      </c>
      <c r="J24" s="4" t="s">
        <v>16</v>
      </c>
      <c r="K24" s="80">
        <v>0.7</v>
      </c>
      <c r="L24" s="95"/>
      <c r="M24" s="13">
        <f>5628-4925</f>
        <v>703</v>
      </c>
      <c r="N24" s="13">
        <f>26074-22393</f>
        <v>3681</v>
      </c>
      <c r="O24" s="13">
        <f t="shared" si="0"/>
        <v>4384</v>
      </c>
    </row>
    <row r="25" spans="1:15" ht="29.25">
      <c r="A25" s="284" t="s">
        <v>11</v>
      </c>
      <c r="B25" s="60" t="s">
        <v>851</v>
      </c>
      <c r="C25" s="60" t="s">
        <v>1717</v>
      </c>
      <c r="D25" s="55"/>
      <c r="E25" s="55"/>
      <c r="F25" s="55" t="s">
        <v>243</v>
      </c>
      <c r="G25" s="55" t="s">
        <v>853</v>
      </c>
      <c r="H25" s="376" t="s">
        <v>864</v>
      </c>
      <c r="I25" s="55">
        <v>41710</v>
      </c>
      <c r="J25" s="4" t="s">
        <v>16</v>
      </c>
      <c r="K25" s="80">
        <v>2.2</v>
      </c>
      <c r="L25" s="95"/>
      <c r="M25" s="13">
        <f>6844-5908</f>
        <v>936</v>
      </c>
      <c r="N25" s="13">
        <f>20865-17293</f>
        <v>3572</v>
      </c>
      <c r="O25" s="13">
        <f t="shared" si="0"/>
        <v>4508</v>
      </c>
    </row>
    <row r="26" spans="1:15" ht="29.25">
      <c r="A26" s="284" t="s">
        <v>11</v>
      </c>
      <c r="B26" s="60" t="s">
        <v>851</v>
      </c>
      <c r="C26" s="60" t="s">
        <v>865</v>
      </c>
      <c r="D26" s="55"/>
      <c r="E26" s="55" t="s">
        <v>146</v>
      </c>
      <c r="F26" s="55" t="s">
        <v>243</v>
      </c>
      <c r="G26" s="55" t="s">
        <v>853</v>
      </c>
      <c r="H26" s="376" t="s">
        <v>866</v>
      </c>
      <c r="I26" s="55">
        <v>41711</v>
      </c>
      <c r="J26" s="4" t="s">
        <v>16</v>
      </c>
      <c r="K26" s="80">
        <v>2.2</v>
      </c>
      <c r="L26" s="95"/>
      <c r="M26" s="13">
        <f>4237-3668</f>
        <v>569</v>
      </c>
      <c r="N26" s="13">
        <f>13824-11565</f>
        <v>2259</v>
      </c>
      <c r="O26" s="13">
        <f t="shared" si="0"/>
        <v>2828</v>
      </c>
    </row>
    <row r="27" spans="1:15" ht="29.25">
      <c r="A27" s="284" t="s">
        <v>11</v>
      </c>
      <c r="B27" s="60" t="s">
        <v>851</v>
      </c>
      <c r="C27" s="60" t="s">
        <v>867</v>
      </c>
      <c r="D27" s="55"/>
      <c r="E27" s="55"/>
      <c r="F27" s="55" t="s">
        <v>243</v>
      </c>
      <c r="G27" s="55" t="s">
        <v>853</v>
      </c>
      <c r="H27" s="376" t="s">
        <v>868</v>
      </c>
      <c r="I27" s="55">
        <v>41705</v>
      </c>
      <c r="J27" s="4" t="s">
        <v>16</v>
      </c>
      <c r="K27" s="80">
        <v>2.2</v>
      </c>
      <c r="L27" s="95"/>
      <c r="M27" s="13">
        <f>3743-3220</f>
        <v>523</v>
      </c>
      <c r="N27" s="13">
        <f>11688-9730</f>
        <v>1958</v>
      </c>
      <c r="O27" s="13">
        <f t="shared" si="0"/>
        <v>2481</v>
      </c>
    </row>
    <row r="28" spans="1:15" ht="29.25">
      <c r="A28" s="284" t="s">
        <v>11</v>
      </c>
      <c r="B28" s="60" t="s">
        <v>851</v>
      </c>
      <c r="C28" s="60" t="s">
        <v>869</v>
      </c>
      <c r="D28" s="55"/>
      <c r="E28" s="55"/>
      <c r="F28" s="55" t="s">
        <v>243</v>
      </c>
      <c r="G28" s="55" t="s">
        <v>853</v>
      </c>
      <c r="H28" s="376" t="s">
        <v>870</v>
      </c>
      <c r="I28" s="55">
        <v>70526245</v>
      </c>
      <c r="J28" s="4" t="s">
        <v>16</v>
      </c>
      <c r="K28" s="80">
        <v>1</v>
      </c>
      <c r="L28" s="95"/>
      <c r="M28" s="13">
        <f>4855-4073</f>
        <v>782</v>
      </c>
      <c r="N28" s="13">
        <f>20903-17514</f>
        <v>3389</v>
      </c>
      <c r="O28" s="13">
        <f t="shared" si="0"/>
        <v>4171</v>
      </c>
    </row>
    <row r="29" spans="1:15" ht="29.25">
      <c r="A29" s="284" t="s">
        <v>11</v>
      </c>
      <c r="B29" s="60" t="s">
        <v>851</v>
      </c>
      <c r="C29" s="60" t="s">
        <v>1718</v>
      </c>
      <c r="D29" s="55"/>
      <c r="E29" s="55" t="s">
        <v>146</v>
      </c>
      <c r="F29" s="55" t="s">
        <v>243</v>
      </c>
      <c r="G29" s="55" t="s">
        <v>853</v>
      </c>
      <c r="H29" s="376" t="s">
        <v>871</v>
      </c>
      <c r="I29" s="55">
        <v>41709</v>
      </c>
      <c r="J29" s="4" t="s">
        <v>16</v>
      </c>
      <c r="K29" s="80">
        <v>2.2</v>
      </c>
      <c r="L29" s="95"/>
      <c r="M29" s="13">
        <f>10022-8961</f>
        <v>1061</v>
      </c>
      <c r="N29" s="13">
        <f>32074-27924</f>
        <v>4150</v>
      </c>
      <c r="O29" s="13">
        <f t="shared" si="0"/>
        <v>5211</v>
      </c>
    </row>
    <row r="30" spans="1:15" ht="29.25">
      <c r="A30" s="284" t="s">
        <v>11</v>
      </c>
      <c r="B30" s="60" t="s">
        <v>851</v>
      </c>
      <c r="C30" s="60" t="s">
        <v>1718</v>
      </c>
      <c r="D30" s="55"/>
      <c r="E30" s="55" t="s">
        <v>686</v>
      </c>
      <c r="F30" s="55" t="s">
        <v>243</v>
      </c>
      <c r="G30" s="55" t="s">
        <v>853</v>
      </c>
      <c r="H30" s="376" t="s">
        <v>872</v>
      </c>
      <c r="I30" s="55">
        <v>41702</v>
      </c>
      <c r="J30" s="4" t="s">
        <v>16</v>
      </c>
      <c r="K30" s="80">
        <v>3</v>
      </c>
      <c r="L30" s="95"/>
      <c r="M30" s="13">
        <f>2822-2521</f>
        <v>301</v>
      </c>
      <c r="N30" s="13">
        <f>9641-8474</f>
        <v>1167</v>
      </c>
      <c r="O30" s="13">
        <f t="shared" si="0"/>
        <v>1468</v>
      </c>
    </row>
    <row r="31" spans="1:15" ht="29.25">
      <c r="A31" s="284" t="s">
        <v>11</v>
      </c>
      <c r="B31" s="60" t="s">
        <v>851</v>
      </c>
      <c r="C31" s="60" t="s">
        <v>873</v>
      </c>
      <c r="D31" s="55"/>
      <c r="E31" s="55" t="s">
        <v>686</v>
      </c>
      <c r="F31" s="55" t="s">
        <v>243</v>
      </c>
      <c r="G31" s="55" t="s">
        <v>853</v>
      </c>
      <c r="H31" s="376" t="s">
        <v>874</v>
      </c>
      <c r="I31" s="55">
        <v>41930</v>
      </c>
      <c r="J31" s="4" t="s">
        <v>16</v>
      </c>
      <c r="K31" s="80">
        <v>0.6</v>
      </c>
      <c r="L31" s="95"/>
      <c r="M31" s="13">
        <f>7921-6817</f>
        <v>1104</v>
      </c>
      <c r="N31" s="13">
        <f>25398-21555</f>
        <v>3843</v>
      </c>
      <c r="O31" s="13">
        <f t="shared" si="0"/>
        <v>4947</v>
      </c>
    </row>
    <row r="32" spans="1:15" ht="29.25">
      <c r="A32" s="284" t="s">
        <v>11</v>
      </c>
      <c r="B32" s="60" t="s">
        <v>851</v>
      </c>
      <c r="C32" s="60" t="s">
        <v>875</v>
      </c>
      <c r="D32" s="55"/>
      <c r="E32" s="55" t="s">
        <v>146</v>
      </c>
      <c r="F32" s="55" t="s">
        <v>243</v>
      </c>
      <c r="G32" s="55" t="s">
        <v>853</v>
      </c>
      <c r="H32" s="376" t="s">
        <v>876</v>
      </c>
      <c r="I32" s="55">
        <v>41953</v>
      </c>
      <c r="J32" s="4" t="s">
        <v>16</v>
      </c>
      <c r="K32" s="80">
        <v>1.2</v>
      </c>
      <c r="L32" s="95"/>
      <c r="M32" s="13">
        <f>8355-7249</f>
        <v>1106</v>
      </c>
      <c r="N32" s="13">
        <f>24911-21155</f>
        <v>3756</v>
      </c>
      <c r="O32" s="13">
        <f t="shared" si="0"/>
        <v>4862</v>
      </c>
    </row>
    <row r="33" spans="1:15" ht="29.25">
      <c r="A33" s="284" t="s">
        <v>11</v>
      </c>
      <c r="B33" s="60" t="s">
        <v>851</v>
      </c>
      <c r="C33" s="60" t="s">
        <v>875</v>
      </c>
      <c r="D33" s="55"/>
      <c r="E33" s="55" t="s">
        <v>686</v>
      </c>
      <c r="F33" s="55" t="s">
        <v>243</v>
      </c>
      <c r="G33" s="55" t="s">
        <v>853</v>
      </c>
      <c r="H33" s="376" t="s">
        <v>877</v>
      </c>
      <c r="I33" s="55">
        <v>41926</v>
      </c>
      <c r="J33" s="4" t="s">
        <v>16</v>
      </c>
      <c r="K33" s="80">
        <v>2.2</v>
      </c>
      <c r="L33" s="95"/>
      <c r="M33" s="13">
        <f>7388-6312</f>
        <v>1076</v>
      </c>
      <c r="N33" s="13">
        <f>23236-19221</f>
        <v>4015</v>
      </c>
      <c r="O33" s="13">
        <f t="shared" si="0"/>
        <v>5091</v>
      </c>
    </row>
    <row r="34" spans="1:15" ht="29.25">
      <c r="A34" s="284" t="s">
        <v>11</v>
      </c>
      <c r="B34" s="60" t="s">
        <v>851</v>
      </c>
      <c r="C34" s="60" t="s">
        <v>875</v>
      </c>
      <c r="D34" s="55"/>
      <c r="E34" s="55" t="s">
        <v>878</v>
      </c>
      <c r="F34" s="55" t="s">
        <v>243</v>
      </c>
      <c r="G34" s="55" t="s">
        <v>853</v>
      </c>
      <c r="H34" s="376" t="s">
        <v>879</v>
      </c>
      <c r="I34" s="55">
        <v>41900</v>
      </c>
      <c r="J34" s="4" t="s">
        <v>16</v>
      </c>
      <c r="K34" s="80">
        <v>2.2</v>
      </c>
      <c r="L34" s="95"/>
      <c r="M34" s="13">
        <f>4503-3902</f>
        <v>601</v>
      </c>
      <c r="N34" s="13">
        <f>13689-11607</f>
        <v>2082</v>
      </c>
      <c r="O34" s="13">
        <f t="shared" si="0"/>
        <v>2683</v>
      </c>
    </row>
    <row r="35" spans="1:15" ht="29.25">
      <c r="A35" s="284" t="s">
        <v>11</v>
      </c>
      <c r="B35" s="60" t="s">
        <v>851</v>
      </c>
      <c r="C35" s="60" t="s">
        <v>875</v>
      </c>
      <c r="D35" s="55"/>
      <c r="E35" s="55"/>
      <c r="F35" s="55" t="s">
        <v>243</v>
      </c>
      <c r="G35" s="55" t="s">
        <v>853</v>
      </c>
      <c r="H35" s="376" t="s">
        <v>880</v>
      </c>
      <c r="I35" s="55">
        <v>41488</v>
      </c>
      <c r="J35" s="4" t="s">
        <v>16</v>
      </c>
      <c r="K35" s="80">
        <v>0.8</v>
      </c>
      <c r="L35" s="95"/>
      <c r="M35" s="13">
        <f>3459-2997</f>
        <v>462</v>
      </c>
      <c r="N35" s="13">
        <f>10625-8959</f>
        <v>1666</v>
      </c>
      <c r="O35" s="13">
        <f t="shared" si="0"/>
        <v>2128</v>
      </c>
    </row>
    <row r="36" spans="1:15" ht="29.25">
      <c r="A36" s="284" t="s">
        <v>11</v>
      </c>
      <c r="B36" s="60" t="s">
        <v>851</v>
      </c>
      <c r="C36" s="60" t="s">
        <v>881</v>
      </c>
      <c r="D36" s="55"/>
      <c r="E36" s="55" t="s">
        <v>146</v>
      </c>
      <c r="F36" s="55" t="s">
        <v>243</v>
      </c>
      <c r="G36" s="55" t="s">
        <v>853</v>
      </c>
      <c r="H36" s="376" t="s">
        <v>882</v>
      </c>
      <c r="I36" s="55">
        <v>41708</v>
      </c>
      <c r="J36" s="4" t="s">
        <v>16</v>
      </c>
      <c r="K36" s="80">
        <v>2.2</v>
      </c>
      <c r="L36" s="95"/>
      <c r="M36" s="13">
        <f>4862-4205</f>
        <v>657</v>
      </c>
      <c r="N36" s="13">
        <f>14238-12119</f>
        <v>2119</v>
      </c>
      <c r="O36" s="13">
        <f t="shared" si="0"/>
        <v>2776</v>
      </c>
    </row>
    <row r="37" spans="1:15" ht="29.25">
      <c r="A37" s="284" t="s">
        <v>11</v>
      </c>
      <c r="B37" s="60" t="s">
        <v>851</v>
      </c>
      <c r="C37" s="60" t="s">
        <v>883</v>
      </c>
      <c r="D37" s="55"/>
      <c r="E37" s="55"/>
      <c r="F37" s="55" t="s">
        <v>243</v>
      </c>
      <c r="G37" s="55" t="s">
        <v>853</v>
      </c>
      <c r="H37" s="376" t="s">
        <v>884</v>
      </c>
      <c r="I37" s="55">
        <v>83995696</v>
      </c>
      <c r="J37" s="4" t="s">
        <v>16</v>
      </c>
      <c r="K37" s="80">
        <v>2.6</v>
      </c>
      <c r="L37" s="95"/>
      <c r="M37" s="13">
        <f>6764-5899</f>
        <v>865</v>
      </c>
      <c r="N37" s="13">
        <f>28023-24467</f>
        <v>3556</v>
      </c>
      <c r="O37" s="13">
        <f t="shared" si="0"/>
        <v>4421</v>
      </c>
    </row>
    <row r="38" spans="1:15" ht="29.25">
      <c r="A38" s="284" t="s">
        <v>11</v>
      </c>
      <c r="B38" s="60" t="s">
        <v>851</v>
      </c>
      <c r="C38" s="60" t="s">
        <v>885</v>
      </c>
      <c r="D38" s="55"/>
      <c r="E38" s="55" t="s">
        <v>686</v>
      </c>
      <c r="F38" s="55" t="s">
        <v>243</v>
      </c>
      <c r="G38" s="55" t="s">
        <v>853</v>
      </c>
      <c r="H38" s="376" t="s">
        <v>886</v>
      </c>
      <c r="I38" s="55">
        <v>41706</v>
      </c>
      <c r="J38" s="4" t="s">
        <v>16</v>
      </c>
      <c r="K38" s="80">
        <v>0.5</v>
      </c>
      <c r="L38" s="95"/>
      <c r="M38" s="13">
        <f>3308-2901</f>
        <v>407</v>
      </c>
      <c r="N38" s="13">
        <f>9989-8531</f>
        <v>1458</v>
      </c>
      <c r="O38" s="13">
        <f t="shared" si="0"/>
        <v>1865</v>
      </c>
    </row>
    <row r="39" spans="1:15" ht="29.25">
      <c r="A39" s="284" t="s">
        <v>11</v>
      </c>
      <c r="B39" s="60" t="s">
        <v>851</v>
      </c>
      <c r="C39" s="60" t="s">
        <v>885</v>
      </c>
      <c r="D39" s="55"/>
      <c r="E39" s="55" t="s">
        <v>146</v>
      </c>
      <c r="F39" s="55" t="s">
        <v>243</v>
      </c>
      <c r="G39" s="55" t="s">
        <v>853</v>
      </c>
      <c r="H39" s="376" t="s">
        <v>887</v>
      </c>
      <c r="I39" s="55">
        <v>41897</v>
      </c>
      <c r="J39" s="4" t="s">
        <v>16</v>
      </c>
      <c r="K39" s="80">
        <v>0.7</v>
      </c>
      <c r="L39" s="95"/>
      <c r="M39" s="13">
        <f>3439-3101</f>
        <v>338</v>
      </c>
      <c r="N39" s="13">
        <f>9575-8312</f>
        <v>1263</v>
      </c>
      <c r="O39" s="13">
        <f t="shared" si="0"/>
        <v>1601</v>
      </c>
    </row>
    <row r="40" spans="1:15" ht="29.25">
      <c r="A40" s="284" t="s">
        <v>11</v>
      </c>
      <c r="B40" s="60" t="s">
        <v>851</v>
      </c>
      <c r="C40" s="60" t="s">
        <v>853</v>
      </c>
      <c r="D40" s="55" t="s">
        <v>1387</v>
      </c>
      <c r="E40" s="55">
        <v>34</v>
      </c>
      <c r="F40" s="55" t="s">
        <v>243</v>
      </c>
      <c r="G40" s="55" t="s">
        <v>853</v>
      </c>
      <c r="H40" s="376" t="s">
        <v>888</v>
      </c>
      <c r="I40" s="55">
        <v>41898</v>
      </c>
      <c r="J40" s="4" t="s">
        <v>16</v>
      </c>
      <c r="K40" s="80">
        <v>0.7</v>
      </c>
      <c r="L40" s="95"/>
      <c r="M40" s="13">
        <f>953-852</f>
        <v>101</v>
      </c>
      <c r="N40" s="13">
        <f>3105-2711</f>
        <v>394</v>
      </c>
      <c r="O40" s="13">
        <f t="shared" si="0"/>
        <v>495</v>
      </c>
    </row>
    <row r="41" spans="1:15" ht="29.25">
      <c r="A41" s="284" t="s">
        <v>11</v>
      </c>
      <c r="B41" s="60" t="s">
        <v>851</v>
      </c>
      <c r="C41" s="60" t="s">
        <v>885</v>
      </c>
      <c r="D41" s="55"/>
      <c r="E41" s="55" t="s">
        <v>319</v>
      </c>
      <c r="F41" s="55" t="s">
        <v>243</v>
      </c>
      <c r="G41" s="55" t="s">
        <v>853</v>
      </c>
      <c r="H41" s="376" t="s">
        <v>889</v>
      </c>
      <c r="I41" s="55">
        <v>41952</v>
      </c>
      <c r="J41" s="4" t="s">
        <v>16</v>
      </c>
      <c r="K41" s="80">
        <v>1.7</v>
      </c>
      <c r="L41" s="95"/>
      <c r="M41" s="13">
        <f>5031-4396</f>
        <v>635</v>
      </c>
      <c r="N41" s="13">
        <f>16265-13696</f>
        <v>2569</v>
      </c>
      <c r="O41" s="13">
        <f t="shared" si="0"/>
        <v>3204</v>
      </c>
    </row>
    <row r="42" spans="1:15" ht="29.25">
      <c r="A42" s="284" t="s">
        <v>11</v>
      </c>
      <c r="B42" s="60" t="s">
        <v>851</v>
      </c>
      <c r="C42" s="60" t="s">
        <v>890</v>
      </c>
      <c r="D42" s="55"/>
      <c r="E42" s="55" t="s">
        <v>686</v>
      </c>
      <c r="F42" s="55" t="s">
        <v>243</v>
      </c>
      <c r="G42" s="55" t="s">
        <v>853</v>
      </c>
      <c r="H42" s="376" t="s">
        <v>891</v>
      </c>
      <c r="I42" s="55">
        <v>1499909</v>
      </c>
      <c r="J42" s="4" t="s">
        <v>16</v>
      </c>
      <c r="K42" s="80">
        <v>1.8</v>
      </c>
      <c r="L42" s="95"/>
      <c r="M42" s="13">
        <f>3566-2344</f>
        <v>1222</v>
      </c>
      <c r="N42" s="13">
        <f>15270-9880</f>
        <v>5390</v>
      </c>
      <c r="O42" s="13">
        <f t="shared" si="0"/>
        <v>6612</v>
      </c>
    </row>
    <row r="43" spans="1:15" ht="29.25">
      <c r="A43" s="284" t="s">
        <v>11</v>
      </c>
      <c r="B43" s="60" t="s">
        <v>851</v>
      </c>
      <c r="C43" s="60" t="s">
        <v>892</v>
      </c>
      <c r="D43" s="55"/>
      <c r="E43" s="55">
        <v>26</v>
      </c>
      <c r="F43" s="55" t="s">
        <v>243</v>
      </c>
      <c r="G43" s="55" t="s">
        <v>853</v>
      </c>
      <c r="H43" s="376" t="s">
        <v>893</v>
      </c>
      <c r="I43" s="55">
        <v>129228</v>
      </c>
      <c r="J43" s="4" t="s">
        <v>16</v>
      </c>
      <c r="K43" s="80">
        <v>2.7</v>
      </c>
      <c r="L43" s="95"/>
      <c r="M43" s="13">
        <f>4498-3732</f>
        <v>766</v>
      </c>
      <c r="N43" s="13">
        <f>19270-15638</f>
        <v>3632</v>
      </c>
      <c r="O43" s="13">
        <f t="shared" si="0"/>
        <v>4398</v>
      </c>
    </row>
    <row r="44" spans="1:15" ht="29.25">
      <c r="A44" s="284" t="s">
        <v>11</v>
      </c>
      <c r="B44" s="60" t="s">
        <v>851</v>
      </c>
      <c r="C44" s="60" t="s">
        <v>894</v>
      </c>
      <c r="D44" s="55"/>
      <c r="E44" s="55" t="s">
        <v>146</v>
      </c>
      <c r="F44" s="55" t="s">
        <v>243</v>
      </c>
      <c r="G44" s="55" t="s">
        <v>853</v>
      </c>
      <c r="H44" s="376" t="s">
        <v>895</v>
      </c>
      <c r="I44" s="55">
        <v>41485</v>
      </c>
      <c r="J44" s="4" t="s">
        <v>16</v>
      </c>
      <c r="K44" s="80">
        <v>3.2</v>
      </c>
      <c r="L44" s="95"/>
      <c r="M44" s="13">
        <f>13433-11792</f>
        <v>1641</v>
      </c>
      <c r="N44" s="13">
        <f>41714-35411</f>
        <v>6303</v>
      </c>
      <c r="O44" s="13">
        <f t="shared" si="0"/>
        <v>7944</v>
      </c>
    </row>
    <row r="45" spans="1:15" ht="29.25">
      <c r="A45" s="284" t="s">
        <v>11</v>
      </c>
      <c r="B45" s="60" t="s">
        <v>851</v>
      </c>
      <c r="C45" s="60" t="s">
        <v>894</v>
      </c>
      <c r="D45" s="55"/>
      <c r="E45" s="55" t="s">
        <v>686</v>
      </c>
      <c r="F45" s="55" t="s">
        <v>243</v>
      </c>
      <c r="G45" s="55" t="s">
        <v>853</v>
      </c>
      <c r="H45" s="376" t="s">
        <v>896</v>
      </c>
      <c r="I45" s="55">
        <v>41922</v>
      </c>
      <c r="J45" s="4" t="s">
        <v>16</v>
      </c>
      <c r="K45" s="80">
        <v>1</v>
      </c>
      <c r="L45" s="95"/>
      <c r="M45" s="13">
        <f>12419-11014</f>
        <v>1405</v>
      </c>
      <c r="N45" s="13">
        <f>37794-32864</f>
        <v>4930</v>
      </c>
      <c r="O45" s="13">
        <f t="shared" si="0"/>
        <v>6335</v>
      </c>
    </row>
    <row r="46" spans="1:15" ht="29.25">
      <c r="A46" s="284" t="s">
        <v>11</v>
      </c>
      <c r="B46" s="60" t="s">
        <v>851</v>
      </c>
      <c r="C46" s="60" t="s">
        <v>897</v>
      </c>
      <c r="D46" s="55"/>
      <c r="E46" s="55">
        <v>12</v>
      </c>
      <c r="F46" s="55" t="s">
        <v>243</v>
      </c>
      <c r="G46" s="55" t="s">
        <v>853</v>
      </c>
      <c r="H46" s="376" t="s">
        <v>898</v>
      </c>
      <c r="I46" s="55">
        <v>127316</v>
      </c>
      <c r="J46" s="4" t="s">
        <v>16</v>
      </c>
      <c r="K46" s="80">
        <v>1</v>
      </c>
      <c r="L46" s="95"/>
      <c r="M46" s="13">
        <f>2348-1780</f>
        <v>568</v>
      </c>
      <c r="N46" s="13">
        <f>6946-4573</f>
        <v>2373</v>
      </c>
      <c r="O46" s="13">
        <f t="shared" si="0"/>
        <v>2941</v>
      </c>
    </row>
    <row r="47" spans="1:15" ht="29.25">
      <c r="A47" s="284" t="s">
        <v>11</v>
      </c>
      <c r="B47" s="60" t="s">
        <v>851</v>
      </c>
      <c r="C47" s="60" t="s">
        <v>899</v>
      </c>
      <c r="D47" s="55"/>
      <c r="E47" s="55">
        <v>9</v>
      </c>
      <c r="F47" s="55" t="s">
        <v>243</v>
      </c>
      <c r="G47" s="55" t="s">
        <v>853</v>
      </c>
      <c r="H47" s="376" t="s">
        <v>900</v>
      </c>
      <c r="I47" s="55">
        <v>1503157</v>
      </c>
      <c r="J47" s="4" t="s">
        <v>16</v>
      </c>
      <c r="K47" s="80">
        <v>1</v>
      </c>
      <c r="L47" s="95"/>
      <c r="M47" s="13">
        <f>1277-922</f>
        <v>355</v>
      </c>
      <c r="N47" s="13">
        <f>4582-3025</f>
        <v>1557</v>
      </c>
      <c r="O47" s="13">
        <f t="shared" si="0"/>
        <v>1912</v>
      </c>
    </row>
    <row r="48" spans="1:15" ht="29.25">
      <c r="A48" s="284" t="s">
        <v>11</v>
      </c>
      <c r="B48" s="60" t="s">
        <v>851</v>
      </c>
      <c r="C48" s="60" t="s">
        <v>1388</v>
      </c>
      <c r="D48" s="55"/>
      <c r="E48" s="55">
        <v>8</v>
      </c>
      <c r="F48" s="55" t="s">
        <v>243</v>
      </c>
      <c r="G48" s="55" t="s">
        <v>853</v>
      </c>
      <c r="H48" s="376" t="s">
        <v>901</v>
      </c>
      <c r="I48" s="55">
        <v>1440396</v>
      </c>
      <c r="J48" s="4" t="s">
        <v>16</v>
      </c>
      <c r="K48" s="80">
        <v>1</v>
      </c>
      <c r="L48" s="95"/>
      <c r="M48" s="13">
        <f>799-524</f>
        <v>275</v>
      </c>
      <c r="N48" s="13">
        <f>3060-2005</f>
        <v>1055</v>
      </c>
      <c r="O48" s="13">
        <f t="shared" si="0"/>
        <v>1330</v>
      </c>
    </row>
    <row r="49" spans="1:15" ht="29.25">
      <c r="A49" s="284" t="s">
        <v>11</v>
      </c>
      <c r="B49" s="60" t="s">
        <v>851</v>
      </c>
      <c r="C49" s="60" t="s">
        <v>897</v>
      </c>
      <c r="D49" s="55"/>
      <c r="E49" s="55">
        <v>3</v>
      </c>
      <c r="F49" s="55" t="s">
        <v>243</v>
      </c>
      <c r="G49" s="55" t="s">
        <v>853</v>
      </c>
      <c r="H49" s="376" t="s">
        <v>902</v>
      </c>
      <c r="I49" s="55">
        <v>106647</v>
      </c>
      <c r="J49" s="4" t="s">
        <v>16</v>
      </c>
      <c r="K49" s="80">
        <v>0.8</v>
      </c>
      <c r="L49" s="95"/>
      <c r="M49" s="13">
        <f>1360-1173</f>
        <v>187</v>
      </c>
      <c r="N49" s="13">
        <f>3030-2108</f>
        <v>922</v>
      </c>
      <c r="O49" s="13">
        <f t="shared" si="0"/>
        <v>1109</v>
      </c>
    </row>
    <row r="50" spans="1:15" ht="29.25">
      <c r="A50" s="284" t="s">
        <v>11</v>
      </c>
      <c r="B50" s="60" t="s">
        <v>851</v>
      </c>
      <c r="C50" s="60" t="s">
        <v>903</v>
      </c>
      <c r="D50" s="55"/>
      <c r="E50" s="55">
        <v>15</v>
      </c>
      <c r="F50" s="55" t="s">
        <v>243</v>
      </c>
      <c r="G50" s="55" t="s">
        <v>853</v>
      </c>
      <c r="H50" s="376" t="s">
        <v>904</v>
      </c>
      <c r="I50" s="55">
        <v>41892</v>
      </c>
      <c r="J50" s="4" t="s">
        <v>16</v>
      </c>
      <c r="K50" s="80">
        <v>0.5</v>
      </c>
      <c r="L50" s="95"/>
      <c r="M50" s="13">
        <f>12188-10891</f>
        <v>1297</v>
      </c>
      <c r="N50" s="13">
        <f>37214-32416</f>
        <v>4798</v>
      </c>
      <c r="O50" s="13">
        <f t="shared" si="0"/>
        <v>6095</v>
      </c>
    </row>
    <row r="51" spans="1:15" ht="29.25">
      <c r="A51" s="284" t="s">
        <v>11</v>
      </c>
      <c r="B51" s="60" t="s">
        <v>851</v>
      </c>
      <c r="C51" s="60" t="s">
        <v>903</v>
      </c>
      <c r="D51" s="55"/>
      <c r="E51" s="55" t="s">
        <v>146</v>
      </c>
      <c r="F51" s="55" t="s">
        <v>243</v>
      </c>
      <c r="G51" s="55" t="s">
        <v>853</v>
      </c>
      <c r="H51" s="376" t="s">
        <v>905</v>
      </c>
      <c r="I51" s="55">
        <v>41570</v>
      </c>
      <c r="J51" s="4" t="s">
        <v>16</v>
      </c>
      <c r="K51" s="80">
        <v>1.5</v>
      </c>
      <c r="L51" s="95"/>
      <c r="M51" s="13">
        <f>4704-4187</f>
        <v>517</v>
      </c>
      <c r="N51" s="13">
        <f>14773-12864</f>
        <v>1909</v>
      </c>
      <c r="O51" s="13">
        <f t="shared" si="0"/>
        <v>2426</v>
      </c>
    </row>
    <row r="52" spans="1:15" ht="29.25">
      <c r="A52" s="284" t="s">
        <v>11</v>
      </c>
      <c r="B52" s="60" t="s">
        <v>851</v>
      </c>
      <c r="C52" s="60" t="s">
        <v>903</v>
      </c>
      <c r="D52" s="55"/>
      <c r="E52" s="55" t="s">
        <v>686</v>
      </c>
      <c r="F52" s="55" t="s">
        <v>243</v>
      </c>
      <c r="G52" s="55" t="s">
        <v>853</v>
      </c>
      <c r="H52" s="376" t="s">
        <v>906</v>
      </c>
      <c r="I52" s="55">
        <v>41566</v>
      </c>
      <c r="J52" s="4" t="s">
        <v>16</v>
      </c>
      <c r="K52" s="80">
        <v>0.9</v>
      </c>
      <c r="L52" s="95"/>
      <c r="M52" s="13">
        <f>2273-2074</f>
        <v>199</v>
      </c>
      <c r="N52" s="13">
        <f>6951-6251</f>
        <v>700</v>
      </c>
      <c r="O52" s="13">
        <f t="shared" si="0"/>
        <v>899</v>
      </c>
    </row>
    <row r="53" spans="1:15" ht="29.25">
      <c r="A53" s="284" t="s">
        <v>11</v>
      </c>
      <c r="B53" s="60" t="s">
        <v>851</v>
      </c>
      <c r="C53" s="60" t="s">
        <v>907</v>
      </c>
      <c r="D53" s="55"/>
      <c r="E53" s="55"/>
      <c r="F53" s="55" t="s">
        <v>243</v>
      </c>
      <c r="G53" s="55" t="s">
        <v>853</v>
      </c>
      <c r="H53" s="376" t="s">
        <v>908</v>
      </c>
      <c r="I53" s="55">
        <v>41666</v>
      </c>
      <c r="J53" s="4" t="s">
        <v>16</v>
      </c>
      <c r="K53" s="80">
        <v>2.7</v>
      </c>
      <c r="L53" s="95"/>
      <c r="M53" s="13">
        <f>10576-9526</f>
        <v>1050</v>
      </c>
      <c r="N53" s="13">
        <f>33326-28988</f>
        <v>4338</v>
      </c>
      <c r="O53" s="13">
        <f t="shared" si="0"/>
        <v>5388</v>
      </c>
    </row>
    <row r="54" spans="1:15" ht="29.25">
      <c r="A54" s="284" t="s">
        <v>11</v>
      </c>
      <c r="B54" s="60" t="s">
        <v>851</v>
      </c>
      <c r="C54" s="60" t="s">
        <v>909</v>
      </c>
      <c r="D54" s="55"/>
      <c r="E54" s="55">
        <v>5</v>
      </c>
      <c r="F54" s="55" t="s">
        <v>243</v>
      </c>
      <c r="G54" s="55" t="s">
        <v>853</v>
      </c>
      <c r="H54" s="376" t="s">
        <v>910</v>
      </c>
      <c r="I54" s="55">
        <v>41563</v>
      </c>
      <c r="J54" s="4" t="s">
        <v>16</v>
      </c>
      <c r="K54" s="80">
        <v>1.2</v>
      </c>
      <c r="L54" s="95"/>
      <c r="M54" s="13">
        <f>4092-3621</f>
        <v>471</v>
      </c>
      <c r="N54" s="13">
        <f>12689-10935</f>
        <v>1754</v>
      </c>
      <c r="O54" s="13">
        <f t="shared" si="0"/>
        <v>2225</v>
      </c>
    </row>
    <row r="55" spans="1:15" ht="29.25">
      <c r="A55" s="284" t="s">
        <v>11</v>
      </c>
      <c r="B55" s="60" t="s">
        <v>851</v>
      </c>
      <c r="C55" s="60" t="s">
        <v>911</v>
      </c>
      <c r="D55" s="55"/>
      <c r="E55" s="55"/>
      <c r="F55" s="55" t="s">
        <v>243</v>
      </c>
      <c r="G55" s="55" t="s">
        <v>853</v>
      </c>
      <c r="H55" s="376" t="s">
        <v>912</v>
      </c>
      <c r="I55" s="55">
        <v>41928</v>
      </c>
      <c r="J55" s="4" t="s">
        <v>16</v>
      </c>
      <c r="K55" s="80">
        <v>1.8</v>
      </c>
      <c r="L55" s="95"/>
      <c r="M55" s="13">
        <f>9300-7885</f>
        <v>1415</v>
      </c>
      <c r="N55" s="13">
        <f>30203-24801</f>
        <v>5402</v>
      </c>
      <c r="O55" s="13">
        <f t="shared" si="0"/>
        <v>6817</v>
      </c>
    </row>
    <row r="56" spans="1:15" ht="29.25">
      <c r="A56" s="284" t="s">
        <v>11</v>
      </c>
      <c r="B56" s="60" t="s">
        <v>851</v>
      </c>
      <c r="C56" s="60" t="s">
        <v>1389</v>
      </c>
      <c r="D56" s="55"/>
      <c r="E56" s="55">
        <v>1</v>
      </c>
      <c r="F56" s="55" t="s">
        <v>243</v>
      </c>
      <c r="G56" s="55" t="s">
        <v>853</v>
      </c>
      <c r="H56" s="376" t="s">
        <v>913</v>
      </c>
      <c r="I56" s="55">
        <v>41704</v>
      </c>
      <c r="J56" s="4" t="s">
        <v>16</v>
      </c>
      <c r="K56" s="80">
        <v>0.6</v>
      </c>
      <c r="L56" s="95"/>
      <c r="M56" s="13">
        <f>4376-3884</f>
        <v>492</v>
      </c>
      <c r="N56" s="13">
        <f>14000-12230</f>
        <v>1770</v>
      </c>
      <c r="O56" s="13">
        <f t="shared" si="0"/>
        <v>2262</v>
      </c>
    </row>
    <row r="57" spans="1:15" ht="29.25">
      <c r="A57" s="284" t="s">
        <v>11</v>
      </c>
      <c r="B57" s="60" t="s">
        <v>851</v>
      </c>
      <c r="C57" s="60" t="s">
        <v>1389</v>
      </c>
      <c r="D57" s="55"/>
      <c r="E57" s="55">
        <v>4</v>
      </c>
      <c r="F57" s="55" t="s">
        <v>243</v>
      </c>
      <c r="G57" s="55" t="s">
        <v>853</v>
      </c>
      <c r="H57" s="376" t="s">
        <v>914</v>
      </c>
      <c r="I57" s="55">
        <v>41893</v>
      </c>
      <c r="J57" s="4" t="s">
        <v>16</v>
      </c>
      <c r="K57" s="80">
        <v>1.5</v>
      </c>
      <c r="L57" s="95"/>
      <c r="M57" s="13">
        <f>4142-3657</f>
        <v>485</v>
      </c>
      <c r="N57" s="13">
        <f>12662-11136</f>
        <v>1526</v>
      </c>
      <c r="O57" s="13">
        <f t="shared" si="0"/>
        <v>2011</v>
      </c>
    </row>
    <row r="58" spans="1:15" ht="29.25">
      <c r="A58" s="284" t="s">
        <v>11</v>
      </c>
      <c r="B58" s="60" t="s">
        <v>851</v>
      </c>
      <c r="C58" s="60" t="s">
        <v>1389</v>
      </c>
      <c r="D58" s="55"/>
      <c r="E58" s="55"/>
      <c r="F58" s="55" t="s">
        <v>243</v>
      </c>
      <c r="G58" s="55" t="s">
        <v>853</v>
      </c>
      <c r="H58" s="376" t="s">
        <v>915</v>
      </c>
      <c r="I58" s="55">
        <v>41896</v>
      </c>
      <c r="J58" s="4" t="s">
        <v>16</v>
      </c>
      <c r="K58" s="80">
        <v>0.7</v>
      </c>
      <c r="L58" s="95"/>
      <c r="M58" s="13">
        <f>3937-3513</f>
        <v>424</v>
      </c>
      <c r="N58" s="13">
        <f>11630-10304</f>
        <v>1326</v>
      </c>
      <c r="O58" s="13">
        <f t="shared" si="0"/>
        <v>1750</v>
      </c>
    </row>
    <row r="59" spans="1:15" ht="29.25">
      <c r="A59" s="284" t="s">
        <v>11</v>
      </c>
      <c r="B59" s="60" t="s">
        <v>851</v>
      </c>
      <c r="C59" s="60" t="s">
        <v>1389</v>
      </c>
      <c r="D59" s="55"/>
      <c r="E59" s="55">
        <v>3</v>
      </c>
      <c r="F59" s="55" t="s">
        <v>243</v>
      </c>
      <c r="G59" s="55" t="s">
        <v>853</v>
      </c>
      <c r="H59" s="376" t="s">
        <v>916</v>
      </c>
      <c r="I59" s="55">
        <v>41927</v>
      </c>
      <c r="J59" s="4" t="s">
        <v>16</v>
      </c>
      <c r="K59" s="80">
        <v>0.8</v>
      </c>
      <c r="L59" s="95"/>
      <c r="M59" s="13">
        <f>11806-10685</f>
        <v>1121</v>
      </c>
      <c r="N59" s="13">
        <f>36507-32323</f>
        <v>4184</v>
      </c>
      <c r="O59" s="13">
        <f t="shared" si="0"/>
        <v>5305</v>
      </c>
    </row>
    <row r="60" spans="1:15" ht="29.25">
      <c r="A60" s="284" t="s">
        <v>11</v>
      </c>
      <c r="B60" s="60" t="s">
        <v>851</v>
      </c>
      <c r="C60" s="60" t="s">
        <v>917</v>
      </c>
      <c r="D60" s="55"/>
      <c r="E60" s="55">
        <v>34</v>
      </c>
      <c r="F60" s="55" t="s">
        <v>243</v>
      </c>
      <c r="G60" s="55" t="s">
        <v>853</v>
      </c>
      <c r="H60" s="376" t="s">
        <v>918</v>
      </c>
      <c r="I60" s="55">
        <v>41490</v>
      </c>
      <c r="J60" s="4" t="s">
        <v>16</v>
      </c>
      <c r="K60" s="80">
        <v>2</v>
      </c>
      <c r="L60" s="95"/>
      <c r="M60" s="13">
        <f>8497-7460</f>
        <v>1037</v>
      </c>
      <c r="N60" s="13">
        <f>26801-22893</f>
        <v>3908</v>
      </c>
      <c r="O60" s="13">
        <f t="shared" si="0"/>
        <v>4945</v>
      </c>
    </row>
    <row r="61" spans="1:15" ht="29.25">
      <c r="A61" s="284" t="s">
        <v>11</v>
      </c>
      <c r="B61" s="60" t="s">
        <v>851</v>
      </c>
      <c r="C61" s="60" t="s">
        <v>917</v>
      </c>
      <c r="D61" s="55"/>
      <c r="E61" s="55" t="s">
        <v>686</v>
      </c>
      <c r="F61" s="55" t="s">
        <v>243</v>
      </c>
      <c r="G61" s="55" t="s">
        <v>853</v>
      </c>
      <c r="H61" s="376" t="s">
        <v>919</v>
      </c>
      <c r="I61" s="55">
        <v>41923</v>
      </c>
      <c r="J61" s="4" t="s">
        <v>16</v>
      </c>
      <c r="K61" s="80">
        <v>1</v>
      </c>
      <c r="L61" s="95"/>
      <c r="M61" s="13">
        <f>3119-2849</f>
        <v>270</v>
      </c>
      <c r="N61" s="13">
        <f>10082-9059</f>
        <v>1023</v>
      </c>
      <c r="O61" s="13">
        <f t="shared" si="0"/>
        <v>1293</v>
      </c>
    </row>
    <row r="62" spans="1:15" ht="29.25">
      <c r="A62" s="284" t="s">
        <v>11</v>
      </c>
      <c r="B62" s="60" t="s">
        <v>851</v>
      </c>
      <c r="C62" s="60" t="s">
        <v>920</v>
      </c>
      <c r="D62" s="55"/>
      <c r="E62" s="55"/>
      <c r="F62" s="55" t="s">
        <v>243</v>
      </c>
      <c r="G62" s="55" t="s">
        <v>853</v>
      </c>
      <c r="H62" s="376" t="s">
        <v>921</v>
      </c>
      <c r="I62" s="55">
        <v>41931</v>
      </c>
      <c r="J62" s="4" t="s">
        <v>16</v>
      </c>
      <c r="K62" s="80">
        <v>0.8</v>
      </c>
      <c r="L62" s="95"/>
      <c r="M62" s="13">
        <f>5868-5348</f>
        <v>520</v>
      </c>
      <c r="N62" s="13">
        <f>19925-18224</f>
        <v>1701</v>
      </c>
      <c r="O62" s="13">
        <f t="shared" si="0"/>
        <v>2221</v>
      </c>
    </row>
    <row r="63" spans="1:15" ht="29.25">
      <c r="A63" s="284" t="s">
        <v>11</v>
      </c>
      <c r="B63" s="60" t="s">
        <v>851</v>
      </c>
      <c r="C63" s="60" t="s">
        <v>922</v>
      </c>
      <c r="D63" s="55"/>
      <c r="E63" s="55" t="s">
        <v>146</v>
      </c>
      <c r="F63" s="55" t="s">
        <v>243</v>
      </c>
      <c r="G63" s="55" t="s">
        <v>853</v>
      </c>
      <c r="H63" s="376" t="s">
        <v>923</v>
      </c>
      <c r="I63" s="55">
        <v>41150</v>
      </c>
      <c r="J63" s="4" t="s">
        <v>16</v>
      </c>
      <c r="K63" s="80">
        <v>0.9</v>
      </c>
      <c r="L63" s="95"/>
      <c r="M63" s="13">
        <f>3111-2708</f>
        <v>403</v>
      </c>
      <c r="N63" s="13">
        <f>9445-8070</f>
        <v>1375</v>
      </c>
      <c r="O63" s="13">
        <f>SUM(M63:N63)</f>
        <v>1778</v>
      </c>
    </row>
    <row r="64" spans="1:15" ht="29.25">
      <c r="A64" s="284" t="s">
        <v>11</v>
      </c>
      <c r="B64" s="60" t="s">
        <v>851</v>
      </c>
      <c r="C64" s="60" t="s">
        <v>922</v>
      </c>
      <c r="D64" s="55"/>
      <c r="E64" s="55" t="s">
        <v>686</v>
      </c>
      <c r="F64" s="55" t="s">
        <v>243</v>
      </c>
      <c r="G64" s="55" t="s">
        <v>853</v>
      </c>
      <c r="H64" s="376" t="s">
        <v>924</v>
      </c>
      <c r="I64" s="55">
        <v>41482</v>
      </c>
      <c r="J64" s="4" t="s">
        <v>16</v>
      </c>
      <c r="K64" s="80">
        <v>1.3</v>
      </c>
      <c r="L64" s="95"/>
      <c r="M64" s="13">
        <f>9570-8248</f>
        <v>1322</v>
      </c>
      <c r="N64" s="13">
        <f>29500-24881</f>
        <v>4619</v>
      </c>
      <c r="O64" s="13">
        <f t="shared" si="0"/>
        <v>5941</v>
      </c>
    </row>
    <row r="65" spans="1:15" ht="29.25">
      <c r="A65" s="284" t="s">
        <v>11</v>
      </c>
      <c r="B65" s="60" t="s">
        <v>851</v>
      </c>
      <c r="C65" s="60" t="s">
        <v>922</v>
      </c>
      <c r="D65" s="55"/>
      <c r="E65" s="55" t="s">
        <v>878</v>
      </c>
      <c r="F65" s="55" t="s">
        <v>243</v>
      </c>
      <c r="G65" s="55" t="s">
        <v>853</v>
      </c>
      <c r="H65" s="376" t="s">
        <v>925</v>
      </c>
      <c r="I65" s="55">
        <v>41483</v>
      </c>
      <c r="J65" s="4" t="s">
        <v>16</v>
      </c>
      <c r="K65" s="80">
        <v>1.2</v>
      </c>
      <c r="L65" s="95"/>
      <c r="M65" s="13">
        <f>5823-5106</f>
        <v>717</v>
      </c>
      <c r="N65" s="13">
        <f>18532-15842</f>
        <v>2690</v>
      </c>
      <c r="O65" s="13">
        <f t="shared" si="0"/>
        <v>3407</v>
      </c>
    </row>
    <row r="66" spans="1:15" ht="29.25">
      <c r="A66" s="284" t="s">
        <v>11</v>
      </c>
      <c r="B66" s="60" t="s">
        <v>851</v>
      </c>
      <c r="C66" s="60" t="s">
        <v>926</v>
      </c>
      <c r="D66" s="55"/>
      <c r="E66" s="55"/>
      <c r="F66" s="55" t="s">
        <v>243</v>
      </c>
      <c r="G66" s="55" t="s">
        <v>853</v>
      </c>
      <c r="H66" s="376" t="s">
        <v>927</v>
      </c>
      <c r="I66" s="55">
        <v>41571</v>
      </c>
      <c r="J66" s="4" t="s">
        <v>16</v>
      </c>
      <c r="K66" s="80">
        <v>1.2</v>
      </c>
      <c r="L66" s="95"/>
      <c r="M66" s="13">
        <f>8659-7454</f>
        <v>1205</v>
      </c>
      <c r="N66" s="13">
        <f>26828-22448</f>
        <v>4380</v>
      </c>
      <c r="O66" s="13">
        <f t="shared" si="0"/>
        <v>5585</v>
      </c>
    </row>
    <row r="67" spans="1:15" ht="29.25">
      <c r="A67" s="284" t="s">
        <v>11</v>
      </c>
      <c r="B67" s="60" t="s">
        <v>851</v>
      </c>
      <c r="C67" s="60" t="s">
        <v>853</v>
      </c>
      <c r="D67" s="55" t="s">
        <v>232</v>
      </c>
      <c r="E67" s="55">
        <v>20</v>
      </c>
      <c r="F67" s="55" t="s">
        <v>243</v>
      </c>
      <c r="G67" s="55" t="s">
        <v>853</v>
      </c>
      <c r="H67" s="376" t="s">
        <v>928</v>
      </c>
      <c r="I67" s="55">
        <v>38195</v>
      </c>
      <c r="J67" s="4" t="s">
        <v>16</v>
      </c>
      <c r="K67" s="80">
        <v>5.5</v>
      </c>
      <c r="L67" s="95"/>
      <c r="M67" s="13">
        <f>27311-23923</f>
        <v>3388</v>
      </c>
      <c r="N67" s="13">
        <f>113916-99909</f>
        <v>14007</v>
      </c>
      <c r="O67" s="13">
        <f t="shared" si="0"/>
        <v>17395</v>
      </c>
    </row>
    <row r="68" spans="1:15" ht="29.25">
      <c r="A68" s="284" t="s">
        <v>11</v>
      </c>
      <c r="B68" s="60" t="s">
        <v>851</v>
      </c>
      <c r="C68" s="60" t="s">
        <v>853</v>
      </c>
      <c r="D68" s="55" t="s">
        <v>383</v>
      </c>
      <c r="E68" s="55">
        <v>3</v>
      </c>
      <c r="F68" s="55" t="s">
        <v>243</v>
      </c>
      <c r="G68" s="55" t="s">
        <v>853</v>
      </c>
      <c r="H68" s="376" t="s">
        <v>929</v>
      </c>
      <c r="I68" s="55">
        <v>38194</v>
      </c>
      <c r="J68" s="4" t="s">
        <v>16</v>
      </c>
      <c r="K68" s="80">
        <v>3.3</v>
      </c>
      <c r="L68" s="95"/>
      <c r="M68" s="13">
        <f>9802-9024</f>
        <v>778</v>
      </c>
      <c r="N68" s="13">
        <f>43783-40484</f>
        <v>3299</v>
      </c>
      <c r="O68" s="13">
        <f t="shared" si="0"/>
        <v>4077</v>
      </c>
    </row>
    <row r="69" spans="1:15" ht="29.25">
      <c r="A69" s="284" t="s">
        <v>11</v>
      </c>
      <c r="B69" s="60" t="s">
        <v>851</v>
      </c>
      <c r="C69" s="60" t="s">
        <v>853</v>
      </c>
      <c r="D69" s="55" t="s">
        <v>1386</v>
      </c>
      <c r="E69" s="55">
        <v>8</v>
      </c>
      <c r="F69" s="55" t="s">
        <v>243</v>
      </c>
      <c r="G69" s="55" t="s">
        <v>853</v>
      </c>
      <c r="H69" s="376" t="s">
        <v>930</v>
      </c>
      <c r="I69" s="55">
        <v>41489</v>
      </c>
      <c r="J69" s="4" t="s">
        <v>16</v>
      </c>
      <c r="K69" s="80">
        <v>0.5</v>
      </c>
      <c r="L69" s="95"/>
      <c r="M69" s="13">
        <f>3195-2904</f>
        <v>291</v>
      </c>
      <c r="N69" s="13">
        <f>10680-9520</f>
        <v>1160</v>
      </c>
      <c r="O69" s="13">
        <f t="shared" si="0"/>
        <v>1451</v>
      </c>
    </row>
    <row r="70" spans="1:15" ht="29.25">
      <c r="A70" s="284" t="s">
        <v>11</v>
      </c>
      <c r="B70" s="60" t="s">
        <v>851</v>
      </c>
      <c r="C70" s="60" t="s">
        <v>853</v>
      </c>
      <c r="D70" s="55"/>
      <c r="E70" s="55"/>
      <c r="F70" s="55" t="s">
        <v>243</v>
      </c>
      <c r="G70" s="55" t="s">
        <v>853</v>
      </c>
      <c r="H70" s="376" t="s">
        <v>931</v>
      </c>
      <c r="I70" s="55">
        <v>38201</v>
      </c>
      <c r="J70" s="4" t="s">
        <v>16</v>
      </c>
      <c r="K70" s="80">
        <v>4.9</v>
      </c>
      <c r="L70" s="95"/>
      <c r="M70" s="13">
        <f>36319-31058</f>
        <v>5261</v>
      </c>
      <c r="N70" s="13">
        <f>152322-130488</f>
        <v>21834</v>
      </c>
      <c r="O70" s="13">
        <f t="shared" si="0"/>
        <v>27095</v>
      </c>
    </row>
    <row r="71" spans="1:15" ht="29.25">
      <c r="A71" s="284" t="s">
        <v>11</v>
      </c>
      <c r="B71" s="60" t="s">
        <v>851</v>
      </c>
      <c r="C71" s="60" t="s">
        <v>853</v>
      </c>
      <c r="D71" s="55"/>
      <c r="E71" s="55" t="s">
        <v>686</v>
      </c>
      <c r="F71" s="55" t="s">
        <v>243</v>
      </c>
      <c r="G71" s="55" t="s">
        <v>853</v>
      </c>
      <c r="H71" s="376" t="s">
        <v>932</v>
      </c>
      <c r="I71" s="55">
        <v>41925</v>
      </c>
      <c r="J71" s="4" t="s">
        <v>16</v>
      </c>
      <c r="K71" s="80">
        <v>1</v>
      </c>
      <c r="L71" s="95"/>
      <c r="M71" s="13">
        <f>6526-6164</f>
        <v>362</v>
      </c>
      <c r="N71" s="13">
        <f>20403-18899</f>
        <v>1504</v>
      </c>
      <c r="O71" s="13">
        <f t="shared" si="0"/>
        <v>1866</v>
      </c>
    </row>
    <row r="72" spans="1:16" ht="29.25">
      <c r="A72" s="284" t="s">
        <v>11</v>
      </c>
      <c r="B72" s="60" t="s">
        <v>851</v>
      </c>
      <c r="C72" s="60" t="s">
        <v>853</v>
      </c>
      <c r="D72" s="55" t="s">
        <v>1719</v>
      </c>
      <c r="E72" s="55"/>
      <c r="F72" s="55" t="s">
        <v>243</v>
      </c>
      <c r="G72" s="55" t="s">
        <v>853</v>
      </c>
      <c r="H72" s="376" t="s">
        <v>933</v>
      </c>
      <c r="I72" s="55">
        <v>91473111</v>
      </c>
      <c r="J72" s="4" t="s">
        <v>16</v>
      </c>
      <c r="K72" s="80">
        <v>2.5</v>
      </c>
      <c r="L72" s="95"/>
      <c r="M72" s="13">
        <f>68*12</f>
        <v>816</v>
      </c>
      <c r="N72" s="13">
        <f>612*12</f>
        <v>7344</v>
      </c>
      <c r="O72" s="13">
        <f t="shared" si="0"/>
        <v>8160</v>
      </c>
      <c r="P72" s="50"/>
    </row>
    <row r="73" spans="1:15" ht="29.25">
      <c r="A73" s="284" t="s">
        <v>11</v>
      </c>
      <c r="B73" s="60" t="s">
        <v>851</v>
      </c>
      <c r="C73" s="60" t="s">
        <v>853</v>
      </c>
      <c r="D73" s="55" t="s">
        <v>1078</v>
      </c>
      <c r="E73" s="55"/>
      <c r="F73" s="55" t="s">
        <v>243</v>
      </c>
      <c r="G73" s="55" t="s">
        <v>853</v>
      </c>
      <c r="H73" s="376" t="s">
        <v>934</v>
      </c>
      <c r="I73" s="55">
        <v>39847</v>
      </c>
      <c r="J73" s="4" t="s">
        <v>16</v>
      </c>
      <c r="K73" s="80">
        <v>4.7</v>
      </c>
      <c r="L73" s="95"/>
      <c r="M73" s="13">
        <f>9109-8399</f>
        <v>710</v>
      </c>
      <c r="N73" s="13">
        <f>39322-36109</f>
        <v>3213</v>
      </c>
      <c r="O73" s="13">
        <f t="shared" si="0"/>
        <v>3923</v>
      </c>
    </row>
    <row r="74" spans="1:15" ht="29.25">
      <c r="A74" s="284" t="s">
        <v>11</v>
      </c>
      <c r="B74" s="60" t="s">
        <v>851</v>
      </c>
      <c r="C74" s="60" t="s">
        <v>853</v>
      </c>
      <c r="D74" s="55" t="s">
        <v>935</v>
      </c>
      <c r="E74" s="55"/>
      <c r="F74" s="55" t="s">
        <v>243</v>
      </c>
      <c r="G74" s="55" t="s">
        <v>853</v>
      </c>
      <c r="H74" s="376" t="s">
        <v>1309</v>
      </c>
      <c r="I74" s="55">
        <v>41899</v>
      </c>
      <c r="J74" s="4" t="s">
        <v>16</v>
      </c>
      <c r="K74" s="80">
        <v>0.9</v>
      </c>
      <c r="L74" s="95"/>
      <c r="M74" s="13">
        <f>3931-3356</f>
        <v>575</v>
      </c>
      <c r="N74" s="13">
        <f>11943-9764</f>
        <v>2179</v>
      </c>
      <c r="O74" s="13">
        <f t="shared" si="0"/>
        <v>2754</v>
      </c>
    </row>
    <row r="75" spans="1:15" ht="29.25">
      <c r="A75" s="284" t="s">
        <v>11</v>
      </c>
      <c r="B75" s="60" t="s">
        <v>851</v>
      </c>
      <c r="C75" s="60" t="s">
        <v>853</v>
      </c>
      <c r="D75" s="55" t="s">
        <v>936</v>
      </c>
      <c r="E75" s="55"/>
      <c r="F75" s="55" t="s">
        <v>243</v>
      </c>
      <c r="G75" s="55" t="s">
        <v>853</v>
      </c>
      <c r="H75" s="376" t="s">
        <v>937</v>
      </c>
      <c r="I75" s="55">
        <v>38200</v>
      </c>
      <c r="J75" s="4" t="s">
        <v>16</v>
      </c>
      <c r="K75" s="80">
        <v>5</v>
      </c>
      <c r="L75" s="95"/>
      <c r="M75" s="13">
        <f>17076-15099</f>
        <v>1977</v>
      </c>
      <c r="N75" s="13">
        <f>69458-61792</f>
        <v>7666</v>
      </c>
      <c r="O75" s="13">
        <f t="shared" si="0"/>
        <v>9643</v>
      </c>
    </row>
    <row r="76" spans="1:15" ht="29.25">
      <c r="A76" s="284" t="s">
        <v>11</v>
      </c>
      <c r="B76" s="60" t="s">
        <v>851</v>
      </c>
      <c r="C76" s="60" t="s">
        <v>853</v>
      </c>
      <c r="D76" s="55"/>
      <c r="E76" s="55"/>
      <c r="F76" s="55" t="s">
        <v>243</v>
      </c>
      <c r="G76" s="55" t="s">
        <v>853</v>
      </c>
      <c r="H76" s="376" t="s">
        <v>938</v>
      </c>
      <c r="I76" s="55">
        <v>41148</v>
      </c>
      <c r="J76" s="4" t="s">
        <v>16</v>
      </c>
      <c r="K76" s="80">
        <v>1</v>
      </c>
      <c r="L76" s="95"/>
      <c r="M76" s="13">
        <f>7138-6232</f>
        <v>906</v>
      </c>
      <c r="N76" s="13">
        <f>23063-19937</f>
        <v>3126</v>
      </c>
      <c r="O76" s="13">
        <f t="shared" si="0"/>
        <v>4032</v>
      </c>
    </row>
    <row r="77" spans="1:15" ht="29.25">
      <c r="A77" s="284" t="s">
        <v>11</v>
      </c>
      <c r="B77" s="60" t="s">
        <v>851</v>
      </c>
      <c r="C77" s="60" t="s">
        <v>862</v>
      </c>
      <c r="D77" s="55"/>
      <c r="E77" s="55"/>
      <c r="F77" s="55" t="s">
        <v>243</v>
      </c>
      <c r="G77" s="55" t="s">
        <v>853</v>
      </c>
      <c r="H77" s="376" t="s">
        <v>939</v>
      </c>
      <c r="I77" s="55">
        <v>41493</v>
      </c>
      <c r="J77" s="4" t="s">
        <v>16</v>
      </c>
      <c r="K77" s="80">
        <v>0.7</v>
      </c>
      <c r="L77" s="95"/>
      <c r="M77" s="13">
        <f>5606-4972</f>
        <v>634</v>
      </c>
      <c r="N77" s="13">
        <f>16540-14406</f>
        <v>2134</v>
      </c>
      <c r="O77" s="13">
        <f t="shared" si="0"/>
        <v>2768</v>
      </c>
    </row>
    <row r="78" spans="1:15" ht="29.25">
      <c r="A78" s="284" t="s">
        <v>11</v>
      </c>
      <c r="B78" s="60" t="s">
        <v>851</v>
      </c>
      <c r="C78" s="60" t="s">
        <v>940</v>
      </c>
      <c r="D78" s="55"/>
      <c r="E78" s="55"/>
      <c r="F78" s="55" t="s">
        <v>243</v>
      </c>
      <c r="G78" s="55" t="s">
        <v>853</v>
      </c>
      <c r="H78" s="376" t="s">
        <v>941</v>
      </c>
      <c r="I78" s="55">
        <v>41569</v>
      </c>
      <c r="J78" s="4" t="s">
        <v>16</v>
      </c>
      <c r="K78" s="80">
        <v>1.5</v>
      </c>
      <c r="L78" s="95"/>
      <c r="M78" s="13">
        <f>6015-5064</f>
        <v>951</v>
      </c>
      <c r="N78" s="13">
        <f>17171-14073</f>
        <v>3098</v>
      </c>
      <c r="O78" s="13">
        <f t="shared" si="0"/>
        <v>4049</v>
      </c>
    </row>
    <row r="79" spans="1:15" ht="29.25">
      <c r="A79" s="284" t="s">
        <v>11</v>
      </c>
      <c r="B79" s="60" t="s">
        <v>851</v>
      </c>
      <c r="C79" s="60" t="s">
        <v>862</v>
      </c>
      <c r="D79" s="55"/>
      <c r="E79" s="55"/>
      <c r="F79" s="55" t="s">
        <v>243</v>
      </c>
      <c r="G79" s="55" t="s">
        <v>853</v>
      </c>
      <c r="H79" s="376" t="s">
        <v>942</v>
      </c>
      <c r="I79" s="55">
        <v>38197</v>
      </c>
      <c r="J79" s="4" t="s">
        <v>16</v>
      </c>
      <c r="K79" s="80">
        <v>0.6</v>
      </c>
      <c r="L79" s="95"/>
      <c r="M79" s="13">
        <f>3090-2596</f>
        <v>494</v>
      </c>
      <c r="N79" s="13">
        <f>12490-10534</f>
        <v>1956</v>
      </c>
      <c r="O79" s="13">
        <f t="shared" si="0"/>
        <v>2450</v>
      </c>
    </row>
    <row r="80" spans="1:15" ht="29.25">
      <c r="A80" s="284" t="s">
        <v>11</v>
      </c>
      <c r="B80" s="60" t="s">
        <v>851</v>
      </c>
      <c r="C80" s="60" t="s">
        <v>1716</v>
      </c>
      <c r="D80" s="55"/>
      <c r="E80" s="55"/>
      <c r="F80" s="55" t="s">
        <v>243</v>
      </c>
      <c r="G80" s="55" t="s">
        <v>853</v>
      </c>
      <c r="H80" s="376" t="s">
        <v>943</v>
      </c>
      <c r="I80" s="55">
        <v>24714689</v>
      </c>
      <c r="J80" s="4" t="s">
        <v>16</v>
      </c>
      <c r="K80" s="80">
        <v>3.2</v>
      </c>
      <c r="L80" s="95"/>
      <c r="M80" s="13">
        <f>6728-6467</f>
        <v>261</v>
      </c>
      <c r="N80" s="13">
        <f>96723-92562</f>
        <v>4161</v>
      </c>
      <c r="O80" s="13">
        <f t="shared" si="0"/>
        <v>4422</v>
      </c>
    </row>
    <row r="81" spans="1:15" ht="29.25">
      <c r="A81" s="284" t="s">
        <v>11</v>
      </c>
      <c r="B81" s="60" t="s">
        <v>851</v>
      </c>
      <c r="C81" s="60" t="s">
        <v>944</v>
      </c>
      <c r="D81" s="55"/>
      <c r="E81" s="55" t="s">
        <v>878</v>
      </c>
      <c r="F81" s="55" t="s">
        <v>243</v>
      </c>
      <c r="G81" s="55" t="s">
        <v>853</v>
      </c>
      <c r="H81" s="376" t="s">
        <v>945</v>
      </c>
      <c r="I81" s="55">
        <v>41924</v>
      </c>
      <c r="J81" s="4" t="s">
        <v>16</v>
      </c>
      <c r="K81" s="80">
        <v>1.5</v>
      </c>
      <c r="L81" s="95"/>
      <c r="M81" s="13">
        <f>12297-10697</f>
        <v>1600</v>
      </c>
      <c r="N81" s="13">
        <f>39262-33032</f>
        <v>6230</v>
      </c>
      <c r="O81" s="13">
        <f t="shared" si="0"/>
        <v>7830</v>
      </c>
    </row>
    <row r="82" spans="1:15" ht="29.25">
      <c r="A82" s="284" t="s">
        <v>11</v>
      </c>
      <c r="B82" s="60" t="s">
        <v>851</v>
      </c>
      <c r="C82" s="60" t="s">
        <v>944</v>
      </c>
      <c r="D82" s="55"/>
      <c r="E82" s="55" t="s">
        <v>319</v>
      </c>
      <c r="F82" s="55" t="s">
        <v>243</v>
      </c>
      <c r="G82" s="55" t="s">
        <v>853</v>
      </c>
      <c r="H82" s="376" t="s">
        <v>946</v>
      </c>
      <c r="I82" s="55">
        <v>41901</v>
      </c>
      <c r="J82" s="4" t="s">
        <v>16</v>
      </c>
      <c r="K82" s="80">
        <v>0.5</v>
      </c>
      <c r="L82" s="95"/>
      <c r="M82" s="13">
        <f>4900-4234</f>
        <v>666</v>
      </c>
      <c r="N82" s="13">
        <f>15212-12603</f>
        <v>2609</v>
      </c>
      <c r="O82" s="13">
        <f aca="true" t="shared" si="1" ref="O82:O94">SUM(M82:N82)</f>
        <v>3275</v>
      </c>
    </row>
    <row r="83" spans="1:15" ht="29.25">
      <c r="A83" s="284" t="s">
        <v>11</v>
      </c>
      <c r="B83" s="60" t="s">
        <v>851</v>
      </c>
      <c r="C83" s="60" t="s">
        <v>947</v>
      </c>
      <c r="D83" s="55"/>
      <c r="E83" s="55"/>
      <c r="F83" s="55" t="s">
        <v>243</v>
      </c>
      <c r="G83" s="55" t="s">
        <v>853</v>
      </c>
      <c r="H83" s="376" t="s">
        <v>948</v>
      </c>
      <c r="I83" s="55">
        <v>127137</v>
      </c>
      <c r="J83" s="4" t="s">
        <v>16</v>
      </c>
      <c r="K83" s="80">
        <v>2.2</v>
      </c>
      <c r="L83" s="95"/>
      <c r="M83" s="13">
        <f>3445-2648</f>
        <v>797</v>
      </c>
      <c r="N83" s="13">
        <f>13968-10476</f>
        <v>3492</v>
      </c>
      <c r="O83" s="13">
        <f t="shared" si="1"/>
        <v>4289</v>
      </c>
    </row>
    <row r="84" spans="1:15" ht="29.25">
      <c r="A84" s="284" t="s">
        <v>11</v>
      </c>
      <c r="B84" s="60" t="s">
        <v>851</v>
      </c>
      <c r="C84" s="60" t="s">
        <v>949</v>
      </c>
      <c r="D84" s="55"/>
      <c r="E84" s="55" t="s">
        <v>686</v>
      </c>
      <c r="F84" s="55" t="s">
        <v>243</v>
      </c>
      <c r="G84" s="55" t="s">
        <v>853</v>
      </c>
      <c r="H84" s="376" t="s">
        <v>950</v>
      </c>
      <c r="I84" s="55">
        <v>41565</v>
      </c>
      <c r="J84" s="4" t="s">
        <v>16</v>
      </c>
      <c r="K84" s="80">
        <v>2.2</v>
      </c>
      <c r="L84" s="95"/>
      <c r="M84" s="13">
        <f>5551-4725</f>
        <v>826</v>
      </c>
      <c r="N84" s="13">
        <f>17033-14046</f>
        <v>2987</v>
      </c>
      <c r="O84" s="13">
        <f t="shared" si="1"/>
        <v>3813</v>
      </c>
    </row>
    <row r="85" spans="1:15" ht="29.25">
      <c r="A85" s="284" t="s">
        <v>11</v>
      </c>
      <c r="B85" s="60" t="s">
        <v>851</v>
      </c>
      <c r="C85" s="60" t="s">
        <v>949</v>
      </c>
      <c r="D85" s="55"/>
      <c r="E85" s="55" t="s">
        <v>319</v>
      </c>
      <c r="F85" s="55" t="s">
        <v>243</v>
      </c>
      <c r="G85" s="55" t="s">
        <v>853</v>
      </c>
      <c r="H85" s="376" t="s">
        <v>951</v>
      </c>
      <c r="I85" s="55">
        <v>110529</v>
      </c>
      <c r="J85" s="4" t="s">
        <v>16</v>
      </c>
      <c r="K85" s="80">
        <v>2.2</v>
      </c>
      <c r="L85" s="95"/>
      <c r="M85" s="13">
        <f>3447-2364</f>
        <v>1083</v>
      </c>
      <c r="N85" s="13">
        <f>12717-9695</f>
        <v>3022</v>
      </c>
      <c r="O85" s="13">
        <f t="shared" si="1"/>
        <v>4105</v>
      </c>
    </row>
    <row r="86" spans="1:15" ht="29.25">
      <c r="A86" s="284" t="s">
        <v>11</v>
      </c>
      <c r="B86" s="60" t="s">
        <v>851</v>
      </c>
      <c r="C86" s="60" t="s">
        <v>952</v>
      </c>
      <c r="D86" s="55"/>
      <c r="E86" s="55">
        <v>3</v>
      </c>
      <c r="F86" s="55" t="s">
        <v>243</v>
      </c>
      <c r="G86" s="55" t="s">
        <v>853</v>
      </c>
      <c r="H86" s="376" t="s">
        <v>953</v>
      </c>
      <c r="I86" s="55">
        <v>39844</v>
      </c>
      <c r="J86" s="4" t="s">
        <v>16</v>
      </c>
      <c r="K86" s="80">
        <v>3.2</v>
      </c>
      <c r="L86" s="95"/>
      <c r="M86" s="13">
        <f>10061-9070</f>
        <v>991</v>
      </c>
      <c r="N86" s="13">
        <f>41327-37308</f>
        <v>4019</v>
      </c>
      <c r="O86" s="13">
        <f t="shared" si="1"/>
        <v>5010</v>
      </c>
    </row>
    <row r="87" spans="1:15" ht="29.25">
      <c r="A87" s="284" t="s">
        <v>11</v>
      </c>
      <c r="B87" s="60" t="s">
        <v>851</v>
      </c>
      <c r="C87" s="60" t="s">
        <v>952</v>
      </c>
      <c r="D87" s="55"/>
      <c r="E87" s="55"/>
      <c r="F87" s="55" t="s">
        <v>243</v>
      </c>
      <c r="G87" s="55" t="s">
        <v>853</v>
      </c>
      <c r="H87" s="376" t="s">
        <v>954</v>
      </c>
      <c r="I87" s="55">
        <v>39845</v>
      </c>
      <c r="J87" s="4" t="s">
        <v>16</v>
      </c>
      <c r="K87" s="80">
        <v>6.6</v>
      </c>
      <c r="L87" s="95"/>
      <c r="M87" s="13">
        <f>7214-6229</f>
        <v>985</v>
      </c>
      <c r="N87" s="13">
        <f>29078-25275</f>
        <v>3803</v>
      </c>
      <c r="O87" s="13">
        <f t="shared" si="1"/>
        <v>4788</v>
      </c>
    </row>
    <row r="88" spans="1:15" ht="29.25">
      <c r="A88" s="284" t="s">
        <v>11</v>
      </c>
      <c r="B88" s="60" t="s">
        <v>851</v>
      </c>
      <c r="C88" s="60" t="s">
        <v>955</v>
      </c>
      <c r="D88" s="55"/>
      <c r="E88" s="55"/>
      <c r="F88" s="55" t="s">
        <v>243</v>
      </c>
      <c r="G88" s="55" t="s">
        <v>853</v>
      </c>
      <c r="H88" s="376" t="s">
        <v>956</v>
      </c>
      <c r="I88" s="55">
        <v>109316</v>
      </c>
      <c r="J88" s="4" t="s">
        <v>16</v>
      </c>
      <c r="K88" s="80">
        <v>2.2</v>
      </c>
      <c r="L88" s="95"/>
      <c r="M88" s="13">
        <f>2646-1808</f>
        <v>838</v>
      </c>
      <c r="N88" s="13">
        <f>11650-7830</f>
        <v>3820</v>
      </c>
      <c r="O88" s="13">
        <f t="shared" si="1"/>
        <v>4658</v>
      </c>
    </row>
    <row r="89" spans="1:15" ht="29.25">
      <c r="A89" s="284" t="s">
        <v>11</v>
      </c>
      <c r="B89" s="60" t="s">
        <v>851</v>
      </c>
      <c r="C89" s="60" t="s">
        <v>957</v>
      </c>
      <c r="D89" s="55"/>
      <c r="E89" s="55"/>
      <c r="F89" s="55" t="s">
        <v>243</v>
      </c>
      <c r="G89" s="55" t="s">
        <v>853</v>
      </c>
      <c r="H89" s="376" t="s">
        <v>958</v>
      </c>
      <c r="I89" s="55">
        <v>41331</v>
      </c>
      <c r="J89" s="4" t="s">
        <v>16</v>
      </c>
      <c r="K89" s="80">
        <v>2.2</v>
      </c>
      <c r="L89" s="95"/>
      <c r="M89" s="13">
        <f>4849-4316</f>
        <v>533</v>
      </c>
      <c r="N89" s="13">
        <f>8375-6397</f>
        <v>1978</v>
      </c>
      <c r="O89" s="13">
        <f t="shared" si="1"/>
        <v>2511</v>
      </c>
    </row>
    <row r="90" spans="1:15" ht="29.25">
      <c r="A90" s="284" t="s">
        <v>11</v>
      </c>
      <c r="B90" s="60" t="s">
        <v>851</v>
      </c>
      <c r="C90" s="60" t="s">
        <v>959</v>
      </c>
      <c r="D90" s="55" t="s">
        <v>421</v>
      </c>
      <c r="E90" s="55"/>
      <c r="F90" s="55" t="s">
        <v>243</v>
      </c>
      <c r="G90" s="55" t="s">
        <v>853</v>
      </c>
      <c r="H90" s="376" t="s">
        <v>960</v>
      </c>
      <c r="I90" s="55">
        <v>43074</v>
      </c>
      <c r="J90" s="4" t="s">
        <v>16</v>
      </c>
      <c r="K90" s="80">
        <v>0.3</v>
      </c>
      <c r="L90" s="95"/>
      <c r="M90" s="13">
        <f>1163-924</f>
        <v>239</v>
      </c>
      <c r="N90" s="13">
        <f>3515-2976</f>
        <v>539</v>
      </c>
      <c r="O90" s="13">
        <f t="shared" si="1"/>
        <v>778</v>
      </c>
    </row>
    <row r="91" spans="1:15" s="21" customFormat="1" ht="29.25">
      <c r="A91" s="284" t="s">
        <v>11</v>
      </c>
      <c r="B91" s="32" t="s">
        <v>851</v>
      </c>
      <c r="C91" s="32" t="s">
        <v>853</v>
      </c>
      <c r="D91" s="49" t="s">
        <v>961</v>
      </c>
      <c r="E91" s="49"/>
      <c r="F91" s="49" t="s">
        <v>243</v>
      </c>
      <c r="G91" s="49" t="s">
        <v>853</v>
      </c>
      <c r="H91" s="377" t="s">
        <v>1308</v>
      </c>
      <c r="I91" s="49">
        <v>103119</v>
      </c>
      <c r="J91" s="371" t="s">
        <v>16</v>
      </c>
      <c r="K91" s="372">
        <v>0.7</v>
      </c>
      <c r="L91" s="95"/>
      <c r="M91" s="162">
        <f>7292-6896</f>
        <v>396</v>
      </c>
      <c r="N91" s="162">
        <f>6576-4898</f>
        <v>1678</v>
      </c>
      <c r="O91" s="13">
        <f t="shared" si="1"/>
        <v>2074</v>
      </c>
    </row>
    <row r="92" spans="1:15" s="21" customFormat="1" ht="29.25">
      <c r="A92" s="284" t="s">
        <v>11</v>
      </c>
      <c r="B92" s="60" t="s">
        <v>851</v>
      </c>
      <c r="C92" s="27" t="s">
        <v>911</v>
      </c>
      <c r="D92" s="46"/>
      <c r="E92" s="46"/>
      <c r="F92" s="55" t="s">
        <v>243</v>
      </c>
      <c r="G92" s="55" t="s">
        <v>853</v>
      </c>
      <c r="H92" s="377" t="s">
        <v>1744</v>
      </c>
      <c r="I92" s="46">
        <v>103719</v>
      </c>
      <c r="J92" s="4" t="s">
        <v>16</v>
      </c>
      <c r="K92" s="106">
        <v>0.5</v>
      </c>
      <c r="L92" s="95"/>
      <c r="M92" s="30">
        <f>537-432</f>
        <v>105</v>
      </c>
      <c r="N92" s="30">
        <f>1351-867</f>
        <v>484</v>
      </c>
      <c r="O92" s="13">
        <f t="shared" si="1"/>
        <v>589</v>
      </c>
    </row>
    <row r="93" spans="1:15" s="21" customFormat="1" ht="29.25">
      <c r="A93" s="284" t="s">
        <v>11</v>
      </c>
      <c r="B93" s="32" t="s">
        <v>851</v>
      </c>
      <c r="C93" s="32" t="s">
        <v>1745</v>
      </c>
      <c r="D93" s="49"/>
      <c r="E93" s="46"/>
      <c r="F93" s="46" t="s">
        <v>243</v>
      </c>
      <c r="G93" s="46" t="s">
        <v>853</v>
      </c>
      <c r="H93" s="376" t="s">
        <v>1746</v>
      </c>
      <c r="I93" s="46">
        <v>45865</v>
      </c>
      <c r="J93" s="73" t="s">
        <v>16</v>
      </c>
      <c r="K93" s="106">
        <v>0.1</v>
      </c>
      <c r="L93" s="95"/>
      <c r="M93" s="30">
        <f>2843-2778</f>
        <v>65</v>
      </c>
      <c r="N93" s="30">
        <f>1724-1429</f>
        <v>295</v>
      </c>
      <c r="O93" s="13">
        <f t="shared" si="1"/>
        <v>360</v>
      </c>
    </row>
    <row r="94" spans="1:15" s="21" customFormat="1" ht="30" thickBot="1">
      <c r="A94" s="284" t="s">
        <v>11</v>
      </c>
      <c r="B94" s="32" t="s">
        <v>851</v>
      </c>
      <c r="C94" s="32" t="s">
        <v>883</v>
      </c>
      <c r="D94" s="49"/>
      <c r="E94" s="46"/>
      <c r="F94" s="49" t="s">
        <v>243</v>
      </c>
      <c r="G94" s="49" t="s">
        <v>853</v>
      </c>
      <c r="H94" s="377" t="s">
        <v>1748</v>
      </c>
      <c r="I94" s="46">
        <v>1494754</v>
      </c>
      <c r="J94" s="73" t="s">
        <v>16</v>
      </c>
      <c r="K94" s="106">
        <v>1</v>
      </c>
      <c r="L94" s="45"/>
      <c r="M94" s="30">
        <f>1792-1738</f>
        <v>54</v>
      </c>
      <c r="N94" s="30">
        <f>1318-1056</f>
        <v>262</v>
      </c>
      <c r="O94" s="458">
        <f t="shared" si="1"/>
        <v>316</v>
      </c>
    </row>
    <row r="95" spans="2:15" ht="24.75" customHeight="1">
      <c r="B95" s="536" t="s">
        <v>155</v>
      </c>
      <c r="C95" s="295" t="s">
        <v>1390</v>
      </c>
      <c r="D95" s="66"/>
      <c r="F95" s="538" t="s">
        <v>2097</v>
      </c>
      <c r="G95" s="575" t="s">
        <v>1969</v>
      </c>
      <c r="H95" s="477"/>
      <c r="N95" s="53" t="s">
        <v>156</v>
      </c>
      <c r="O95" s="349">
        <f>SUM(O18:O94)</f>
        <v>310411</v>
      </c>
    </row>
    <row r="96" spans="2:8" ht="15">
      <c r="B96" s="279"/>
      <c r="C96" s="76" t="s">
        <v>1391</v>
      </c>
      <c r="D96" s="69"/>
      <c r="F96" s="36"/>
      <c r="G96" s="576" t="s">
        <v>2065</v>
      </c>
      <c r="H96" s="468"/>
    </row>
    <row r="97" spans="2:15" ht="15.75" thickBot="1">
      <c r="B97" s="279"/>
      <c r="C97" s="308" t="s">
        <v>962</v>
      </c>
      <c r="D97" s="69"/>
      <c r="F97" s="39"/>
      <c r="G97" s="619" t="s">
        <v>962</v>
      </c>
      <c r="H97" s="469"/>
      <c r="I97" s="31"/>
      <c r="J97" s="86"/>
      <c r="K97" s="262"/>
      <c r="L97" s="31"/>
      <c r="M97" s="154"/>
      <c r="N97" s="154"/>
      <c r="O97" s="154"/>
    </row>
    <row r="98" spans="2:15" ht="15">
      <c r="B98" s="279" t="s">
        <v>1670</v>
      </c>
      <c r="C98" s="554" t="s">
        <v>1975</v>
      </c>
      <c r="D98" s="69"/>
      <c r="I98" s="31"/>
      <c r="J98" s="86"/>
      <c r="K98" s="262"/>
      <c r="L98" s="239" t="s">
        <v>160</v>
      </c>
      <c r="M98" s="154">
        <f>O95</f>
        <v>310411</v>
      </c>
      <c r="N98" s="154"/>
      <c r="O98" s="154"/>
    </row>
    <row r="99" spans="2:15" ht="15.75" thickBot="1">
      <c r="B99" s="238" t="s">
        <v>1674</v>
      </c>
      <c r="C99" s="70" t="s">
        <v>1715</v>
      </c>
      <c r="D99" s="212"/>
      <c r="I99" s="31"/>
      <c r="J99" s="86"/>
      <c r="K99" s="262"/>
      <c r="L99" s="31"/>
      <c r="M99" s="154"/>
      <c r="N99" s="154"/>
      <c r="O99" s="154"/>
    </row>
    <row r="100" spans="9:15" ht="44.25" customHeight="1">
      <c r="I100" s="31"/>
      <c r="J100" s="86"/>
      <c r="K100" s="757" t="s">
        <v>157</v>
      </c>
      <c r="L100" s="706" t="s">
        <v>1034</v>
      </c>
      <c r="M100" s="707"/>
      <c r="N100" s="708"/>
      <c r="O100" s="743" t="s">
        <v>158</v>
      </c>
    </row>
    <row r="101" spans="9:15" ht="21.75" customHeight="1" thickBot="1">
      <c r="I101" s="31"/>
      <c r="J101" s="86"/>
      <c r="K101" s="758"/>
      <c r="L101" s="128" t="s">
        <v>159</v>
      </c>
      <c r="M101" s="128" t="s">
        <v>1035</v>
      </c>
      <c r="N101" s="128" t="s">
        <v>1036</v>
      </c>
      <c r="O101" s="744"/>
    </row>
    <row r="102" spans="9:15" ht="15" thickBot="1">
      <c r="I102" s="31"/>
      <c r="J102" s="86"/>
      <c r="K102" s="55" t="s">
        <v>16</v>
      </c>
      <c r="L102" s="57"/>
      <c r="M102" s="14">
        <f>SUM(M18:M94)</f>
        <v>62344</v>
      </c>
      <c r="N102" s="14">
        <f>SUM(N18:N94)</f>
        <v>248067</v>
      </c>
      <c r="O102" s="14">
        <v>77</v>
      </c>
    </row>
    <row r="103" spans="9:15" ht="15" thickBot="1">
      <c r="I103" s="31"/>
      <c r="J103" s="86"/>
      <c r="K103" s="339" t="s">
        <v>160</v>
      </c>
      <c r="L103" s="133">
        <f>SUM(L102:L102)</f>
        <v>0</v>
      </c>
      <c r="M103" s="18">
        <f>SUM(M102:M102)</f>
        <v>62344</v>
      </c>
      <c r="N103" s="15">
        <f>SUM(N102:N102)</f>
        <v>248067</v>
      </c>
      <c r="O103" s="428">
        <f>SUM(O102:O102)</f>
        <v>77</v>
      </c>
    </row>
    <row r="104" spans="9:13" ht="18.75" thickBot="1">
      <c r="I104" s="31"/>
      <c r="J104" s="31"/>
      <c r="K104"/>
      <c r="L104" s="20" t="s">
        <v>161</v>
      </c>
      <c r="M104" s="338">
        <f>SUM(L103:N103)</f>
        <v>310411</v>
      </c>
    </row>
    <row r="105" spans="9:15" ht="14.25">
      <c r="I105" s="31"/>
      <c r="J105" s="31"/>
      <c r="K105" s="262"/>
      <c r="L105" s="31"/>
      <c r="M105" s="154"/>
      <c r="N105" s="154"/>
      <c r="O105" s="154"/>
    </row>
    <row r="106" spans="9:15" ht="14.25">
      <c r="I106" s="31"/>
      <c r="J106" s="31"/>
      <c r="K106" s="262"/>
      <c r="L106" s="31"/>
      <c r="M106" s="154"/>
      <c r="N106" s="154"/>
      <c r="O106" s="154"/>
    </row>
    <row r="107" ht="14.25">
      <c r="J107"/>
    </row>
    <row r="108" ht="14.25">
      <c r="J108"/>
    </row>
  </sheetData>
  <sheetProtection/>
  <mergeCells count="19">
    <mergeCell ref="I15:I17"/>
    <mergeCell ref="K100:K101"/>
    <mergeCell ref="L100:N100"/>
    <mergeCell ref="A15:A17"/>
    <mergeCell ref="B15:B17"/>
    <mergeCell ref="C15:C17"/>
    <mergeCell ref="D15:D17"/>
    <mergeCell ref="F15:F17"/>
    <mergeCell ref="G15:G17"/>
    <mergeCell ref="B3:I3"/>
    <mergeCell ref="B5:I5"/>
    <mergeCell ref="L16:O16"/>
    <mergeCell ref="H15:H17"/>
    <mergeCell ref="B1:K1"/>
    <mergeCell ref="O100:O101"/>
    <mergeCell ref="J15:J17"/>
    <mergeCell ref="K15:K17"/>
    <mergeCell ref="L15:O15"/>
    <mergeCell ref="E15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2"/>
  <sheetViews>
    <sheetView zoomScale="80" zoomScaleNormal="80" zoomScalePageLayoutView="0" workbookViewId="0" topLeftCell="A70">
      <selection activeCell="B7" sqref="B7:B8"/>
    </sheetView>
  </sheetViews>
  <sheetFormatPr defaultColWidth="8.796875" defaultRowHeight="14.25"/>
  <cols>
    <col min="1" max="1" width="13.09765625" style="0" customWidth="1"/>
    <col min="2" max="2" width="14" style="0" customWidth="1"/>
    <col min="3" max="3" width="13.19921875" style="0" customWidth="1"/>
    <col min="7" max="7" width="11.59765625" style="0" customWidth="1"/>
    <col min="8" max="8" width="28.59765625" style="0" customWidth="1"/>
    <col min="9" max="9" width="17.19921875" style="0" customWidth="1"/>
    <col min="10" max="10" width="12.8984375" style="0" customWidth="1"/>
    <col min="11" max="11" width="14.5" style="0" customWidth="1"/>
    <col min="12" max="12" width="13.8984375" style="0" customWidth="1"/>
    <col min="13" max="13" width="14.3984375" style="0" customWidth="1"/>
    <col min="14" max="14" width="19.09765625" style="0" customWidth="1"/>
    <col min="15" max="15" width="16.3984375" style="0" customWidth="1"/>
    <col min="16" max="16" width="12.69921875" style="0" customWidth="1"/>
    <col min="17" max="17" width="14.5" style="0" customWidth="1"/>
    <col min="18" max="19" width="14" style="0" customWidth="1"/>
    <col min="20" max="21" width="22.19921875" style="0" customWidth="1"/>
  </cols>
  <sheetData>
    <row r="1" spans="2:11" ht="27" customHeight="1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1" ht="15">
      <c r="B2" s="220"/>
      <c r="C2" s="220"/>
      <c r="D2" s="220"/>
      <c r="E2" s="220"/>
      <c r="F2" s="220"/>
      <c r="G2" s="220"/>
      <c r="H2" s="222"/>
      <c r="I2" s="220"/>
      <c r="J2" s="220"/>
      <c r="K2" s="220"/>
    </row>
    <row r="3" spans="2:11" ht="27" customHeight="1">
      <c r="B3" s="740" t="s">
        <v>1047</v>
      </c>
      <c r="C3" s="741"/>
      <c r="D3" s="741"/>
      <c r="E3" s="741"/>
      <c r="F3" s="741"/>
      <c r="G3" s="741"/>
      <c r="H3" s="741"/>
      <c r="I3" s="742"/>
      <c r="J3" s="220"/>
      <c r="K3" s="220"/>
    </row>
    <row r="4" spans="2:11" ht="15">
      <c r="B4" s="221"/>
      <c r="C4" s="221"/>
      <c r="D4" s="221"/>
      <c r="E4" s="221"/>
      <c r="F4" s="221"/>
      <c r="G4" s="221"/>
      <c r="H4" s="222"/>
      <c r="I4" s="220"/>
      <c r="J4" s="220"/>
      <c r="K4" s="220"/>
    </row>
    <row r="5" spans="2:11" ht="15">
      <c r="B5" s="736" t="s">
        <v>1029</v>
      </c>
      <c r="C5" s="736"/>
      <c r="D5" s="736"/>
      <c r="E5" s="736"/>
      <c r="F5" s="736"/>
      <c r="G5" s="736"/>
      <c r="H5" s="736"/>
      <c r="I5" s="736"/>
      <c r="J5" s="220"/>
      <c r="K5" s="220"/>
    </row>
    <row r="6" spans="2:11" ht="15">
      <c r="B6" s="221"/>
      <c r="C6" s="221"/>
      <c r="D6" s="221"/>
      <c r="E6" s="221"/>
      <c r="F6" s="221"/>
      <c r="G6" s="221"/>
      <c r="H6" s="222"/>
      <c r="I6" s="220"/>
      <c r="J6" s="220"/>
      <c r="K6" s="220"/>
    </row>
    <row r="7" spans="2:11" ht="15.75">
      <c r="B7" s="502" t="s">
        <v>967</v>
      </c>
      <c r="C7" s="220"/>
      <c r="D7" s="221"/>
      <c r="E7" s="221"/>
      <c r="F7" s="221"/>
      <c r="G7" s="220"/>
      <c r="H7" s="222"/>
      <c r="I7" s="220"/>
      <c r="J7" s="220"/>
      <c r="K7" s="220"/>
    </row>
    <row r="8" spans="2:11" ht="15.75">
      <c r="B8" s="502" t="s">
        <v>2098</v>
      </c>
      <c r="C8" s="220"/>
      <c r="D8" s="221"/>
      <c r="E8" s="221"/>
      <c r="F8" s="221"/>
      <c r="G8" s="220"/>
      <c r="H8" s="222"/>
      <c r="I8" s="220"/>
      <c r="J8" s="220"/>
      <c r="K8" s="220"/>
    </row>
    <row r="9" spans="2:11" ht="15.75">
      <c r="B9" s="224" t="s">
        <v>2087</v>
      </c>
      <c r="C9" s="220"/>
      <c r="D9" s="225"/>
      <c r="E9" s="221"/>
      <c r="F9" s="221"/>
      <c r="G9" s="220"/>
      <c r="H9" s="222"/>
      <c r="I9" s="220"/>
      <c r="J9" s="220"/>
      <c r="K9" s="220"/>
    </row>
    <row r="10" spans="2:11" ht="15.75">
      <c r="B10" s="224" t="s">
        <v>1663</v>
      </c>
      <c r="C10" s="220"/>
      <c r="D10" s="225"/>
      <c r="E10" s="221"/>
      <c r="F10" s="221"/>
      <c r="G10" s="220"/>
      <c r="H10" s="222"/>
      <c r="I10" s="220"/>
      <c r="J10" s="220"/>
      <c r="K10" s="220"/>
    </row>
    <row r="11" spans="2:11" ht="15">
      <c r="B11" s="220" t="s">
        <v>1046</v>
      </c>
      <c r="C11" s="220"/>
      <c r="D11" s="220"/>
      <c r="E11" s="220"/>
      <c r="F11" s="220"/>
      <c r="G11" s="220"/>
      <c r="H11" s="222"/>
      <c r="I11" s="220"/>
      <c r="J11" s="220"/>
      <c r="K11" s="220"/>
    </row>
    <row r="12" spans="2:11" ht="15.75">
      <c r="B12" s="226"/>
      <c r="C12" s="227"/>
      <c r="D12" s="225"/>
      <c r="E12" s="225"/>
      <c r="F12" s="225"/>
      <c r="G12" s="225"/>
      <c r="H12" s="220"/>
      <c r="I12" s="220"/>
      <c r="J12" s="220"/>
      <c r="K12" s="220"/>
    </row>
    <row r="13" spans="2:11" ht="15.75">
      <c r="B13" s="226" t="s">
        <v>1032</v>
      </c>
      <c r="C13" s="223" t="s">
        <v>1033</v>
      </c>
      <c r="D13" s="225"/>
      <c r="E13" s="225"/>
      <c r="F13" s="225"/>
      <c r="G13" s="225"/>
      <c r="H13" s="220"/>
      <c r="I13" s="220"/>
      <c r="J13" s="220"/>
      <c r="K13" s="220"/>
    </row>
    <row r="14" spans="2:9" ht="21" thickBot="1">
      <c r="B14" s="126"/>
      <c r="C14" s="113"/>
      <c r="D14" s="31"/>
      <c r="E14" s="31"/>
      <c r="F14" s="31"/>
      <c r="G14" s="31"/>
      <c r="H14" s="114"/>
      <c r="I14" s="114"/>
    </row>
    <row r="15" spans="1:15" ht="51.7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9.5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30.7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499" t="s">
        <v>10</v>
      </c>
    </row>
    <row r="18" spans="1:17" ht="28.5">
      <c r="A18" s="274" t="s">
        <v>11</v>
      </c>
      <c r="B18" s="138" t="s">
        <v>12</v>
      </c>
      <c r="C18" s="139" t="s">
        <v>970</v>
      </c>
      <c r="D18" s="52"/>
      <c r="E18" s="140"/>
      <c r="F18" s="140" t="s">
        <v>969</v>
      </c>
      <c r="G18" s="140" t="s">
        <v>968</v>
      </c>
      <c r="H18" s="405" t="s">
        <v>1333</v>
      </c>
      <c r="I18" s="138">
        <v>1001372</v>
      </c>
      <c r="J18" s="140" t="s">
        <v>16</v>
      </c>
      <c r="K18" s="141">
        <v>0.5</v>
      </c>
      <c r="L18" s="429"/>
      <c r="M18" s="430">
        <f>3116-2597</f>
        <v>519</v>
      </c>
      <c r="N18" s="430">
        <f>12747-10724</f>
        <v>2023</v>
      </c>
      <c r="O18" s="118">
        <f>M18+N18</f>
        <v>2542</v>
      </c>
      <c r="P18" s="2"/>
      <c r="Q18" s="2"/>
    </row>
    <row r="19" spans="1:17" ht="28.5">
      <c r="A19" s="274" t="s">
        <v>11</v>
      </c>
      <c r="B19" s="60" t="s">
        <v>12</v>
      </c>
      <c r="C19" s="137" t="s">
        <v>970</v>
      </c>
      <c r="D19" s="55"/>
      <c r="E19" s="115"/>
      <c r="F19" s="115" t="s">
        <v>969</v>
      </c>
      <c r="G19" s="115" t="s">
        <v>968</v>
      </c>
      <c r="H19" s="406" t="s">
        <v>1334</v>
      </c>
      <c r="I19" s="60">
        <v>103006</v>
      </c>
      <c r="J19" s="115" t="s">
        <v>16</v>
      </c>
      <c r="K19" s="116">
        <v>0.7</v>
      </c>
      <c r="L19" s="117"/>
      <c r="M19" s="118">
        <f>2909-2359</f>
        <v>550</v>
      </c>
      <c r="N19" s="118">
        <f>13222-10534</f>
        <v>2688</v>
      </c>
      <c r="O19" s="118">
        <f aca="true" t="shared" si="0" ref="O19:O62">M19+N19</f>
        <v>3238</v>
      </c>
      <c r="P19" s="2"/>
      <c r="Q19" s="2"/>
    </row>
    <row r="20" spans="1:17" ht="28.5">
      <c r="A20" s="274" t="s">
        <v>11</v>
      </c>
      <c r="B20" s="60" t="s">
        <v>12</v>
      </c>
      <c r="C20" s="137" t="s">
        <v>971</v>
      </c>
      <c r="D20" s="55"/>
      <c r="E20" s="115"/>
      <c r="F20" s="115" t="s">
        <v>969</v>
      </c>
      <c r="G20" s="115" t="s">
        <v>968</v>
      </c>
      <c r="H20" s="405" t="s">
        <v>1335</v>
      </c>
      <c r="I20" s="60">
        <v>108448</v>
      </c>
      <c r="J20" s="115" t="s">
        <v>16</v>
      </c>
      <c r="K20" s="116">
        <v>0.7</v>
      </c>
      <c r="L20" s="142"/>
      <c r="M20" s="118">
        <f>3074-2488</f>
        <v>586</v>
      </c>
      <c r="N20" s="118">
        <f>12322-9816</f>
        <v>2506</v>
      </c>
      <c r="O20" s="118">
        <f t="shared" si="0"/>
        <v>3092</v>
      </c>
      <c r="P20" s="2"/>
      <c r="Q20" s="2"/>
    </row>
    <row r="21" spans="1:17" ht="28.5">
      <c r="A21" s="274" t="s">
        <v>11</v>
      </c>
      <c r="B21" s="60" t="s">
        <v>12</v>
      </c>
      <c r="C21" s="137" t="s">
        <v>971</v>
      </c>
      <c r="D21" s="55"/>
      <c r="E21" s="115"/>
      <c r="F21" s="115" t="s">
        <v>969</v>
      </c>
      <c r="G21" s="115" t="s">
        <v>968</v>
      </c>
      <c r="H21" s="406" t="s">
        <v>1336</v>
      </c>
      <c r="I21" s="60">
        <v>101527</v>
      </c>
      <c r="J21" s="115" t="s">
        <v>16</v>
      </c>
      <c r="K21" s="116">
        <v>0.7</v>
      </c>
      <c r="L21" s="117"/>
      <c r="M21" s="118">
        <f>2751-2355</f>
        <v>396</v>
      </c>
      <c r="N21" s="118">
        <f>12987-10407</f>
        <v>2580</v>
      </c>
      <c r="O21" s="118">
        <f t="shared" si="0"/>
        <v>2976</v>
      </c>
      <c r="P21" s="2"/>
      <c r="Q21" s="2"/>
    </row>
    <row r="22" spans="1:17" ht="28.5">
      <c r="A22" s="274" t="s">
        <v>11</v>
      </c>
      <c r="B22" s="60" t="s">
        <v>12</v>
      </c>
      <c r="C22" s="137" t="s">
        <v>972</v>
      </c>
      <c r="D22" s="55"/>
      <c r="E22" s="115"/>
      <c r="F22" s="115" t="s">
        <v>969</v>
      </c>
      <c r="G22" s="115" t="s">
        <v>968</v>
      </c>
      <c r="H22" s="405" t="s">
        <v>1337</v>
      </c>
      <c r="I22" s="60">
        <v>102566</v>
      </c>
      <c r="J22" s="115" t="s">
        <v>16</v>
      </c>
      <c r="K22" s="116">
        <v>1.3</v>
      </c>
      <c r="L22" s="142"/>
      <c r="M22" s="118">
        <f>7562-6058</f>
        <v>1504</v>
      </c>
      <c r="N22" s="118">
        <f>32248-26197</f>
        <v>6051</v>
      </c>
      <c r="O22" s="118">
        <f t="shared" si="0"/>
        <v>7555</v>
      </c>
      <c r="P22" s="2"/>
      <c r="Q22" s="2"/>
    </row>
    <row r="23" spans="1:17" ht="28.5">
      <c r="A23" s="274" t="s">
        <v>11</v>
      </c>
      <c r="B23" s="60" t="s">
        <v>12</v>
      </c>
      <c r="C23" s="137" t="s">
        <v>972</v>
      </c>
      <c r="D23" s="55"/>
      <c r="E23" s="115"/>
      <c r="F23" s="115" t="s">
        <v>969</v>
      </c>
      <c r="G23" s="115" t="s">
        <v>968</v>
      </c>
      <c r="H23" s="406" t="s">
        <v>1338</v>
      </c>
      <c r="I23" s="60">
        <v>41357</v>
      </c>
      <c r="J23" s="115" t="s">
        <v>16</v>
      </c>
      <c r="K23" s="116">
        <v>1.8</v>
      </c>
      <c r="L23" s="117"/>
      <c r="M23" s="118">
        <f>14096-12294</f>
        <v>1802</v>
      </c>
      <c r="N23" s="118">
        <f>43211-36868</f>
        <v>6343</v>
      </c>
      <c r="O23" s="118">
        <f t="shared" si="0"/>
        <v>8145</v>
      </c>
      <c r="P23" s="2"/>
      <c r="Q23" s="2"/>
    </row>
    <row r="24" spans="1:17" ht="28.5">
      <c r="A24" s="274" t="s">
        <v>11</v>
      </c>
      <c r="B24" s="60" t="s">
        <v>12</v>
      </c>
      <c r="C24" s="137" t="s">
        <v>973</v>
      </c>
      <c r="D24" s="55"/>
      <c r="E24" s="115"/>
      <c r="F24" s="115" t="s">
        <v>969</v>
      </c>
      <c r="G24" s="115" t="s">
        <v>968</v>
      </c>
      <c r="H24" s="405" t="s">
        <v>1339</v>
      </c>
      <c r="I24" s="60">
        <v>41354</v>
      </c>
      <c r="J24" s="115" t="s">
        <v>16</v>
      </c>
      <c r="K24" s="116">
        <v>1.3</v>
      </c>
      <c r="L24" s="142"/>
      <c r="M24" s="118">
        <f>9588-8491</f>
        <v>1097</v>
      </c>
      <c r="N24" s="118">
        <f>30682-26267</f>
        <v>4415</v>
      </c>
      <c r="O24" s="118">
        <f t="shared" si="0"/>
        <v>5512</v>
      </c>
      <c r="P24" s="2"/>
      <c r="Q24" s="2"/>
    </row>
    <row r="25" spans="1:17" ht="28.5">
      <c r="A25" s="274" t="s">
        <v>11</v>
      </c>
      <c r="B25" s="60" t="s">
        <v>12</v>
      </c>
      <c r="C25" s="137" t="s">
        <v>974</v>
      </c>
      <c r="D25" s="55"/>
      <c r="E25" s="115"/>
      <c r="F25" s="115" t="s">
        <v>969</v>
      </c>
      <c r="G25" s="115" t="s">
        <v>968</v>
      </c>
      <c r="H25" s="406" t="s">
        <v>1371</v>
      </c>
      <c r="I25" s="60">
        <v>101825</v>
      </c>
      <c r="J25" s="115" t="s">
        <v>16</v>
      </c>
      <c r="K25" s="116">
        <v>1.4</v>
      </c>
      <c r="L25" s="117"/>
      <c r="M25" s="118">
        <f>5410-4366</f>
        <v>1044</v>
      </c>
      <c r="N25" s="118">
        <f>23744-19111</f>
        <v>4633</v>
      </c>
      <c r="O25" s="118">
        <f t="shared" si="0"/>
        <v>5677</v>
      </c>
      <c r="P25" s="2"/>
      <c r="Q25" s="2"/>
    </row>
    <row r="26" spans="1:17" ht="28.5">
      <c r="A26" s="274" t="s">
        <v>11</v>
      </c>
      <c r="B26" s="60" t="s">
        <v>12</v>
      </c>
      <c r="C26" s="137" t="s">
        <v>974</v>
      </c>
      <c r="D26" s="55"/>
      <c r="E26" s="115" t="s">
        <v>878</v>
      </c>
      <c r="F26" s="115" t="s">
        <v>969</v>
      </c>
      <c r="G26" s="115" t="s">
        <v>968</v>
      </c>
      <c r="H26" s="405" t="s">
        <v>1372</v>
      </c>
      <c r="I26" s="60">
        <v>101524</v>
      </c>
      <c r="J26" s="115" t="s">
        <v>16</v>
      </c>
      <c r="K26" s="116">
        <v>1.3</v>
      </c>
      <c r="L26" s="142"/>
      <c r="M26" s="118">
        <f>6040-4822</f>
        <v>1218</v>
      </c>
      <c r="N26" s="118">
        <f>25697-20372</f>
        <v>5325</v>
      </c>
      <c r="O26" s="118">
        <f t="shared" si="0"/>
        <v>6543</v>
      </c>
      <c r="P26" s="2"/>
      <c r="Q26" s="2"/>
    </row>
    <row r="27" spans="1:17" ht="28.5">
      <c r="A27" s="274" t="s">
        <v>11</v>
      </c>
      <c r="B27" s="60" t="s">
        <v>12</v>
      </c>
      <c r="C27" s="137" t="s">
        <v>974</v>
      </c>
      <c r="D27" s="55"/>
      <c r="E27" s="115"/>
      <c r="F27" s="115" t="s">
        <v>969</v>
      </c>
      <c r="G27" s="115" t="s">
        <v>968</v>
      </c>
      <c r="H27" s="406" t="s">
        <v>1373</v>
      </c>
      <c r="I27" s="60">
        <v>103003</v>
      </c>
      <c r="J27" s="115" t="s">
        <v>16</v>
      </c>
      <c r="K27" s="116">
        <v>1</v>
      </c>
      <c r="L27" s="117"/>
      <c r="M27" s="118">
        <f>4003-3241</f>
        <v>762</v>
      </c>
      <c r="N27" s="118">
        <f>17241-13660</f>
        <v>3581</v>
      </c>
      <c r="O27" s="118">
        <f t="shared" si="0"/>
        <v>4343</v>
      </c>
      <c r="P27" s="2"/>
      <c r="Q27" s="2"/>
    </row>
    <row r="28" spans="1:17" ht="28.5">
      <c r="A28" s="274" t="s">
        <v>11</v>
      </c>
      <c r="B28" s="60" t="s">
        <v>12</v>
      </c>
      <c r="C28" s="137" t="s">
        <v>975</v>
      </c>
      <c r="D28" s="55"/>
      <c r="E28" s="115"/>
      <c r="F28" s="115" t="s">
        <v>969</v>
      </c>
      <c r="G28" s="115" t="s">
        <v>968</v>
      </c>
      <c r="H28" s="405" t="s">
        <v>1374</v>
      </c>
      <c r="I28" s="60">
        <v>103001</v>
      </c>
      <c r="J28" s="115" t="s">
        <v>16</v>
      </c>
      <c r="K28" s="116">
        <v>0.3</v>
      </c>
      <c r="L28" s="142"/>
      <c r="M28" s="118">
        <f>1536-1272</f>
        <v>264</v>
      </c>
      <c r="N28" s="118">
        <f>6300-5108</f>
        <v>1192</v>
      </c>
      <c r="O28" s="118">
        <f t="shared" si="0"/>
        <v>1456</v>
      </c>
      <c r="P28" s="2"/>
      <c r="Q28" s="2"/>
    </row>
    <row r="29" spans="1:17" ht="28.5">
      <c r="A29" s="274" t="s">
        <v>11</v>
      </c>
      <c r="B29" s="60" t="s">
        <v>12</v>
      </c>
      <c r="C29" s="137" t="s">
        <v>976</v>
      </c>
      <c r="D29" s="55"/>
      <c r="E29" s="115"/>
      <c r="F29" s="115" t="s">
        <v>969</v>
      </c>
      <c r="G29" s="115" t="s">
        <v>968</v>
      </c>
      <c r="H29" s="406" t="s">
        <v>1375</v>
      </c>
      <c r="I29" s="60">
        <v>41670</v>
      </c>
      <c r="J29" s="115" t="s">
        <v>16</v>
      </c>
      <c r="K29" s="116">
        <v>0.4</v>
      </c>
      <c r="L29" s="117"/>
      <c r="M29" s="118">
        <f>3870-3409</f>
        <v>461</v>
      </c>
      <c r="N29" s="118">
        <f>11566-10390</f>
        <v>1176</v>
      </c>
      <c r="O29" s="118">
        <f t="shared" si="0"/>
        <v>1637</v>
      </c>
      <c r="P29" s="2"/>
      <c r="Q29" s="2"/>
    </row>
    <row r="30" spans="1:17" ht="28.5">
      <c r="A30" s="274" t="s">
        <v>11</v>
      </c>
      <c r="B30" s="60" t="s">
        <v>12</v>
      </c>
      <c r="C30" s="137" t="s">
        <v>384</v>
      </c>
      <c r="D30" s="55"/>
      <c r="E30" s="115"/>
      <c r="F30" s="115" t="s">
        <v>969</v>
      </c>
      <c r="G30" s="115" t="s">
        <v>968</v>
      </c>
      <c r="H30" s="405" t="s">
        <v>1376</v>
      </c>
      <c r="I30" s="60">
        <v>41358</v>
      </c>
      <c r="J30" s="115" t="s">
        <v>16</v>
      </c>
      <c r="K30" s="116">
        <v>0.5</v>
      </c>
      <c r="L30" s="142"/>
      <c r="M30" s="118">
        <f>3873-3358</f>
        <v>515</v>
      </c>
      <c r="N30" s="118">
        <f>11727-10024</f>
        <v>1703</v>
      </c>
      <c r="O30" s="118">
        <f t="shared" si="0"/>
        <v>2218</v>
      </c>
      <c r="P30" s="2"/>
      <c r="Q30" s="2"/>
    </row>
    <row r="31" spans="1:17" ht="28.5">
      <c r="A31" s="274" t="s">
        <v>11</v>
      </c>
      <c r="B31" s="60" t="s">
        <v>12</v>
      </c>
      <c r="C31" s="137" t="s">
        <v>977</v>
      </c>
      <c r="D31" s="55"/>
      <c r="E31" s="115"/>
      <c r="F31" s="115" t="s">
        <v>969</v>
      </c>
      <c r="G31" s="115" t="s">
        <v>968</v>
      </c>
      <c r="H31" s="406" t="s">
        <v>1377</v>
      </c>
      <c r="I31" s="60">
        <v>101822</v>
      </c>
      <c r="J31" s="115" t="s">
        <v>16</v>
      </c>
      <c r="K31" s="116">
        <v>0.4</v>
      </c>
      <c r="L31" s="117"/>
      <c r="M31" s="118">
        <f>5622-3963</f>
        <v>1659</v>
      </c>
      <c r="N31" s="118">
        <f>22926-16786</f>
        <v>6140</v>
      </c>
      <c r="O31" s="118">
        <f t="shared" si="0"/>
        <v>7799</v>
      </c>
      <c r="P31" s="2"/>
      <c r="Q31" s="2"/>
    </row>
    <row r="32" spans="1:17" ht="28.5">
      <c r="A32" s="274" t="s">
        <v>11</v>
      </c>
      <c r="B32" s="60" t="s">
        <v>12</v>
      </c>
      <c r="C32" s="137" t="s">
        <v>976</v>
      </c>
      <c r="D32" s="55"/>
      <c r="E32" s="115"/>
      <c r="F32" s="115" t="s">
        <v>969</v>
      </c>
      <c r="G32" s="115" t="s">
        <v>968</v>
      </c>
      <c r="H32" s="405" t="s">
        <v>1378</v>
      </c>
      <c r="I32" s="60">
        <v>41360</v>
      </c>
      <c r="J32" s="115" t="s">
        <v>16</v>
      </c>
      <c r="K32" s="116">
        <v>0.2</v>
      </c>
      <c r="L32" s="142"/>
      <c r="M32" s="118">
        <f>1222-1084</f>
        <v>138</v>
      </c>
      <c r="N32" s="118">
        <f>3912-3384</f>
        <v>528</v>
      </c>
      <c r="O32" s="118">
        <f t="shared" si="0"/>
        <v>666</v>
      </c>
      <c r="P32" s="2"/>
      <c r="Q32" s="2"/>
    </row>
    <row r="33" spans="1:17" ht="28.5">
      <c r="A33" s="274" t="s">
        <v>11</v>
      </c>
      <c r="B33" s="60" t="s">
        <v>12</v>
      </c>
      <c r="C33" s="137" t="s">
        <v>978</v>
      </c>
      <c r="D33" s="55"/>
      <c r="E33" s="115"/>
      <c r="F33" s="115" t="s">
        <v>969</v>
      </c>
      <c r="G33" s="115" t="s">
        <v>968</v>
      </c>
      <c r="H33" s="406" t="s">
        <v>1379</v>
      </c>
      <c r="I33" s="60">
        <v>101826</v>
      </c>
      <c r="J33" s="115" t="s">
        <v>16</v>
      </c>
      <c r="K33" s="116">
        <v>1</v>
      </c>
      <c r="L33" s="117"/>
      <c r="M33" s="118">
        <f>5611-4370</f>
        <v>1241</v>
      </c>
      <c r="N33" s="118">
        <f>23838-18256</f>
        <v>5582</v>
      </c>
      <c r="O33" s="118">
        <f t="shared" si="0"/>
        <v>6823</v>
      </c>
      <c r="P33" s="2"/>
      <c r="Q33" s="2"/>
    </row>
    <row r="34" spans="1:17" ht="28.5">
      <c r="A34" s="274" t="s">
        <v>11</v>
      </c>
      <c r="B34" s="60" t="s">
        <v>12</v>
      </c>
      <c r="C34" s="137" t="s">
        <v>979</v>
      </c>
      <c r="D34" s="55"/>
      <c r="E34" s="115"/>
      <c r="F34" s="115" t="s">
        <v>969</v>
      </c>
      <c r="G34" s="115" t="s">
        <v>968</v>
      </c>
      <c r="H34" s="405" t="s">
        <v>1380</v>
      </c>
      <c r="I34" s="60">
        <v>103000</v>
      </c>
      <c r="J34" s="115" t="s">
        <v>16</v>
      </c>
      <c r="K34" s="116">
        <v>0.9</v>
      </c>
      <c r="L34" s="142"/>
      <c r="M34" s="118">
        <f>6173-4990</f>
        <v>1183</v>
      </c>
      <c r="N34" s="118">
        <f>25814-20891</f>
        <v>4923</v>
      </c>
      <c r="O34" s="118">
        <f t="shared" si="0"/>
        <v>6106</v>
      </c>
      <c r="P34" s="2"/>
      <c r="Q34" s="2"/>
    </row>
    <row r="35" spans="1:17" ht="28.5">
      <c r="A35" s="274" t="s">
        <v>11</v>
      </c>
      <c r="B35" s="60" t="s">
        <v>12</v>
      </c>
      <c r="C35" s="137" t="s">
        <v>979</v>
      </c>
      <c r="D35" s="55"/>
      <c r="E35" s="115"/>
      <c r="F35" s="115" t="s">
        <v>969</v>
      </c>
      <c r="G35" s="115" t="s">
        <v>968</v>
      </c>
      <c r="H35" s="406" t="s">
        <v>1381</v>
      </c>
      <c r="I35" s="60">
        <v>103009</v>
      </c>
      <c r="J35" s="115" t="s">
        <v>16</v>
      </c>
      <c r="K35" s="116">
        <v>0.8</v>
      </c>
      <c r="L35" s="117"/>
      <c r="M35" s="118">
        <f>3226-2603</f>
        <v>623</v>
      </c>
      <c r="N35" s="118">
        <f>13764-11142</f>
        <v>2622</v>
      </c>
      <c r="O35" s="118">
        <f t="shared" si="0"/>
        <v>3245</v>
      </c>
      <c r="P35" s="2"/>
      <c r="Q35" s="2"/>
    </row>
    <row r="36" spans="1:17" ht="28.5">
      <c r="A36" s="274" t="s">
        <v>11</v>
      </c>
      <c r="B36" s="60" t="s">
        <v>12</v>
      </c>
      <c r="C36" s="137" t="s">
        <v>980</v>
      </c>
      <c r="D36" s="55"/>
      <c r="E36" s="115"/>
      <c r="F36" s="115" t="s">
        <v>969</v>
      </c>
      <c r="G36" s="115" t="s">
        <v>968</v>
      </c>
      <c r="H36" s="405" t="s">
        <v>1382</v>
      </c>
      <c r="I36" s="60">
        <v>102377</v>
      </c>
      <c r="J36" s="115" t="s">
        <v>16</v>
      </c>
      <c r="K36" s="116">
        <v>1</v>
      </c>
      <c r="L36" s="142"/>
      <c r="M36" s="118">
        <f>3490-3034</f>
        <v>456</v>
      </c>
      <c r="N36" s="118">
        <f>14584-12494</f>
        <v>2090</v>
      </c>
      <c r="O36" s="118">
        <f t="shared" si="0"/>
        <v>2546</v>
      </c>
      <c r="P36" s="2"/>
      <c r="Q36" s="2"/>
    </row>
    <row r="37" spans="1:17" ht="28.5">
      <c r="A37" s="274" t="s">
        <v>11</v>
      </c>
      <c r="B37" s="60" t="s">
        <v>12</v>
      </c>
      <c r="C37" s="137" t="s">
        <v>981</v>
      </c>
      <c r="D37" s="55"/>
      <c r="E37" s="115"/>
      <c r="F37" s="115" t="s">
        <v>969</v>
      </c>
      <c r="G37" s="115" t="s">
        <v>968</v>
      </c>
      <c r="H37" s="406" t="s">
        <v>1383</v>
      </c>
      <c r="I37" s="60">
        <v>101821</v>
      </c>
      <c r="J37" s="115" t="s">
        <v>16</v>
      </c>
      <c r="K37" s="116">
        <v>1.3</v>
      </c>
      <c r="L37" s="117"/>
      <c r="M37" s="118">
        <f>5885-4684</f>
        <v>1201</v>
      </c>
      <c r="N37" s="118">
        <f>24342-19756</f>
        <v>4586</v>
      </c>
      <c r="O37" s="118">
        <f t="shared" si="0"/>
        <v>5787</v>
      </c>
      <c r="P37" s="2"/>
      <c r="Q37" s="2"/>
    </row>
    <row r="38" spans="1:17" ht="28.5">
      <c r="A38" s="274" t="s">
        <v>11</v>
      </c>
      <c r="B38" s="60" t="s">
        <v>12</v>
      </c>
      <c r="C38" s="137" t="s">
        <v>981</v>
      </c>
      <c r="D38" s="55"/>
      <c r="E38" s="115"/>
      <c r="F38" s="115" t="s">
        <v>969</v>
      </c>
      <c r="G38" s="115" t="s">
        <v>968</v>
      </c>
      <c r="H38" s="405" t="s">
        <v>1384</v>
      </c>
      <c r="I38" s="60">
        <v>101827</v>
      </c>
      <c r="J38" s="115" t="s">
        <v>16</v>
      </c>
      <c r="K38" s="116">
        <v>0.9</v>
      </c>
      <c r="L38" s="142"/>
      <c r="M38" s="118">
        <f>2475-2040</f>
        <v>435</v>
      </c>
      <c r="N38" s="118">
        <f>10874-9028</f>
        <v>1846</v>
      </c>
      <c r="O38" s="118">
        <f t="shared" si="0"/>
        <v>2281</v>
      </c>
      <c r="P38" s="2"/>
      <c r="Q38" s="2"/>
    </row>
    <row r="39" spans="1:17" ht="28.5">
      <c r="A39" s="274" t="s">
        <v>11</v>
      </c>
      <c r="B39" s="60" t="s">
        <v>12</v>
      </c>
      <c r="C39" s="137" t="s">
        <v>968</v>
      </c>
      <c r="D39" s="55"/>
      <c r="E39" s="115"/>
      <c r="F39" s="115" t="s">
        <v>969</v>
      </c>
      <c r="G39" s="115" t="s">
        <v>968</v>
      </c>
      <c r="H39" s="406" t="s">
        <v>1331</v>
      </c>
      <c r="I39" s="60">
        <v>907703</v>
      </c>
      <c r="J39" s="115" t="s">
        <v>16</v>
      </c>
      <c r="K39" s="116">
        <v>3.7</v>
      </c>
      <c r="L39" s="117"/>
      <c r="M39" s="118">
        <f>20616-16460</f>
        <v>4156</v>
      </c>
      <c r="N39" s="118">
        <f>93171-74430</f>
        <v>18741</v>
      </c>
      <c r="O39" s="118">
        <f t="shared" si="0"/>
        <v>22897</v>
      </c>
      <c r="P39" s="2"/>
      <c r="Q39" s="2"/>
    </row>
    <row r="40" spans="1:17" ht="28.5">
      <c r="A40" s="274" t="s">
        <v>11</v>
      </c>
      <c r="B40" s="60" t="s">
        <v>12</v>
      </c>
      <c r="C40" s="137" t="s">
        <v>968</v>
      </c>
      <c r="D40" s="55"/>
      <c r="E40" s="115"/>
      <c r="F40" s="115" t="s">
        <v>969</v>
      </c>
      <c r="G40" s="115" t="s">
        <v>968</v>
      </c>
      <c r="H40" s="405" t="s">
        <v>1361</v>
      </c>
      <c r="I40" s="60">
        <v>101525</v>
      </c>
      <c r="J40" s="115" t="s">
        <v>16</v>
      </c>
      <c r="K40" s="116">
        <v>3</v>
      </c>
      <c r="L40" s="142"/>
      <c r="M40" s="118">
        <f>7655-6098</f>
        <v>1557</v>
      </c>
      <c r="N40" s="118">
        <f>32021-25632</f>
        <v>6389</v>
      </c>
      <c r="O40" s="118">
        <f t="shared" si="0"/>
        <v>7946</v>
      </c>
      <c r="P40" s="2"/>
      <c r="Q40" s="2"/>
    </row>
    <row r="41" spans="1:17" ht="28.5">
      <c r="A41" s="274" t="s">
        <v>11</v>
      </c>
      <c r="B41" s="60" t="s">
        <v>12</v>
      </c>
      <c r="C41" s="137" t="s">
        <v>649</v>
      </c>
      <c r="D41" s="55"/>
      <c r="E41" s="115">
        <v>30</v>
      </c>
      <c r="F41" s="115" t="s">
        <v>969</v>
      </c>
      <c r="G41" s="115" t="s">
        <v>968</v>
      </c>
      <c r="H41" s="406" t="s">
        <v>1362</v>
      </c>
      <c r="I41" s="60">
        <v>102376</v>
      </c>
      <c r="J41" s="115" t="s">
        <v>16</v>
      </c>
      <c r="K41" s="116">
        <v>1</v>
      </c>
      <c r="L41" s="117"/>
      <c r="M41" s="118">
        <f>4295-3458</f>
        <v>837</v>
      </c>
      <c r="N41" s="118">
        <f>17327-13832</f>
        <v>3495</v>
      </c>
      <c r="O41" s="118">
        <f t="shared" si="0"/>
        <v>4332</v>
      </c>
      <c r="P41" s="2"/>
      <c r="Q41" s="2"/>
    </row>
    <row r="42" spans="1:17" ht="28.5">
      <c r="A42" s="274" t="s">
        <v>11</v>
      </c>
      <c r="B42" s="60" t="s">
        <v>12</v>
      </c>
      <c r="C42" s="137" t="s">
        <v>649</v>
      </c>
      <c r="D42" s="55"/>
      <c r="E42" s="115"/>
      <c r="F42" s="115" t="s">
        <v>969</v>
      </c>
      <c r="G42" s="115" t="s">
        <v>968</v>
      </c>
      <c r="H42" s="405" t="s">
        <v>1363</v>
      </c>
      <c r="I42" s="60">
        <v>102374</v>
      </c>
      <c r="J42" s="115" t="s">
        <v>16</v>
      </c>
      <c r="K42" s="116">
        <v>0.8</v>
      </c>
      <c r="L42" s="142"/>
      <c r="M42" s="118">
        <f>4076-3361</f>
        <v>715</v>
      </c>
      <c r="N42" s="118">
        <f>14806-12198</f>
        <v>2608</v>
      </c>
      <c r="O42" s="118">
        <f t="shared" si="0"/>
        <v>3323</v>
      </c>
      <c r="P42" s="2"/>
      <c r="Q42" s="2"/>
    </row>
    <row r="43" spans="1:17" ht="28.5">
      <c r="A43" s="274" t="s">
        <v>11</v>
      </c>
      <c r="B43" s="60" t="s">
        <v>12</v>
      </c>
      <c r="C43" s="137" t="s">
        <v>982</v>
      </c>
      <c r="D43" s="55"/>
      <c r="E43" s="115"/>
      <c r="F43" s="115" t="s">
        <v>969</v>
      </c>
      <c r="G43" s="115" t="s">
        <v>968</v>
      </c>
      <c r="H43" s="406" t="s">
        <v>1364</v>
      </c>
      <c r="I43" s="60">
        <v>101823</v>
      </c>
      <c r="J43" s="115" t="s">
        <v>16</v>
      </c>
      <c r="K43" s="116">
        <v>1.2</v>
      </c>
      <c r="L43" s="117"/>
      <c r="M43" s="118">
        <f>4633-3711</f>
        <v>922</v>
      </c>
      <c r="N43" s="118">
        <f>20659-16426</f>
        <v>4233</v>
      </c>
      <c r="O43" s="118">
        <f t="shared" si="0"/>
        <v>5155</v>
      </c>
      <c r="P43" s="2"/>
      <c r="Q43" s="2"/>
    </row>
    <row r="44" spans="1:17" ht="28.5">
      <c r="A44" s="274" t="s">
        <v>11</v>
      </c>
      <c r="B44" s="60" t="s">
        <v>12</v>
      </c>
      <c r="C44" s="137" t="s">
        <v>982</v>
      </c>
      <c r="D44" s="55"/>
      <c r="E44" s="115"/>
      <c r="F44" s="115" t="s">
        <v>969</v>
      </c>
      <c r="G44" s="115" t="s">
        <v>968</v>
      </c>
      <c r="H44" s="405" t="s">
        <v>1365</v>
      </c>
      <c r="I44" s="60">
        <v>103004</v>
      </c>
      <c r="J44" s="115" t="s">
        <v>16</v>
      </c>
      <c r="K44" s="116">
        <v>0.8</v>
      </c>
      <c r="L44" s="142"/>
      <c r="M44" s="118">
        <f>3964-3154</f>
        <v>810</v>
      </c>
      <c r="N44" s="118">
        <f>16166-12880</f>
        <v>3286</v>
      </c>
      <c r="O44" s="118">
        <f t="shared" si="0"/>
        <v>4096</v>
      </c>
      <c r="P44" s="2"/>
      <c r="Q44" s="2"/>
    </row>
    <row r="45" spans="1:17" ht="28.5">
      <c r="A45" s="274" t="s">
        <v>11</v>
      </c>
      <c r="B45" s="60" t="s">
        <v>12</v>
      </c>
      <c r="C45" s="137" t="s">
        <v>983</v>
      </c>
      <c r="D45" s="55"/>
      <c r="E45" s="115" t="s">
        <v>146</v>
      </c>
      <c r="F45" s="115" t="s">
        <v>969</v>
      </c>
      <c r="G45" s="115" t="s">
        <v>968</v>
      </c>
      <c r="H45" s="406" t="s">
        <v>1332</v>
      </c>
      <c r="I45" s="60">
        <v>907822</v>
      </c>
      <c r="J45" s="115" t="s">
        <v>16</v>
      </c>
      <c r="K45" s="116">
        <v>1.3</v>
      </c>
      <c r="L45" s="117"/>
      <c r="M45" s="118">
        <f>6890-5616</f>
        <v>1274</v>
      </c>
      <c r="N45" s="118">
        <f>31879-26204</f>
        <v>5675</v>
      </c>
      <c r="O45" s="118">
        <f t="shared" si="0"/>
        <v>6949</v>
      </c>
      <c r="P45" s="2"/>
      <c r="Q45" s="2"/>
    </row>
    <row r="46" spans="1:17" ht="28.5">
      <c r="A46" s="274" t="s">
        <v>11</v>
      </c>
      <c r="B46" s="60" t="s">
        <v>12</v>
      </c>
      <c r="C46" s="137" t="s">
        <v>983</v>
      </c>
      <c r="D46" s="55"/>
      <c r="E46" s="115">
        <v>50</v>
      </c>
      <c r="F46" s="115" t="s">
        <v>969</v>
      </c>
      <c r="G46" s="115" t="s">
        <v>968</v>
      </c>
      <c r="H46" s="405" t="s">
        <v>1366</v>
      </c>
      <c r="I46" s="60">
        <v>101523</v>
      </c>
      <c r="J46" s="115" t="s">
        <v>16</v>
      </c>
      <c r="K46" s="116">
        <v>1</v>
      </c>
      <c r="L46" s="142"/>
      <c r="M46" s="118">
        <f>3292-2589</f>
        <v>703</v>
      </c>
      <c r="N46" s="118">
        <f>14391-11147</f>
        <v>3244</v>
      </c>
      <c r="O46" s="118">
        <f t="shared" si="0"/>
        <v>3947</v>
      </c>
      <c r="P46" s="2"/>
      <c r="Q46" s="2"/>
    </row>
    <row r="47" spans="1:17" ht="28.5">
      <c r="A47" s="274" t="s">
        <v>11</v>
      </c>
      <c r="B47" s="60" t="s">
        <v>12</v>
      </c>
      <c r="C47" s="137" t="s">
        <v>984</v>
      </c>
      <c r="D47" s="55"/>
      <c r="E47" s="115" t="s">
        <v>146</v>
      </c>
      <c r="F47" s="115" t="s">
        <v>969</v>
      </c>
      <c r="G47" s="115" t="s">
        <v>968</v>
      </c>
      <c r="H47" s="406" t="s">
        <v>1367</v>
      </c>
      <c r="I47" s="60">
        <v>70938024</v>
      </c>
      <c r="J47" s="115" t="s">
        <v>16</v>
      </c>
      <c r="K47" s="116">
        <v>1.1</v>
      </c>
      <c r="L47" s="117"/>
      <c r="M47" s="118">
        <f>4425-3550</f>
        <v>875</v>
      </c>
      <c r="N47" s="118">
        <f>19388-15649</f>
        <v>3739</v>
      </c>
      <c r="O47" s="118">
        <f t="shared" si="0"/>
        <v>4614</v>
      </c>
      <c r="P47" s="2"/>
      <c r="Q47" s="2"/>
    </row>
    <row r="48" spans="1:17" ht="28.5">
      <c r="A48" s="274" t="s">
        <v>11</v>
      </c>
      <c r="B48" s="60" t="s">
        <v>12</v>
      </c>
      <c r="C48" s="137" t="s">
        <v>985</v>
      </c>
      <c r="D48" s="55"/>
      <c r="E48" s="115">
        <v>2</v>
      </c>
      <c r="F48" s="115" t="s">
        <v>969</v>
      </c>
      <c r="G48" s="115" t="s">
        <v>968</v>
      </c>
      <c r="H48" s="405" t="s">
        <v>1368</v>
      </c>
      <c r="I48" s="60">
        <v>101529</v>
      </c>
      <c r="J48" s="115" t="s">
        <v>16</v>
      </c>
      <c r="K48" s="116">
        <v>0.7</v>
      </c>
      <c r="L48" s="142"/>
      <c r="M48" s="118">
        <f>4259-2862</f>
        <v>1397</v>
      </c>
      <c r="N48" s="118">
        <f>17999-11883</f>
        <v>6116</v>
      </c>
      <c r="O48" s="118">
        <f t="shared" si="0"/>
        <v>7513</v>
      </c>
      <c r="P48" s="2"/>
      <c r="Q48" s="2"/>
    </row>
    <row r="49" spans="1:17" ht="28.5">
      <c r="A49" s="274" t="s">
        <v>11</v>
      </c>
      <c r="B49" s="60" t="s">
        <v>12</v>
      </c>
      <c r="C49" s="137" t="s">
        <v>940</v>
      </c>
      <c r="D49" s="55"/>
      <c r="E49" s="115"/>
      <c r="F49" s="115" t="s">
        <v>969</v>
      </c>
      <c r="G49" s="115" t="s">
        <v>968</v>
      </c>
      <c r="H49" s="406" t="s">
        <v>1369</v>
      </c>
      <c r="I49" s="60">
        <v>103005</v>
      </c>
      <c r="J49" s="115" t="s">
        <v>16</v>
      </c>
      <c r="K49" s="116">
        <v>0.7</v>
      </c>
      <c r="L49" s="117"/>
      <c r="M49" s="118">
        <f>3418-2770</f>
        <v>648</v>
      </c>
      <c r="N49" s="118">
        <f>14233-11639</f>
        <v>2594</v>
      </c>
      <c r="O49" s="118">
        <f t="shared" si="0"/>
        <v>3242</v>
      </c>
      <c r="P49" s="2"/>
      <c r="Q49" s="2"/>
    </row>
    <row r="50" spans="1:17" ht="28.5">
      <c r="A50" s="274" t="s">
        <v>11</v>
      </c>
      <c r="B50" s="60" t="s">
        <v>12</v>
      </c>
      <c r="C50" s="137" t="s">
        <v>974</v>
      </c>
      <c r="D50" s="55"/>
      <c r="E50" s="115"/>
      <c r="F50" s="115" t="s">
        <v>969</v>
      </c>
      <c r="G50" s="115" t="s">
        <v>968</v>
      </c>
      <c r="H50" s="405" t="s">
        <v>1370</v>
      </c>
      <c r="I50" s="60">
        <v>102371</v>
      </c>
      <c r="J50" s="115" t="s">
        <v>16</v>
      </c>
      <c r="K50" s="116">
        <v>0.7</v>
      </c>
      <c r="L50" s="142"/>
      <c r="M50" s="118">
        <f>3467-2596</f>
        <v>871</v>
      </c>
      <c r="N50" s="118">
        <f>14096-10881</f>
        <v>3215</v>
      </c>
      <c r="O50" s="118">
        <f t="shared" si="0"/>
        <v>4086</v>
      </c>
      <c r="P50" s="2"/>
      <c r="Q50" s="2"/>
    </row>
    <row r="51" spans="1:17" ht="28.5">
      <c r="A51" s="274" t="s">
        <v>11</v>
      </c>
      <c r="B51" s="60" t="s">
        <v>12</v>
      </c>
      <c r="C51" s="137" t="s">
        <v>986</v>
      </c>
      <c r="D51" s="55"/>
      <c r="E51" s="115"/>
      <c r="F51" s="115" t="s">
        <v>969</v>
      </c>
      <c r="G51" s="115" t="s">
        <v>968</v>
      </c>
      <c r="H51" s="406" t="s">
        <v>1350</v>
      </c>
      <c r="I51" s="60">
        <v>103008</v>
      </c>
      <c r="J51" s="115" t="s">
        <v>16</v>
      </c>
      <c r="K51" s="116">
        <v>1.1</v>
      </c>
      <c r="L51" s="117"/>
      <c r="M51" s="118">
        <f>5634-4582</f>
        <v>1052</v>
      </c>
      <c r="N51" s="118">
        <f>22747-18503</f>
        <v>4244</v>
      </c>
      <c r="O51" s="118">
        <f t="shared" si="0"/>
        <v>5296</v>
      </c>
      <c r="P51" s="2"/>
      <c r="Q51" s="2"/>
    </row>
    <row r="52" spans="1:17" ht="28.5">
      <c r="A52" s="274" t="s">
        <v>11</v>
      </c>
      <c r="B52" s="60" t="s">
        <v>12</v>
      </c>
      <c r="C52" s="137" t="s">
        <v>987</v>
      </c>
      <c r="D52" s="55"/>
      <c r="E52" s="115"/>
      <c r="F52" s="115" t="s">
        <v>969</v>
      </c>
      <c r="G52" s="115" t="s">
        <v>968</v>
      </c>
      <c r="H52" s="405" t="s">
        <v>1352</v>
      </c>
      <c r="I52" s="60">
        <v>41359</v>
      </c>
      <c r="J52" s="115" t="s">
        <v>16</v>
      </c>
      <c r="K52" s="116">
        <v>0.9</v>
      </c>
      <c r="L52" s="142"/>
      <c r="M52" s="118">
        <f>6375-5498</f>
        <v>877</v>
      </c>
      <c r="N52" s="118">
        <f>20691-17604</f>
        <v>3087</v>
      </c>
      <c r="O52" s="118">
        <f t="shared" si="0"/>
        <v>3964</v>
      </c>
      <c r="P52" s="2"/>
      <c r="Q52" s="2"/>
    </row>
    <row r="53" spans="1:17" ht="28.5">
      <c r="A53" s="274" t="s">
        <v>11</v>
      </c>
      <c r="B53" s="60" t="s">
        <v>12</v>
      </c>
      <c r="C53" s="137" t="s">
        <v>988</v>
      </c>
      <c r="D53" s="55"/>
      <c r="E53" s="115"/>
      <c r="F53" s="115" t="s">
        <v>969</v>
      </c>
      <c r="G53" s="115" t="s">
        <v>968</v>
      </c>
      <c r="H53" s="406" t="s">
        <v>1353</v>
      </c>
      <c r="I53" s="60">
        <v>103002</v>
      </c>
      <c r="J53" s="115" t="s">
        <v>16</v>
      </c>
      <c r="K53" s="116">
        <v>1.3</v>
      </c>
      <c r="L53" s="117"/>
      <c r="M53" s="118">
        <f>6244-4832</f>
        <v>1412</v>
      </c>
      <c r="N53" s="118">
        <f>25811-20142</f>
        <v>5669</v>
      </c>
      <c r="O53" s="118">
        <f t="shared" si="0"/>
        <v>7081</v>
      </c>
      <c r="P53" s="2"/>
      <c r="Q53" s="2"/>
    </row>
    <row r="54" spans="1:17" ht="28.5">
      <c r="A54" s="274" t="s">
        <v>11</v>
      </c>
      <c r="B54" s="60" t="s">
        <v>12</v>
      </c>
      <c r="C54" s="137" t="s">
        <v>988</v>
      </c>
      <c r="D54" s="55"/>
      <c r="E54" s="115"/>
      <c r="F54" s="115" t="s">
        <v>969</v>
      </c>
      <c r="G54" s="115" t="s">
        <v>968</v>
      </c>
      <c r="H54" s="405" t="s">
        <v>1354</v>
      </c>
      <c r="I54" s="60">
        <v>104771</v>
      </c>
      <c r="J54" s="115" t="s">
        <v>16</v>
      </c>
      <c r="K54" s="116">
        <v>1</v>
      </c>
      <c r="L54" s="142"/>
      <c r="M54" s="118">
        <f>4086-3360</f>
        <v>726</v>
      </c>
      <c r="N54" s="118">
        <f>19322-15655</f>
        <v>3667</v>
      </c>
      <c r="O54" s="118">
        <f t="shared" si="0"/>
        <v>4393</v>
      </c>
      <c r="P54" s="2"/>
      <c r="Q54" s="2"/>
    </row>
    <row r="55" spans="1:17" ht="28.5">
      <c r="A55" s="274" t="s">
        <v>11</v>
      </c>
      <c r="B55" s="60" t="s">
        <v>12</v>
      </c>
      <c r="C55" s="137" t="s">
        <v>985</v>
      </c>
      <c r="D55" s="55"/>
      <c r="E55" s="115">
        <v>1</v>
      </c>
      <c r="F55" s="115" t="s">
        <v>969</v>
      </c>
      <c r="G55" s="115" t="s">
        <v>968</v>
      </c>
      <c r="H55" s="406" t="s">
        <v>1355</v>
      </c>
      <c r="I55" s="60">
        <v>91296845</v>
      </c>
      <c r="J55" s="115" t="s">
        <v>16</v>
      </c>
      <c r="K55" s="116">
        <v>1.4</v>
      </c>
      <c r="L55" s="117"/>
      <c r="M55" s="118">
        <f>12645-11425</f>
        <v>1220</v>
      </c>
      <c r="N55" s="118">
        <f>24598-18899</f>
        <v>5699</v>
      </c>
      <c r="O55" s="118">
        <f t="shared" si="0"/>
        <v>6919</v>
      </c>
      <c r="P55" s="2"/>
      <c r="Q55" s="2"/>
    </row>
    <row r="56" spans="1:17" ht="28.5">
      <c r="A56" s="274" t="s">
        <v>11</v>
      </c>
      <c r="B56" s="60" t="s">
        <v>12</v>
      </c>
      <c r="C56" s="137" t="s">
        <v>984</v>
      </c>
      <c r="D56" s="55"/>
      <c r="E56" s="115">
        <v>2</v>
      </c>
      <c r="F56" s="115" t="s">
        <v>969</v>
      </c>
      <c r="G56" s="115" t="s">
        <v>968</v>
      </c>
      <c r="H56" s="405" t="s">
        <v>1330</v>
      </c>
      <c r="I56" s="60">
        <v>907707</v>
      </c>
      <c r="J56" s="115" t="s">
        <v>16</v>
      </c>
      <c r="K56" s="116">
        <v>0.9</v>
      </c>
      <c r="L56" s="142"/>
      <c r="M56" s="118">
        <f>3480-2802</f>
        <v>678</v>
      </c>
      <c r="N56" s="118">
        <f>15488-12352</f>
        <v>3136</v>
      </c>
      <c r="O56" s="118">
        <f t="shared" si="0"/>
        <v>3814</v>
      </c>
      <c r="P56" s="2"/>
      <c r="Q56" s="2"/>
    </row>
    <row r="57" spans="1:17" ht="28.5">
      <c r="A57" s="274" t="s">
        <v>11</v>
      </c>
      <c r="B57" s="60" t="s">
        <v>12</v>
      </c>
      <c r="C57" s="137" t="s">
        <v>989</v>
      </c>
      <c r="D57" s="55"/>
      <c r="E57" s="115">
        <v>4</v>
      </c>
      <c r="F57" s="115" t="s">
        <v>969</v>
      </c>
      <c r="G57" s="115" t="s">
        <v>968</v>
      </c>
      <c r="H57" s="406" t="s">
        <v>1356</v>
      </c>
      <c r="I57" s="60">
        <v>101828</v>
      </c>
      <c r="J57" s="115" t="s">
        <v>16</v>
      </c>
      <c r="K57" s="116">
        <v>0.7</v>
      </c>
      <c r="L57" s="117"/>
      <c r="M57" s="118">
        <f>3889-2728</f>
        <v>1161</v>
      </c>
      <c r="N57" s="118">
        <f>13385-10655</f>
        <v>2730</v>
      </c>
      <c r="O57" s="118">
        <f t="shared" si="0"/>
        <v>3891</v>
      </c>
      <c r="P57" s="2"/>
      <c r="Q57" s="2"/>
    </row>
    <row r="58" spans="1:17" ht="28.5">
      <c r="A58" s="274" t="s">
        <v>11</v>
      </c>
      <c r="B58" s="60" t="s">
        <v>12</v>
      </c>
      <c r="C58" s="137" t="s">
        <v>989</v>
      </c>
      <c r="D58" s="55"/>
      <c r="E58" s="115"/>
      <c r="F58" s="115" t="s">
        <v>969</v>
      </c>
      <c r="G58" s="115" t="s">
        <v>968</v>
      </c>
      <c r="H58" s="405" t="s">
        <v>1357</v>
      </c>
      <c r="I58" s="60">
        <v>101829</v>
      </c>
      <c r="J58" s="115" t="s">
        <v>16</v>
      </c>
      <c r="K58" s="116">
        <v>0.9</v>
      </c>
      <c r="L58" s="142"/>
      <c r="M58" s="118">
        <f>3395-2842</f>
        <v>553</v>
      </c>
      <c r="N58" s="118">
        <f>14638-11952</f>
        <v>2686</v>
      </c>
      <c r="O58" s="118">
        <f t="shared" si="0"/>
        <v>3239</v>
      </c>
      <c r="P58" s="2"/>
      <c r="Q58" s="2"/>
    </row>
    <row r="59" spans="1:17" ht="28.5">
      <c r="A59" s="274" t="s">
        <v>11</v>
      </c>
      <c r="B59" s="60" t="s">
        <v>12</v>
      </c>
      <c r="C59" s="137" t="s">
        <v>981</v>
      </c>
      <c r="D59" s="55"/>
      <c r="E59" s="115"/>
      <c r="F59" s="115" t="s">
        <v>969</v>
      </c>
      <c r="G59" s="115" t="s">
        <v>968</v>
      </c>
      <c r="H59" s="406" t="s">
        <v>1358</v>
      </c>
      <c r="I59" s="60">
        <v>104770</v>
      </c>
      <c r="J59" s="115" t="s">
        <v>16</v>
      </c>
      <c r="K59" s="116">
        <v>0.5</v>
      </c>
      <c r="L59" s="117"/>
      <c r="M59" s="118">
        <f>1846-1506</f>
        <v>340</v>
      </c>
      <c r="N59" s="118">
        <f>9271-7480</f>
        <v>1791</v>
      </c>
      <c r="O59" s="118">
        <f t="shared" si="0"/>
        <v>2131</v>
      </c>
      <c r="P59" s="2"/>
      <c r="Q59" s="2"/>
    </row>
    <row r="60" spans="1:17" ht="28.5">
      <c r="A60" s="274" t="s">
        <v>11</v>
      </c>
      <c r="B60" s="60" t="s">
        <v>12</v>
      </c>
      <c r="C60" s="137" t="s">
        <v>968</v>
      </c>
      <c r="D60" s="55"/>
      <c r="E60" s="115"/>
      <c r="F60" s="115" t="s">
        <v>969</v>
      </c>
      <c r="G60" s="115" t="s">
        <v>968</v>
      </c>
      <c r="H60" s="405" t="s">
        <v>1360</v>
      </c>
      <c r="I60" s="60">
        <v>101824</v>
      </c>
      <c r="J60" s="115" t="s">
        <v>16</v>
      </c>
      <c r="K60" s="116">
        <v>0.9</v>
      </c>
      <c r="L60" s="142"/>
      <c r="M60" s="118">
        <f>4564-3436</f>
        <v>1128</v>
      </c>
      <c r="N60" s="118">
        <f>21956-16236</f>
        <v>5720</v>
      </c>
      <c r="O60" s="118">
        <f t="shared" si="0"/>
        <v>6848</v>
      </c>
      <c r="P60" s="2"/>
      <c r="Q60" s="2"/>
    </row>
    <row r="61" spans="1:17" ht="28.5">
      <c r="A61" s="274" t="s">
        <v>11</v>
      </c>
      <c r="B61" s="60" t="s">
        <v>12</v>
      </c>
      <c r="C61" s="137" t="s">
        <v>972</v>
      </c>
      <c r="D61" s="55"/>
      <c r="E61" s="115">
        <v>5</v>
      </c>
      <c r="F61" s="115" t="s">
        <v>969</v>
      </c>
      <c r="G61" s="115" t="s">
        <v>968</v>
      </c>
      <c r="H61" s="406" t="s">
        <v>1340</v>
      </c>
      <c r="I61" s="60">
        <v>102370</v>
      </c>
      <c r="J61" s="115" t="s">
        <v>16</v>
      </c>
      <c r="K61" s="116">
        <v>0.9</v>
      </c>
      <c r="L61" s="117"/>
      <c r="M61" s="118">
        <f>4966-4030</f>
        <v>936</v>
      </c>
      <c r="N61" s="118">
        <f>20499-16824</f>
        <v>3675</v>
      </c>
      <c r="O61" s="118">
        <f t="shared" si="0"/>
        <v>4611</v>
      </c>
      <c r="P61" s="2"/>
      <c r="Q61" s="2"/>
    </row>
    <row r="62" spans="1:17" ht="28.5">
      <c r="A62" s="274" t="s">
        <v>11</v>
      </c>
      <c r="B62" s="60" t="s">
        <v>12</v>
      </c>
      <c r="C62" s="137" t="s">
        <v>972</v>
      </c>
      <c r="D62" s="55"/>
      <c r="E62" s="115">
        <v>38</v>
      </c>
      <c r="F62" s="115" t="s">
        <v>969</v>
      </c>
      <c r="G62" s="115" t="s">
        <v>968</v>
      </c>
      <c r="H62" s="405" t="s">
        <v>1342</v>
      </c>
      <c r="I62" s="60">
        <v>102375</v>
      </c>
      <c r="J62" s="115" t="s">
        <v>16</v>
      </c>
      <c r="K62" s="116">
        <v>1.8</v>
      </c>
      <c r="L62" s="142"/>
      <c r="M62" s="118">
        <f>7859-6443</f>
        <v>1416</v>
      </c>
      <c r="N62" s="118">
        <f>33758-27913</f>
        <v>5845</v>
      </c>
      <c r="O62" s="118">
        <f t="shared" si="0"/>
        <v>7261</v>
      </c>
      <c r="P62" s="2"/>
      <c r="Q62" s="2"/>
    </row>
    <row r="63" spans="1:17" ht="28.5">
      <c r="A63" s="274" t="s">
        <v>11</v>
      </c>
      <c r="B63" s="60" t="s">
        <v>12</v>
      </c>
      <c r="C63" s="137" t="s">
        <v>384</v>
      </c>
      <c r="D63" s="55"/>
      <c r="E63" s="115"/>
      <c r="F63" s="115" t="s">
        <v>969</v>
      </c>
      <c r="G63" s="115" t="s">
        <v>968</v>
      </c>
      <c r="H63" s="406" t="s">
        <v>1343</v>
      </c>
      <c r="I63" s="60">
        <v>83247331</v>
      </c>
      <c r="J63" s="137" t="s">
        <v>154</v>
      </c>
      <c r="K63" s="116">
        <v>0.9</v>
      </c>
      <c r="L63" s="407">
        <f>11456-5845</f>
        <v>5611</v>
      </c>
      <c r="M63" s="29"/>
      <c r="N63" s="29"/>
      <c r="O63" s="143">
        <f>L63</f>
        <v>5611</v>
      </c>
      <c r="P63" s="2"/>
      <c r="Q63" s="2"/>
    </row>
    <row r="64" spans="1:17" ht="28.5">
      <c r="A64" s="274" t="s">
        <v>11</v>
      </c>
      <c r="B64" s="60" t="s">
        <v>12</v>
      </c>
      <c r="C64" s="137" t="s">
        <v>972</v>
      </c>
      <c r="D64" s="55"/>
      <c r="E64" s="115"/>
      <c r="F64" s="115" t="s">
        <v>969</v>
      </c>
      <c r="G64" s="115" t="s">
        <v>968</v>
      </c>
      <c r="H64" s="405" t="s">
        <v>1344</v>
      </c>
      <c r="I64" s="60">
        <v>41355</v>
      </c>
      <c r="J64" s="115" t="s">
        <v>16</v>
      </c>
      <c r="K64" s="116">
        <v>10</v>
      </c>
      <c r="L64" s="142"/>
      <c r="M64" s="118">
        <f>1448-1399</f>
        <v>49</v>
      </c>
      <c r="N64" s="118">
        <f>5211-4471</f>
        <v>740</v>
      </c>
      <c r="O64" s="143">
        <f>M64+N64</f>
        <v>789</v>
      </c>
      <c r="P64" s="2"/>
      <c r="Q64" s="2"/>
    </row>
    <row r="65" spans="1:17" ht="28.5">
      <c r="A65" s="274" t="s">
        <v>11</v>
      </c>
      <c r="B65" s="60" t="s">
        <v>12</v>
      </c>
      <c r="C65" s="137" t="s">
        <v>990</v>
      </c>
      <c r="D65" s="55"/>
      <c r="E65" s="115" t="s">
        <v>146</v>
      </c>
      <c r="F65" s="115" t="s">
        <v>969</v>
      </c>
      <c r="G65" s="115" t="s">
        <v>968</v>
      </c>
      <c r="H65" s="406" t="s">
        <v>1345</v>
      </c>
      <c r="I65" s="60">
        <v>102378</v>
      </c>
      <c r="J65" s="115" t="s">
        <v>16</v>
      </c>
      <c r="K65" s="116">
        <v>0.6</v>
      </c>
      <c r="L65" s="117"/>
      <c r="M65" s="118">
        <f>2865-2310</f>
        <v>555</v>
      </c>
      <c r="N65" s="118">
        <f>12298-9753</f>
        <v>2545</v>
      </c>
      <c r="O65" s="143">
        <f aca="true" t="shared" si="1" ref="O65:O71">M65+N65</f>
        <v>3100</v>
      </c>
      <c r="P65" s="2"/>
      <c r="Q65" s="2"/>
    </row>
    <row r="66" spans="1:17" ht="28.5">
      <c r="A66" s="274" t="s">
        <v>11</v>
      </c>
      <c r="B66" s="60" t="s">
        <v>12</v>
      </c>
      <c r="C66" s="137" t="s">
        <v>990</v>
      </c>
      <c r="D66" s="55"/>
      <c r="E66" s="115" t="s">
        <v>686</v>
      </c>
      <c r="F66" s="115" t="s">
        <v>969</v>
      </c>
      <c r="G66" s="115" t="s">
        <v>968</v>
      </c>
      <c r="H66" s="405" t="s">
        <v>1346</v>
      </c>
      <c r="I66" s="60">
        <v>104773</v>
      </c>
      <c r="J66" s="115" t="s">
        <v>16</v>
      </c>
      <c r="K66" s="116">
        <v>1</v>
      </c>
      <c r="L66" s="142"/>
      <c r="M66" s="118">
        <f>4445-3574</f>
        <v>871</v>
      </c>
      <c r="N66" s="118">
        <f>19455-15636</f>
        <v>3819</v>
      </c>
      <c r="O66" s="143">
        <f t="shared" si="1"/>
        <v>4690</v>
      </c>
      <c r="P66" s="2"/>
      <c r="Q66" s="2"/>
    </row>
    <row r="67" spans="1:17" ht="28.5">
      <c r="A67" s="274" t="s">
        <v>11</v>
      </c>
      <c r="B67" s="60" t="s">
        <v>12</v>
      </c>
      <c r="C67" s="137" t="s">
        <v>991</v>
      </c>
      <c r="D67" s="55"/>
      <c r="E67" s="115"/>
      <c r="F67" s="115" t="s">
        <v>969</v>
      </c>
      <c r="G67" s="115" t="s">
        <v>968</v>
      </c>
      <c r="H67" s="406" t="s">
        <v>1347</v>
      </c>
      <c r="I67" s="60">
        <v>102373</v>
      </c>
      <c r="J67" s="115" t="s">
        <v>16</v>
      </c>
      <c r="K67" s="116">
        <v>1.2</v>
      </c>
      <c r="L67" s="117"/>
      <c r="M67" s="118">
        <f>4938-3987</f>
        <v>951</v>
      </c>
      <c r="N67" s="118">
        <f>21199-17122</f>
        <v>4077</v>
      </c>
      <c r="O67" s="143">
        <f t="shared" si="1"/>
        <v>5028</v>
      </c>
      <c r="P67" s="2"/>
      <c r="Q67" s="2"/>
    </row>
    <row r="68" spans="1:17" ht="28.5">
      <c r="A68" s="274" t="s">
        <v>11</v>
      </c>
      <c r="B68" s="60" t="s">
        <v>12</v>
      </c>
      <c r="C68" s="137" t="s">
        <v>988</v>
      </c>
      <c r="D68" s="55"/>
      <c r="E68" s="115"/>
      <c r="F68" s="115" t="s">
        <v>969</v>
      </c>
      <c r="G68" s="115" t="s">
        <v>968</v>
      </c>
      <c r="H68" s="405" t="s">
        <v>1348</v>
      </c>
      <c r="I68" s="60">
        <v>102379</v>
      </c>
      <c r="J68" s="115" t="s">
        <v>16</v>
      </c>
      <c r="K68" s="116">
        <v>1.2</v>
      </c>
      <c r="L68" s="142"/>
      <c r="M68" s="118">
        <f>5369-4254</f>
        <v>1115</v>
      </c>
      <c r="N68" s="118">
        <f>22901-18317</f>
        <v>4584</v>
      </c>
      <c r="O68" s="143">
        <f t="shared" si="1"/>
        <v>5699</v>
      </c>
      <c r="P68" s="2"/>
      <c r="Q68" s="2"/>
    </row>
    <row r="69" spans="1:17" ht="28.5">
      <c r="A69" s="274" t="s">
        <v>11</v>
      </c>
      <c r="B69" s="60" t="s">
        <v>12</v>
      </c>
      <c r="C69" s="137" t="s">
        <v>986</v>
      </c>
      <c r="D69" s="55"/>
      <c r="E69" s="115"/>
      <c r="F69" s="115" t="s">
        <v>969</v>
      </c>
      <c r="G69" s="115" t="s">
        <v>968</v>
      </c>
      <c r="H69" s="406" t="s">
        <v>1349</v>
      </c>
      <c r="I69" s="60">
        <v>103007</v>
      </c>
      <c r="J69" s="115" t="s">
        <v>16</v>
      </c>
      <c r="K69" s="116">
        <v>1</v>
      </c>
      <c r="L69" s="117"/>
      <c r="M69" s="118">
        <f>3975-3255</f>
        <v>720</v>
      </c>
      <c r="N69" s="118">
        <f>17983-14527</f>
        <v>3456</v>
      </c>
      <c r="O69" s="143">
        <f t="shared" si="1"/>
        <v>4176</v>
      </c>
      <c r="P69" s="2"/>
      <c r="Q69" s="2"/>
    </row>
    <row r="70" spans="1:17" ht="28.5">
      <c r="A70" s="274" t="s">
        <v>11</v>
      </c>
      <c r="B70" s="60" t="s">
        <v>12</v>
      </c>
      <c r="C70" s="137" t="s">
        <v>972</v>
      </c>
      <c r="D70" s="55"/>
      <c r="E70" s="115"/>
      <c r="F70" s="115" t="s">
        <v>969</v>
      </c>
      <c r="G70" s="115" t="s">
        <v>968</v>
      </c>
      <c r="H70" s="405" t="s">
        <v>1341</v>
      </c>
      <c r="I70" s="60">
        <v>44958</v>
      </c>
      <c r="J70" s="115" t="s">
        <v>16</v>
      </c>
      <c r="K70" s="116">
        <v>2.2</v>
      </c>
      <c r="L70" s="142"/>
      <c r="M70" s="118">
        <f>14088-11597</f>
        <v>2491</v>
      </c>
      <c r="N70" s="118">
        <f>42045-35079</f>
        <v>6966</v>
      </c>
      <c r="O70" s="143">
        <f t="shared" si="1"/>
        <v>9457</v>
      </c>
      <c r="P70" s="2"/>
      <c r="Q70" s="2"/>
    </row>
    <row r="71" spans="1:17" ht="28.5">
      <c r="A71" s="275" t="s">
        <v>11</v>
      </c>
      <c r="B71" s="60" t="s">
        <v>12</v>
      </c>
      <c r="C71" s="137" t="s">
        <v>988</v>
      </c>
      <c r="D71" s="55"/>
      <c r="E71" s="115"/>
      <c r="F71" s="115" t="s">
        <v>969</v>
      </c>
      <c r="G71" s="115" t="s">
        <v>968</v>
      </c>
      <c r="H71" s="406" t="s">
        <v>1351</v>
      </c>
      <c r="I71" s="60">
        <v>1001217</v>
      </c>
      <c r="J71" s="115" t="s">
        <v>16</v>
      </c>
      <c r="K71" s="116">
        <v>0.6</v>
      </c>
      <c r="L71" s="117"/>
      <c r="M71" s="118">
        <f>4355-3630</f>
        <v>725</v>
      </c>
      <c r="N71" s="118">
        <f>18366-15226</f>
        <v>3140</v>
      </c>
      <c r="O71" s="143">
        <f t="shared" si="1"/>
        <v>3865</v>
      </c>
      <c r="P71" s="2"/>
      <c r="Q71" s="2"/>
    </row>
    <row r="72" spans="1:15" ht="28.5">
      <c r="A72" s="275" t="s">
        <v>11</v>
      </c>
      <c r="B72" s="60" t="s">
        <v>12</v>
      </c>
      <c r="C72" s="55" t="s">
        <v>988</v>
      </c>
      <c r="D72" s="55"/>
      <c r="E72" s="55"/>
      <c r="F72" s="115" t="s">
        <v>969</v>
      </c>
      <c r="G72" s="140" t="s">
        <v>968</v>
      </c>
      <c r="H72" s="387" t="s">
        <v>1732</v>
      </c>
      <c r="I72" s="52">
        <v>129138</v>
      </c>
      <c r="J72" s="52" t="s">
        <v>152</v>
      </c>
      <c r="K72" s="211">
        <v>0.6</v>
      </c>
      <c r="L72" s="350">
        <f>13999-11169</f>
        <v>2830</v>
      </c>
      <c r="M72" s="45"/>
      <c r="N72" s="45"/>
      <c r="O72" s="351">
        <f>L72</f>
        <v>2830</v>
      </c>
    </row>
    <row r="73" spans="1:15" ht="28.5">
      <c r="A73" s="275" t="s">
        <v>11</v>
      </c>
      <c r="B73" s="64" t="s">
        <v>12</v>
      </c>
      <c r="C73" s="56" t="s">
        <v>1527</v>
      </c>
      <c r="D73" s="56"/>
      <c r="E73" s="55"/>
      <c r="F73" s="115" t="s">
        <v>969</v>
      </c>
      <c r="G73" s="115" t="s">
        <v>968</v>
      </c>
      <c r="H73" s="376" t="s">
        <v>1733</v>
      </c>
      <c r="I73" s="55">
        <v>31795</v>
      </c>
      <c r="J73" s="55" t="s">
        <v>152</v>
      </c>
      <c r="K73" s="341">
        <v>0.5</v>
      </c>
      <c r="L73" s="350">
        <f>6822-5567</f>
        <v>1255</v>
      </c>
      <c r="M73" s="45"/>
      <c r="N73" s="45"/>
      <c r="O73" s="351">
        <f>L73</f>
        <v>1255</v>
      </c>
    </row>
    <row r="74" spans="1:15" ht="28.5">
      <c r="A74" s="275" t="s">
        <v>11</v>
      </c>
      <c r="B74" s="60" t="s">
        <v>12</v>
      </c>
      <c r="C74" s="166" t="s">
        <v>981</v>
      </c>
      <c r="D74" s="166"/>
      <c r="E74" s="55"/>
      <c r="F74" s="55" t="s">
        <v>969</v>
      </c>
      <c r="G74" s="55" t="s">
        <v>968</v>
      </c>
      <c r="H74" s="406" t="s">
        <v>1784</v>
      </c>
      <c r="I74" s="652">
        <v>1503997</v>
      </c>
      <c r="J74" s="55" t="s">
        <v>152</v>
      </c>
      <c r="K74" s="341">
        <v>0.2</v>
      </c>
      <c r="L74" s="13">
        <f>4060-2911</f>
        <v>1149</v>
      </c>
      <c r="M74" s="45"/>
      <c r="N74" s="45"/>
      <c r="O74" s="13">
        <f>L74</f>
        <v>1149</v>
      </c>
    </row>
    <row r="75" spans="1:15" ht="30" thickBot="1">
      <c r="A75" s="274" t="s">
        <v>11</v>
      </c>
      <c r="B75" s="60" t="s">
        <v>12</v>
      </c>
      <c r="C75" s="91" t="s">
        <v>982</v>
      </c>
      <c r="D75" s="79"/>
      <c r="E75" s="79" t="s">
        <v>1827</v>
      </c>
      <c r="F75" s="79" t="s">
        <v>969</v>
      </c>
      <c r="G75" s="79" t="s">
        <v>968</v>
      </c>
      <c r="H75" s="406" t="s">
        <v>1826</v>
      </c>
      <c r="I75" s="79">
        <v>1399813</v>
      </c>
      <c r="J75" s="4" t="s">
        <v>16</v>
      </c>
      <c r="K75" s="513">
        <v>0.4</v>
      </c>
      <c r="L75" s="45"/>
      <c r="M75" s="13">
        <f>4173-3856</f>
        <v>317</v>
      </c>
      <c r="N75" s="13">
        <f>9029-7562</f>
        <v>1467</v>
      </c>
      <c r="O75" s="464">
        <f>SUM(M75:N75)</f>
        <v>1784</v>
      </c>
    </row>
    <row r="76" spans="2:15" ht="23.25" customHeight="1">
      <c r="B76" s="552" t="s">
        <v>155</v>
      </c>
      <c r="C76" s="577" t="s">
        <v>1359</v>
      </c>
      <c r="D76" s="578"/>
      <c r="E76" s="579"/>
      <c r="F76" s="579"/>
      <c r="H76" s="538" t="s">
        <v>2097</v>
      </c>
      <c r="I76" s="578" t="s">
        <v>1359</v>
      </c>
      <c r="K76" s="1"/>
      <c r="N76" s="53" t="s">
        <v>156</v>
      </c>
      <c r="O76" s="349">
        <f>SUM(O18:O75)</f>
        <v>277168</v>
      </c>
    </row>
    <row r="77" spans="2:11" ht="15">
      <c r="B77" s="36"/>
      <c r="C77" s="292" t="s">
        <v>1734</v>
      </c>
      <c r="D77" s="580"/>
      <c r="E77" s="579"/>
      <c r="F77" s="579"/>
      <c r="H77" s="581"/>
      <c r="I77" s="580" t="s">
        <v>1734</v>
      </c>
      <c r="K77" s="1"/>
    </row>
    <row r="78" spans="2:9" ht="15.75" thickBot="1">
      <c r="B78" s="36"/>
      <c r="C78" s="292" t="s">
        <v>1042</v>
      </c>
      <c r="D78" s="580"/>
      <c r="E78" s="579"/>
      <c r="F78" s="579"/>
      <c r="H78" s="582"/>
      <c r="I78" s="583" t="s">
        <v>1042</v>
      </c>
    </row>
    <row r="79" spans="2:8" ht="15">
      <c r="B79" s="279" t="s">
        <v>1670</v>
      </c>
      <c r="C79" s="292">
        <v>8222146582</v>
      </c>
      <c r="D79" s="584"/>
      <c r="E79" s="579"/>
      <c r="F79" s="579"/>
      <c r="G79" s="579"/>
      <c r="H79" s="579"/>
    </row>
    <row r="80" spans="2:8" ht="15.75" thickBot="1">
      <c r="B80" s="238" t="s">
        <v>1674</v>
      </c>
      <c r="C80" s="585" t="s">
        <v>1735</v>
      </c>
      <c r="D80" s="586"/>
      <c r="E80" s="579"/>
      <c r="F80" s="579"/>
      <c r="G80" s="579"/>
      <c r="H80" s="579"/>
    </row>
    <row r="81" spans="3:13" ht="15">
      <c r="C81" s="1"/>
      <c r="D81" s="1"/>
      <c r="E81" s="1"/>
      <c r="F81" s="1"/>
      <c r="H81" s="512"/>
      <c r="L81" t="s">
        <v>160</v>
      </c>
      <c r="M81" s="2">
        <f>O76</f>
        <v>277168</v>
      </c>
    </row>
    <row r="82" ht="15" thickBot="1"/>
    <row r="83" spans="11:15" ht="47.25" customHeight="1">
      <c r="K83" s="757" t="s">
        <v>157</v>
      </c>
      <c r="L83" s="706" t="s">
        <v>1034</v>
      </c>
      <c r="M83" s="707"/>
      <c r="N83" s="708"/>
      <c r="O83" s="743" t="s">
        <v>158</v>
      </c>
    </row>
    <row r="84" spans="11:15" ht="25.5" customHeight="1" thickBot="1">
      <c r="K84" s="758"/>
      <c r="L84" s="128" t="s">
        <v>159</v>
      </c>
      <c r="M84" s="128" t="s">
        <v>1035</v>
      </c>
      <c r="N84" s="128" t="s">
        <v>1036</v>
      </c>
      <c r="O84" s="744"/>
    </row>
    <row r="85" spans="11:15" ht="25.5" customHeight="1">
      <c r="K85" s="52" t="s">
        <v>152</v>
      </c>
      <c r="L85" s="26">
        <f>SUM(O72:O74)</f>
        <v>5234</v>
      </c>
      <c r="M85" s="54"/>
      <c r="N85" s="54"/>
      <c r="O85" s="53">
        <v>3</v>
      </c>
    </row>
    <row r="86" spans="11:15" ht="25.5" customHeight="1">
      <c r="K86" s="55" t="s">
        <v>154</v>
      </c>
      <c r="L86" s="13">
        <f>O63</f>
        <v>5611</v>
      </c>
      <c r="M86" s="95"/>
      <c r="N86" s="95"/>
      <c r="O86" s="55">
        <v>1</v>
      </c>
    </row>
    <row r="87" spans="11:15" ht="25.5" customHeight="1" thickBot="1">
      <c r="K87" s="55" t="s">
        <v>16</v>
      </c>
      <c r="L87" s="57"/>
      <c r="M87" s="14">
        <f>SUM(M18:M75)</f>
        <v>51712</v>
      </c>
      <c r="N87" s="14">
        <f>SUM(N18:N75)</f>
        <v>214611</v>
      </c>
      <c r="O87" s="14">
        <v>54</v>
      </c>
    </row>
    <row r="88" spans="11:15" ht="25.5" customHeight="1" thickBot="1">
      <c r="K88" s="132" t="s">
        <v>160</v>
      </c>
      <c r="L88" s="133">
        <f>SUM(L85:L87)</f>
        <v>10845</v>
      </c>
      <c r="M88" s="18">
        <f>M87</f>
        <v>51712</v>
      </c>
      <c r="N88" s="15">
        <f>N87</f>
        <v>214611</v>
      </c>
      <c r="O88" s="345">
        <f>SUM(O85:O87)</f>
        <v>58</v>
      </c>
    </row>
    <row r="89" spans="12:15" ht="25.5" customHeight="1" thickBot="1">
      <c r="L89" s="20" t="s">
        <v>161</v>
      </c>
      <c r="M89" s="338">
        <f>SUM(L88:N88)</f>
        <v>277168</v>
      </c>
      <c r="N89" s="2"/>
      <c r="O89" s="2"/>
    </row>
    <row r="92" spans="13:14" ht="14.25">
      <c r="M92" s="58"/>
      <c r="N92" s="2"/>
    </row>
  </sheetData>
  <sheetProtection/>
  <mergeCells count="19">
    <mergeCell ref="B3:I3"/>
    <mergeCell ref="B5:I5"/>
    <mergeCell ref="F15:F17"/>
    <mergeCell ref="G15:G17"/>
    <mergeCell ref="B1:K1"/>
    <mergeCell ref="L15:O15"/>
    <mergeCell ref="L16:O16"/>
    <mergeCell ref="H15:H17"/>
    <mergeCell ref="J15:J17"/>
    <mergeCell ref="K83:K84"/>
    <mergeCell ref="L83:N83"/>
    <mergeCell ref="O83:O84"/>
    <mergeCell ref="K15:K17"/>
    <mergeCell ref="A15:A17"/>
    <mergeCell ref="B15:B17"/>
    <mergeCell ref="C15:C17"/>
    <mergeCell ref="D15:D17"/>
    <mergeCell ref="E15:E17"/>
    <mergeCell ref="I15:I17"/>
  </mergeCells>
  <printOptions/>
  <pageMargins left="0.7" right="0.7" top="0.75" bottom="0.75" header="0.3" footer="0.3"/>
  <pageSetup horizontalDpi="600" verticalDpi="600" orientation="portrait" paperSize="9" r:id="rId1"/>
  <ignoredErrors>
    <ignoredError sqref="O6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84"/>
  <sheetViews>
    <sheetView zoomScale="80" zoomScaleNormal="80" zoomScalePageLayoutView="0" workbookViewId="0" topLeftCell="A70">
      <selection activeCell="I82" sqref="I82"/>
    </sheetView>
  </sheetViews>
  <sheetFormatPr defaultColWidth="8.796875" defaultRowHeight="14.25"/>
  <cols>
    <col min="1" max="1" width="14.5" style="0" customWidth="1"/>
    <col min="2" max="2" width="14.09765625" style="0" customWidth="1"/>
    <col min="3" max="3" width="14" style="0" customWidth="1"/>
    <col min="4" max="4" width="14.8984375" style="0" customWidth="1"/>
    <col min="5" max="5" width="10.09765625" style="0" customWidth="1"/>
    <col min="6" max="6" width="10.3984375" style="0" customWidth="1"/>
    <col min="7" max="7" width="11.8984375" style="0" customWidth="1"/>
    <col min="8" max="8" width="17.69921875" style="0" customWidth="1"/>
    <col min="9" max="9" width="27.8984375" style="0" customWidth="1"/>
    <col min="10" max="10" width="12.19921875" style="0" customWidth="1"/>
    <col min="11" max="11" width="9.69921875" style="0" customWidth="1"/>
    <col min="12" max="12" width="15.19921875" style="0" customWidth="1"/>
    <col min="13" max="13" width="15" style="0" customWidth="1"/>
    <col min="14" max="14" width="17.09765625" style="0" customWidth="1"/>
    <col min="15" max="15" width="16.19921875" style="0" customWidth="1"/>
    <col min="16" max="19" width="18.8984375" style="0" customWidth="1"/>
    <col min="20" max="20" width="21.3984375" style="0" customWidth="1"/>
    <col min="21" max="21" width="18.8984375" style="0" customWidth="1"/>
  </cols>
  <sheetData>
    <row r="1" spans="2:11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0" ht="15">
      <c r="B2" s="220"/>
      <c r="C2" s="220"/>
      <c r="D2" s="220"/>
      <c r="E2" s="220"/>
      <c r="F2" s="220"/>
      <c r="G2" s="220"/>
      <c r="H2" s="221"/>
      <c r="I2" s="222"/>
      <c r="J2" s="220"/>
    </row>
    <row r="3" spans="2:10" ht="29.25" customHeight="1">
      <c r="B3" s="740" t="s">
        <v>1037</v>
      </c>
      <c r="C3" s="741"/>
      <c r="D3" s="741"/>
      <c r="E3" s="741"/>
      <c r="F3" s="741"/>
      <c r="G3" s="741"/>
      <c r="H3" s="741"/>
      <c r="I3" s="742"/>
      <c r="J3" s="220"/>
    </row>
    <row r="4" spans="2:10" ht="15">
      <c r="B4" s="221"/>
      <c r="C4" s="221"/>
      <c r="D4" s="221"/>
      <c r="E4" s="221"/>
      <c r="F4" s="221"/>
      <c r="G4" s="221"/>
      <c r="H4" s="221"/>
      <c r="I4" s="222"/>
      <c r="J4" s="220"/>
    </row>
    <row r="5" spans="2:10" ht="15">
      <c r="B5" s="736" t="s">
        <v>1029</v>
      </c>
      <c r="C5" s="736"/>
      <c r="D5" s="736"/>
      <c r="E5" s="736"/>
      <c r="F5" s="736"/>
      <c r="G5" s="736"/>
      <c r="H5" s="736"/>
      <c r="I5" s="736"/>
      <c r="J5" s="220"/>
    </row>
    <row r="6" spans="2:10" ht="15">
      <c r="B6" s="221"/>
      <c r="C6" s="221"/>
      <c r="D6" s="221"/>
      <c r="E6" s="221"/>
      <c r="F6" s="221"/>
      <c r="G6" s="221"/>
      <c r="H6" s="221"/>
      <c r="I6" s="222"/>
      <c r="J6" s="220"/>
    </row>
    <row r="7" spans="2:10" ht="15.75">
      <c r="B7" s="502" t="s">
        <v>967</v>
      </c>
      <c r="C7" s="220"/>
      <c r="D7" s="221"/>
      <c r="E7" s="221"/>
      <c r="F7" s="221"/>
      <c r="G7" s="220"/>
      <c r="H7" s="221"/>
      <c r="I7" s="222"/>
      <c r="J7" s="220"/>
    </row>
    <row r="8" spans="2:10" ht="15.75">
      <c r="B8" s="502" t="s">
        <v>2098</v>
      </c>
      <c r="C8" s="220"/>
      <c r="D8" s="221"/>
      <c r="E8" s="221"/>
      <c r="F8" s="221"/>
      <c r="G8" s="220"/>
      <c r="H8" s="221"/>
      <c r="I8" s="222"/>
      <c r="J8" s="220"/>
    </row>
    <row r="9" spans="2:10" ht="15.75">
      <c r="B9" s="224" t="s">
        <v>2087</v>
      </c>
      <c r="C9" s="220"/>
      <c r="D9" s="225"/>
      <c r="E9" s="221"/>
      <c r="F9" s="221"/>
      <c r="G9" s="220"/>
      <c r="H9" s="221"/>
      <c r="I9" s="222"/>
      <c r="J9" s="220"/>
    </row>
    <row r="10" spans="2:10" ht="15.75">
      <c r="B10" s="224" t="s">
        <v>1663</v>
      </c>
      <c r="C10" s="220"/>
      <c r="D10" s="225"/>
      <c r="E10" s="221"/>
      <c r="F10" s="221"/>
      <c r="G10" s="220"/>
      <c r="H10" s="221"/>
      <c r="I10" s="222"/>
      <c r="J10" s="220"/>
    </row>
    <row r="11" spans="2:10" ht="15">
      <c r="B11" s="220" t="s">
        <v>1046</v>
      </c>
      <c r="C11" s="220"/>
      <c r="D11" s="220"/>
      <c r="E11" s="220"/>
      <c r="F11" s="220"/>
      <c r="G11" s="220"/>
      <c r="H11" s="221"/>
      <c r="I11" s="222"/>
      <c r="J11" s="220"/>
    </row>
    <row r="12" spans="2:10" ht="15.75">
      <c r="B12" s="226" t="s">
        <v>1030</v>
      </c>
      <c r="C12" s="223" t="s">
        <v>1031</v>
      </c>
      <c r="D12" s="225"/>
      <c r="E12" s="225"/>
      <c r="F12" s="225"/>
      <c r="G12" s="225"/>
      <c r="H12" s="228"/>
      <c r="I12" s="220"/>
      <c r="J12" s="220"/>
    </row>
    <row r="13" spans="2:10" ht="15.75">
      <c r="B13" s="226" t="s">
        <v>1032</v>
      </c>
      <c r="C13" s="223" t="s">
        <v>1033</v>
      </c>
      <c r="D13" s="225"/>
      <c r="E13" s="225"/>
      <c r="F13" s="225"/>
      <c r="G13" s="225"/>
      <c r="H13" s="228"/>
      <c r="I13" s="675"/>
      <c r="J13" s="220"/>
    </row>
    <row r="14" ht="15" thickBot="1">
      <c r="I14" s="21"/>
    </row>
    <row r="15" spans="1:15" ht="4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753</v>
      </c>
      <c r="I15" s="697" t="s">
        <v>7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4.25" customHeight="1">
      <c r="A16" s="712"/>
      <c r="B16" s="715"/>
      <c r="C16" s="722"/>
      <c r="D16" s="722"/>
      <c r="E16" s="698"/>
      <c r="F16" s="698"/>
      <c r="G16" s="722"/>
      <c r="H16" s="698"/>
      <c r="I16" s="698"/>
      <c r="J16" s="698"/>
      <c r="K16" s="730"/>
      <c r="L16" s="737" t="s">
        <v>1040</v>
      </c>
      <c r="M16" s="738"/>
      <c r="N16" s="738"/>
      <c r="O16" s="739"/>
    </row>
    <row r="17" spans="1:15" ht="29.25" customHeight="1" thickBot="1">
      <c r="A17" s="713"/>
      <c r="B17" s="716"/>
      <c r="C17" s="723"/>
      <c r="D17" s="723"/>
      <c r="E17" s="699"/>
      <c r="F17" s="699"/>
      <c r="G17" s="723"/>
      <c r="H17" s="699"/>
      <c r="I17" s="699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ht="28.5">
      <c r="A18" s="274" t="s">
        <v>11</v>
      </c>
      <c r="B18" s="23" t="s">
        <v>12</v>
      </c>
      <c r="C18" s="23" t="s">
        <v>994</v>
      </c>
      <c r="D18" s="42" t="s">
        <v>996</v>
      </c>
      <c r="E18" s="42"/>
      <c r="F18" s="42" t="s">
        <v>995</v>
      </c>
      <c r="G18" s="42" t="s">
        <v>994</v>
      </c>
      <c r="H18" s="42">
        <v>838115</v>
      </c>
      <c r="I18" s="387" t="s">
        <v>1537</v>
      </c>
      <c r="J18" s="121" t="s">
        <v>16</v>
      </c>
      <c r="K18" s="122">
        <v>6.6</v>
      </c>
      <c r="L18" s="432"/>
      <c r="M18" s="431">
        <f>12791-10257</f>
        <v>2534</v>
      </c>
      <c r="N18" s="431">
        <f>57518-45516</f>
        <v>12002</v>
      </c>
      <c r="O18" s="433">
        <f aca="true" t="shared" si="0" ref="O18:O28">SUM(M18:N18)</f>
        <v>14536</v>
      </c>
    </row>
    <row r="19" spans="1:15" ht="28.5">
      <c r="A19" s="274" t="s">
        <v>11</v>
      </c>
      <c r="B19" s="27" t="s">
        <v>12</v>
      </c>
      <c r="C19" s="27" t="s">
        <v>994</v>
      </c>
      <c r="D19" s="46" t="s">
        <v>996</v>
      </c>
      <c r="E19" s="46"/>
      <c r="F19" s="46" t="s">
        <v>995</v>
      </c>
      <c r="G19" s="46" t="s">
        <v>994</v>
      </c>
      <c r="H19" s="46">
        <v>871783</v>
      </c>
      <c r="I19" s="376" t="s">
        <v>1538</v>
      </c>
      <c r="J19" s="91" t="s">
        <v>16</v>
      </c>
      <c r="K19" s="123">
        <v>6.6</v>
      </c>
      <c r="L19" s="219"/>
      <c r="M19" s="30">
        <f>4367-3514</f>
        <v>853</v>
      </c>
      <c r="N19" s="30">
        <f>18753-14920</f>
        <v>3833</v>
      </c>
      <c r="O19" s="124">
        <f t="shared" si="0"/>
        <v>4686</v>
      </c>
    </row>
    <row r="20" spans="1:15" ht="28.5">
      <c r="A20" s="274" t="s">
        <v>11</v>
      </c>
      <c r="B20" s="27" t="s">
        <v>12</v>
      </c>
      <c r="C20" s="27" t="s">
        <v>994</v>
      </c>
      <c r="D20" s="46" t="s">
        <v>997</v>
      </c>
      <c r="E20" s="46"/>
      <c r="F20" s="46" t="s">
        <v>995</v>
      </c>
      <c r="G20" s="46" t="s">
        <v>994</v>
      </c>
      <c r="H20" s="46">
        <v>871784</v>
      </c>
      <c r="I20" s="387" t="s">
        <v>1539</v>
      </c>
      <c r="J20" s="91" t="s">
        <v>16</v>
      </c>
      <c r="K20" s="123">
        <v>7.5</v>
      </c>
      <c r="L20" s="219"/>
      <c r="M20" s="30">
        <f>15019-12025</f>
        <v>2994</v>
      </c>
      <c r="N20" s="30">
        <f>63033-49925</f>
        <v>13108</v>
      </c>
      <c r="O20" s="124">
        <f t="shared" si="0"/>
        <v>16102</v>
      </c>
    </row>
    <row r="21" spans="1:15" ht="28.5">
      <c r="A21" s="274" t="s">
        <v>11</v>
      </c>
      <c r="B21" s="27" t="s">
        <v>12</v>
      </c>
      <c r="C21" s="27" t="s">
        <v>994</v>
      </c>
      <c r="D21" s="46" t="s">
        <v>209</v>
      </c>
      <c r="E21" s="46"/>
      <c r="F21" s="46" t="s">
        <v>995</v>
      </c>
      <c r="G21" s="46" t="s">
        <v>994</v>
      </c>
      <c r="H21" s="46">
        <v>871782</v>
      </c>
      <c r="I21" s="387" t="s">
        <v>1540</v>
      </c>
      <c r="J21" s="91" t="s">
        <v>16</v>
      </c>
      <c r="K21" s="123">
        <v>6.6</v>
      </c>
      <c r="L21" s="219"/>
      <c r="M21" s="30">
        <f>12384-10159</f>
        <v>2225</v>
      </c>
      <c r="N21" s="30">
        <f>52457-42425</f>
        <v>10032</v>
      </c>
      <c r="O21" s="124">
        <f t="shared" si="0"/>
        <v>12257</v>
      </c>
    </row>
    <row r="22" spans="1:15" ht="28.5">
      <c r="A22" s="274" t="s">
        <v>11</v>
      </c>
      <c r="B22" s="27" t="s">
        <v>12</v>
      </c>
      <c r="C22" s="27" t="s">
        <v>994</v>
      </c>
      <c r="D22" s="46" t="s">
        <v>998</v>
      </c>
      <c r="E22" s="46"/>
      <c r="F22" s="46" t="s">
        <v>995</v>
      </c>
      <c r="G22" s="46" t="s">
        <v>994</v>
      </c>
      <c r="H22" s="46">
        <v>907904</v>
      </c>
      <c r="I22" s="376" t="s">
        <v>1541</v>
      </c>
      <c r="J22" s="91" t="s">
        <v>16</v>
      </c>
      <c r="K22" s="123">
        <v>6.6</v>
      </c>
      <c r="L22" s="219"/>
      <c r="M22" s="30">
        <f>10260-8257</f>
        <v>2003</v>
      </c>
      <c r="N22" s="30">
        <f>45741-36278</f>
        <v>9463</v>
      </c>
      <c r="O22" s="124">
        <f t="shared" si="0"/>
        <v>11466</v>
      </c>
    </row>
    <row r="23" spans="1:15" ht="28.5">
      <c r="A23" s="274" t="s">
        <v>11</v>
      </c>
      <c r="B23" s="27" t="s">
        <v>12</v>
      </c>
      <c r="C23" s="27" t="s">
        <v>994</v>
      </c>
      <c r="D23" s="27" t="s">
        <v>999</v>
      </c>
      <c r="E23" s="46"/>
      <c r="F23" s="46" t="s">
        <v>995</v>
      </c>
      <c r="G23" s="46" t="s">
        <v>994</v>
      </c>
      <c r="H23" s="46">
        <v>3515771</v>
      </c>
      <c r="I23" s="387" t="s">
        <v>1542</v>
      </c>
      <c r="J23" s="91" t="s">
        <v>16</v>
      </c>
      <c r="K23" s="123">
        <v>7.5</v>
      </c>
      <c r="L23" s="219"/>
      <c r="M23" s="30">
        <f>7711-3959</f>
        <v>3752</v>
      </c>
      <c r="N23" s="30">
        <f>33188-16072</f>
        <v>17116</v>
      </c>
      <c r="O23" s="124">
        <f t="shared" si="0"/>
        <v>20868</v>
      </c>
    </row>
    <row r="24" spans="1:15" ht="28.5">
      <c r="A24" s="274" t="s">
        <v>11</v>
      </c>
      <c r="B24" s="27" t="s">
        <v>12</v>
      </c>
      <c r="C24" s="27" t="s">
        <v>994</v>
      </c>
      <c r="D24" s="46" t="s">
        <v>383</v>
      </c>
      <c r="E24" s="46"/>
      <c r="F24" s="46" t="s">
        <v>995</v>
      </c>
      <c r="G24" s="46" t="s">
        <v>994</v>
      </c>
      <c r="H24" s="46">
        <v>907947</v>
      </c>
      <c r="I24" s="387" t="s">
        <v>1543</v>
      </c>
      <c r="J24" s="91" t="s">
        <v>16</v>
      </c>
      <c r="K24" s="123">
        <v>12</v>
      </c>
      <c r="L24" s="219"/>
      <c r="M24" s="30">
        <f>41191-33199</f>
        <v>7992</v>
      </c>
      <c r="N24" s="30">
        <f>176719-141409</f>
        <v>35310</v>
      </c>
      <c r="O24" s="124">
        <f t="shared" si="0"/>
        <v>43302</v>
      </c>
    </row>
    <row r="25" spans="1:15" ht="28.5">
      <c r="A25" s="274" t="s">
        <v>11</v>
      </c>
      <c r="B25" s="27" t="s">
        <v>12</v>
      </c>
      <c r="C25" s="27" t="s">
        <v>994</v>
      </c>
      <c r="D25" s="46" t="s">
        <v>1000</v>
      </c>
      <c r="E25" s="46"/>
      <c r="F25" s="46" t="s">
        <v>995</v>
      </c>
      <c r="G25" s="46" t="s">
        <v>994</v>
      </c>
      <c r="H25" s="46">
        <v>907906</v>
      </c>
      <c r="I25" s="376" t="s">
        <v>1544</v>
      </c>
      <c r="J25" s="91" t="s">
        <v>16</v>
      </c>
      <c r="K25" s="123">
        <v>8.5</v>
      </c>
      <c r="L25" s="219"/>
      <c r="M25" s="30">
        <f>18323-13791</f>
        <v>4532</v>
      </c>
      <c r="N25" s="30">
        <f>78899-58904</f>
        <v>19995</v>
      </c>
      <c r="O25" s="124">
        <f t="shared" si="0"/>
        <v>24527</v>
      </c>
    </row>
    <row r="26" spans="1:15" ht="28.5">
      <c r="A26" s="274" t="s">
        <v>11</v>
      </c>
      <c r="B26" s="27" t="s">
        <v>12</v>
      </c>
      <c r="C26" s="27" t="s">
        <v>994</v>
      </c>
      <c r="D26" s="46" t="s">
        <v>320</v>
      </c>
      <c r="E26" s="46"/>
      <c r="F26" s="46" t="s">
        <v>995</v>
      </c>
      <c r="G26" s="46" t="s">
        <v>994</v>
      </c>
      <c r="H26" s="46">
        <v>70938018</v>
      </c>
      <c r="I26" s="387" t="s">
        <v>1547</v>
      </c>
      <c r="J26" s="91" t="s">
        <v>16</v>
      </c>
      <c r="K26" s="123">
        <v>7</v>
      </c>
      <c r="L26" s="219"/>
      <c r="M26" s="30">
        <f>13699-11085</f>
        <v>2614</v>
      </c>
      <c r="N26" s="30">
        <f>65928-53358</f>
        <v>12570</v>
      </c>
      <c r="O26" s="124">
        <f>SUM(M26:N26)</f>
        <v>15184</v>
      </c>
    </row>
    <row r="27" spans="1:15" ht="42.75">
      <c r="A27" s="274" t="s">
        <v>11</v>
      </c>
      <c r="B27" s="27" t="s">
        <v>12</v>
      </c>
      <c r="C27" s="27" t="s">
        <v>994</v>
      </c>
      <c r="D27" s="27" t="s">
        <v>1001</v>
      </c>
      <c r="E27" s="46"/>
      <c r="F27" s="46" t="s">
        <v>995</v>
      </c>
      <c r="G27" s="46" t="s">
        <v>994</v>
      </c>
      <c r="H27" s="46">
        <v>908018</v>
      </c>
      <c r="I27" s="387" t="s">
        <v>1545</v>
      </c>
      <c r="J27" s="91" t="s">
        <v>16</v>
      </c>
      <c r="K27" s="123">
        <v>13</v>
      </c>
      <c r="L27" s="219"/>
      <c r="M27" s="30">
        <f>15441-12198</f>
        <v>3243</v>
      </c>
      <c r="N27" s="30">
        <f>66482-55151</f>
        <v>11331</v>
      </c>
      <c r="O27" s="124">
        <f t="shared" si="0"/>
        <v>14574</v>
      </c>
    </row>
    <row r="28" spans="1:15" ht="28.5">
      <c r="A28" s="274" t="s">
        <v>11</v>
      </c>
      <c r="B28" s="27" t="s">
        <v>12</v>
      </c>
      <c r="C28" s="27" t="s">
        <v>994</v>
      </c>
      <c r="D28" s="46" t="s">
        <v>1002</v>
      </c>
      <c r="E28" s="46"/>
      <c r="F28" s="46" t="s">
        <v>995</v>
      </c>
      <c r="G28" s="46" t="s">
        <v>994</v>
      </c>
      <c r="H28" s="46">
        <v>90030883</v>
      </c>
      <c r="I28" s="376" t="s">
        <v>1548</v>
      </c>
      <c r="J28" s="91" t="s">
        <v>16</v>
      </c>
      <c r="K28" s="123">
        <v>6.6</v>
      </c>
      <c r="L28" s="219"/>
      <c r="M28" s="30">
        <f>3622-2749</f>
        <v>873</v>
      </c>
      <c r="N28" s="30">
        <f>14411-10275</f>
        <v>4136</v>
      </c>
      <c r="O28" s="124">
        <f t="shared" si="0"/>
        <v>5009</v>
      </c>
    </row>
    <row r="29" spans="1:15" ht="28.5">
      <c r="A29" s="274" t="s">
        <v>11</v>
      </c>
      <c r="B29" s="27" t="s">
        <v>12</v>
      </c>
      <c r="C29" s="27" t="s">
        <v>994</v>
      </c>
      <c r="D29" s="27" t="s">
        <v>1003</v>
      </c>
      <c r="E29" s="46"/>
      <c r="F29" s="46" t="s">
        <v>995</v>
      </c>
      <c r="G29" s="46" t="s">
        <v>994</v>
      </c>
      <c r="H29" s="46">
        <v>907902</v>
      </c>
      <c r="I29" s="387" t="s">
        <v>1546</v>
      </c>
      <c r="J29" s="90" t="s">
        <v>152</v>
      </c>
      <c r="K29" s="123">
        <v>6.6</v>
      </c>
      <c r="L29" s="125">
        <f>9067-7110</f>
        <v>1957</v>
      </c>
      <c r="M29" s="45"/>
      <c r="N29" s="45"/>
      <c r="O29" s="124">
        <f>L29</f>
        <v>1957</v>
      </c>
    </row>
    <row r="30" spans="1:15" ht="28.5">
      <c r="A30" s="274" t="s">
        <v>11</v>
      </c>
      <c r="B30" s="27" t="s">
        <v>12</v>
      </c>
      <c r="C30" s="27" t="s">
        <v>994</v>
      </c>
      <c r="D30" s="46" t="s">
        <v>996</v>
      </c>
      <c r="E30" s="46">
        <v>96</v>
      </c>
      <c r="F30" s="46" t="s">
        <v>995</v>
      </c>
      <c r="G30" s="46" t="s">
        <v>994</v>
      </c>
      <c r="H30" s="46">
        <v>28702</v>
      </c>
      <c r="I30" s="387" t="s">
        <v>1549</v>
      </c>
      <c r="J30" s="90" t="s">
        <v>152</v>
      </c>
      <c r="K30" s="123">
        <v>2.2</v>
      </c>
      <c r="L30" s="125">
        <f>45388-37474</f>
        <v>7914</v>
      </c>
      <c r="M30" s="45"/>
      <c r="N30" s="45"/>
      <c r="O30" s="124">
        <f>L30</f>
        <v>7914</v>
      </c>
    </row>
    <row r="31" spans="1:15" ht="28.5">
      <c r="A31" s="274" t="s">
        <v>11</v>
      </c>
      <c r="B31" s="27" t="s">
        <v>12</v>
      </c>
      <c r="C31" s="27" t="s">
        <v>994</v>
      </c>
      <c r="D31" s="27" t="s">
        <v>310</v>
      </c>
      <c r="E31" s="46"/>
      <c r="F31" s="46" t="s">
        <v>995</v>
      </c>
      <c r="G31" s="46" t="s">
        <v>994</v>
      </c>
      <c r="H31" s="46">
        <v>1002128</v>
      </c>
      <c r="I31" s="376" t="s">
        <v>1550</v>
      </c>
      <c r="J31" s="91" t="s">
        <v>16</v>
      </c>
      <c r="K31" s="123">
        <v>1.7</v>
      </c>
      <c r="L31" s="219"/>
      <c r="M31" s="30">
        <f>4670-3958</f>
        <v>712</v>
      </c>
      <c r="N31" s="30">
        <f>18999-16143</f>
        <v>2856</v>
      </c>
      <c r="O31" s="124">
        <f aca="true" t="shared" si="1" ref="O31:O37">SUM(M31:N31)</f>
        <v>3568</v>
      </c>
    </row>
    <row r="32" spans="1:15" ht="28.5">
      <c r="A32" s="274" t="s">
        <v>11</v>
      </c>
      <c r="B32" s="27" t="s">
        <v>12</v>
      </c>
      <c r="C32" s="27" t="s">
        <v>1004</v>
      </c>
      <c r="D32" s="46"/>
      <c r="E32" s="46"/>
      <c r="F32" s="46" t="s">
        <v>995</v>
      </c>
      <c r="G32" s="46" t="s">
        <v>994</v>
      </c>
      <c r="H32" s="46">
        <v>105602</v>
      </c>
      <c r="I32" s="387" t="s">
        <v>1551</v>
      </c>
      <c r="J32" s="91" t="s">
        <v>16</v>
      </c>
      <c r="K32" s="123">
        <v>0.6</v>
      </c>
      <c r="L32" s="219"/>
      <c r="M32" s="30">
        <f>2091-1686</f>
        <v>405</v>
      </c>
      <c r="N32" s="30">
        <f>9288-7386</f>
        <v>1902</v>
      </c>
      <c r="O32" s="124">
        <f t="shared" si="1"/>
        <v>2307</v>
      </c>
    </row>
    <row r="33" spans="1:15" ht="28.5">
      <c r="A33" s="274" t="s">
        <v>11</v>
      </c>
      <c r="B33" s="27" t="s">
        <v>12</v>
      </c>
      <c r="C33" s="27" t="s">
        <v>1004</v>
      </c>
      <c r="D33" s="46"/>
      <c r="E33" s="46"/>
      <c r="F33" s="46" t="s">
        <v>995</v>
      </c>
      <c r="G33" s="46" t="s">
        <v>994</v>
      </c>
      <c r="H33" s="46">
        <v>123239</v>
      </c>
      <c r="I33" s="387" t="s">
        <v>1552</v>
      </c>
      <c r="J33" s="91" t="s">
        <v>16</v>
      </c>
      <c r="K33" s="123">
        <v>1.4</v>
      </c>
      <c r="L33" s="219"/>
      <c r="M33" s="30">
        <f>4130-3278</f>
        <v>852</v>
      </c>
      <c r="N33" s="30">
        <f>16588-12996</f>
        <v>3592</v>
      </c>
      <c r="O33" s="124">
        <f t="shared" si="1"/>
        <v>4444</v>
      </c>
    </row>
    <row r="34" spans="1:15" ht="28.5">
      <c r="A34" s="274" t="s">
        <v>11</v>
      </c>
      <c r="B34" s="27" t="s">
        <v>12</v>
      </c>
      <c r="C34" s="27" t="s">
        <v>1005</v>
      </c>
      <c r="D34" s="46"/>
      <c r="E34" s="46"/>
      <c r="F34" s="46" t="s">
        <v>995</v>
      </c>
      <c r="G34" s="46" t="s">
        <v>994</v>
      </c>
      <c r="H34" s="46">
        <v>123233</v>
      </c>
      <c r="I34" s="376" t="s">
        <v>1553</v>
      </c>
      <c r="J34" s="91" t="s">
        <v>16</v>
      </c>
      <c r="K34" s="123">
        <v>3.2</v>
      </c>
      <c r="L34" s="219"/>
      <c r="M34" s="30">
        <f>8136-6496</f>
        <v>1640</v>
      </c>
      <c r="N34" s="30">
        <f>34699-27373</f>
        <v>7326</v>
      </c>
      <c r="O34" s="124">
        <f t="shared" si="1"/>
        <v>8966</v>
      </c>
    </row>
    <row r="35" spans="1:15" ht="28.5">
      <c r="A35" s="274" t="s">
        <v>11</v>
      </c>
      <c r="B35" s="27" t="s">
        <v>12</v>
      </c>
      <c r="C35" s="27" t="s">
        <v>323</v>
      </c>
      <c r="D35" s="46"/>
      <c r="E35" s="46"/>
      <c r="F35" s="46" t="s">
        <v>995</v>
      </c>
      <c r="G35" s="46" t="s">
        <v>994</v>
      </c>
      <c r="H35" s="46">
        <v>44612</v>
      </c>
      <c r="I35" s="387" t="s">
        <v>1554</v>
      </c>
      <c r="J35" s="91" t="s">
        <v>16</v>
      </c>
      <c r="K35" s="123">
        <v>0.6</v>
      </c>
      <c r="L35" s="219"/>
      <c r="M35" s="30">
        <f>13216-10456</f>
        <v>2760</v>
      </c>
      <c r="N35" s="30">
        <f>40855-33305</f>
        <v>7550</v>
      </c>
      <c r="O35" s="124">
        <f t="shared" si="1"/>
        <v>10310</v>
      </c>
    </row>
    <row r="36" spans="1:15" ht="28.5">
      <c r="A36" s="274" t="s">
        <v>11</v>
      </c>
      <c r="B36" s="27" t="s">
        <v>12</v>
      </c>
      <c r="C36" s="27" t="s">
        <v>1006</v>
      </c>
      <c r="D36" s="46"/>
      <c r="E36" s="46"/>
      <c r="F36" s="46" t="s">
        <v>995</v>
      </c>
      <c r="G36" s="46" t="s">
        <v>994</v>
      </c>
      <c r="H36" s="46">
        <v>123232</v>
      </c>
      <c r="I36" s="387" t="s">
        <v>1555</v>
      </c>
      <c r="J36" s="91" t="s">
        <v>16</v>
      </c>
      <c r="K36" s="123">
        <v>1.6</v>
      </c>
      <c r="L36" s="219"/>
      <c r="M36" s="30">
        <f>8065-6357</f>
        <v>1708</v>
      </c>
      <c r="N36" s="30">
        <f>33787-26695</f>
        <v>7092</v>
      </c>
      <c r="O36" s="124">
        <f t="shared" si="1"/>
        <v>8800</v>
      </c>
    </row>
    <row r="37" spans="1:15" ht="28.5">
      <c r="A37" s="274" t="s">
        <v>11</v>
      </c>
      <c r="B37" s="27" t="s">
        <v>12</v>
      </c>
      <c r="C37" s="27" t="s">
        <v>1007</v>
      </c>
      <c r="D37" s="46"/>
      <c r="E37" s="46">
        <v>7</v>
      </c>
      <c r="F37" s="46" t="s">
        <v>995</v>
      </c>
      <c r="G37" s="46" t="s">
        <v>994</v>
      </c>
      <c r="H37" s="46">
        <v>123237</v>
      </c>
      <c r="I37" s="376" t="s">
        <v>1556</v>
      </c>
      <c r="J37" s="91" t="s">
        <v>16</v>
      </c>
      <c r="K37" s="123">
        <v>1.8</v>
      </c>
      <c r="L37" s="219"/>
      <c r="M37" s="30">
        <f>8205-6586</f>
        <v>1619</v>
      </c>
      <c r="N37" s="30">
        <f>35269-28101</f>
        <v>7168</v>
      </c>
      <c r="O37" s="124">
        <f t="shared" si="1"/>
        <v>8787</v>
      </c>
    </row>
    <row r="38" spans="1:15" ht="28.5">
      <c r="A38" s="274" t="s">
        <v>11</v>
      </c>
      <c r="B38" s="27" t="s">
        <v>12</v>
      </c>
      <c r="C38" s="27" t="s">
        <v>1008</v>
      </c>
      <c r="D38" s="46"/>
      <c r="E38" s="46">
        <v>32</v>
      </c>
      <c r="F38" s="46" t="s">
        <v>995</v>
      </c>
      <c r="G38" s="46" t="s">
        <v>994</v>
      </c>
      <c r="H38" s="46">
        <v>123238</v>
      </c>
      <c r="I38" s="387" t="s">
        <v>1580</v>
      </c>
      <c r="J38" s="91" t="s">
        <v>16</v>
      </c>
      <c r="K38" s="123">
        <v>1.5</v>
      </c>
      <c r="L38" s="219"/>
      <c r="M38" s="30">
        <f>7022-5726</f>
        <v>1296</v>
      </c>
      <c r="N38" s="30">
        <f>30421-24690</f>
        <v>5731</v>
      </c>
      <c r="O38" s="124">
        <f aca="true" t="shared" si="2" ref="O38:O62">SUM(M38:N38)</f>
        <v>7027</v>
      </c>
    </row>
    <row r="39" spans="1:15" ht="28.5">
      <c r="A39" s="274" t="s">
        <v>11</v>
      </c>
      <c r="B39" s="27" t="s">
        <v>12</v>
      </c>
      <c r="C39" s="27" t="s">
        <v>1009</v>
      </c>
      <c r="D39" s="46"/>
      <c r="E39" s="46">
        <v>59</v>
      </c>
      <c r="F39" s="46" t="s">
        <v>995</v>
      </c>
      <c r="G39" s="46" t="s">
        <v>994</v>
      </c>
      <c r="H39" s="46">
        <v>118479</v>
      </c>
      <c r="I39" s="387" t="s">
        <v>1558</v>
      </c>
      <c r="J39" s="91" t="s">
        <v>16</v>
      </c>
      <c r="K39" s="123">
        <v>4.2</v>
      </c>
      <c r="L39" s="219"/>
      <c r="M39" s="30">
        <f>17912-14322</f>
        <v>3590</v>
      </c>
      <c r="N39" s="30">
        <f>73721-58455</f>
        <v>15266</v>
      </c>
      <c r="O39" s="124">
        <f t="shared" si="2"/>
        <v>18856</v>
      </c>
    </row>
    <row r="40" spans="1:15" ht="28.5">
      <c r="A40" s="274" t="s">
        <v>11</v>
      </c>
      <c r="B40" s="27" t="s">
        <v>12</v>
      </c>
      <c r="C40" s="27" t="s">
        <v>1010</v>
      </c>
      <c r="D40" s="46"/>
      <c r="E40" s="46">
        <v>22</v>
      </c>
      <c r="F40" s="46" t="s">
        <v>995</v>
      </c>
      <c r="G40" s="46" t="s">
        <v>994</v>
      </c>
      <c r="H40" s="46">
        <v>118477</v>
      </c>
      <c r="I40" s="376" t="s">
        <v>1931</v>
      </c>
      <c r="J40" s="91" t="s">
        <v>16</v>
      </c>
      <c r="K40" s="123">
        <v>2.2</v>
      </c>
      <c r="L40" s="219"/>
      <c r="M40" s="30">
        <v>367</v>
      </c>
      <c r="N40" s="30">
        <v>1429</v>
      </c>
      <c r="O40" s="124">
        <f t="shared" si="2"/>
        <v>1796</v>
      </c>
    </row>
    <row r="41" spans="1:15" ht="28.5">
      <c r="A41" s="274" t="s">
        <v>11</v>
      </c>
      <c r="B41" s="27" t="s">
        <v>12</v>
      </c>
      <c r="C41" s="27" t="s">
        <v>1011</v>
      </c>
      <c r="D41" s="46"/>
      <c r="E41" s="46"/>
      <c r="F41" s="46" t="s">
        <v>995</v>
      </c>
      <c r="G41" s="46" t="s">
        <v>994</v>
      </c>
      <c r="H41" s="46">
        <v>123231</v>
      </c>
      <c r="I41" s="387" t="s">
        <v>1560</v>
      </c>
      <c r="J41" s="91" t="s">
        <v>16</v>
      </c>
      <c r="K41" s="123">
        <v>2.2</v>
      </c>
      <c r="L41" s="219"/>
      <c r="M41" s="30">
        <f>3750-2965</f>
        <v>785</v>
      </c>
      <c r="N41" s="30">
        <f>14700-11520</f>
        <v>3180</v>
      </c>
      <c r="O41" s="124">
        <f t="shared" si="2"/>
        <v>3965</v>
      </c>
    </row>
    <row r="42" spans="1:15" ht="28.5">
      <c r="A42" s="274" t="s">
        <v>11</v>
      </c>
      <c r="B42" s="27" t="s">
        <v>12</v>
      </c>
      <c r="C42" s="27" t="s">
        <v>1011</v>
      </c>
      <c r="D42" s="46"/>
      <c r="E42" s="46">
        <v>27</v>
      </c>
      <c r="F42" s="46" t="s">
        <v>995</v>
      </c>
      <c r="G42" s="46" t="s">
        <v>994</v>
      </c>
      <c r="H42" s="46">
        <v>123236</v>
      </c>
      <c r="I42" s="387" t="s">
        <v>1561</v>
      </c>
      <c r="J42" s="91" t="s">
        <v>16</v>
      </c>
      <c r="K42" s="123">
        <v>2.2</v>
      </c>
      <c r="L42" s="219"/>
      <c r="M42" s="30">
        <f>4484-3504</f>
        <v>980</v>
      </c>
      <c r="N42" s="30">
        <f>18322-14326</f>
        <v>3996</v>
      </c>
      <c r="O42" s="124">
        <f t="shared" si="2"/>
        <v>4976</v>
      </c>
    </row>
    <row r="43" spans="1:15" ht="28.5">
      <c r="A43" s="274" t="s">
        <v>11</v>
      </c>
      <c r="B43" s="27" t="s">
        <v>12</v>
      </c>
      <c r="C43" s="27" t="s">
        <v>1012</v>
      </c>
      <c r="D43" s="46"/>
      <c r="E43" s="46"/>
      <c r="F43" s="46" t="s">
        <v>995</v>
      </c>
      <c r="G43" s="46" t="s">
        <v>994</v>
      </c>
      <c r="H43" s="46">
        <v>123230</v>
      </c>
      <c r="I43" s="376" t="s">
        <v>1562</v>
      </c>
      <c r="J43" s="91" t="s">
        <v>16</v>
      </c>
      <c r="K43" s="123">
        <v>1.5</v>
      </c>
      <c r="L43" s="219"/>
      <c r="M43" s="30">
        <f>6165-4914</f>
        <v>1251</v>
      </c>
      <c r="N43" s="30">
        <f>24822-19630</f>
        <v>5192</v>
      </c>
      <c r="O43" s="124">
        <f t="shared" si="2"/>
        <v>6443</v>
      </c>
    </row>
    <row r="44" spans="1:15" ht="28.5">
      <c r="A44" s="274" t="s">
        <v>11</v>
      </c>
      <c r="B44" s="27" t="s">
        <v>12</v>
      </c>
      <c r="C44" s="27" t="s">
        <v>1013</v>
      </c>
      <c r="D44" s="46"/>
      <c r="E44" s="46"/>
      <c r="F44" s="46" t="s">
        <v>995</v>
      </c>
      <c r="G44" s="46" t="s">
        <v>994</v>
      </c>
      <c r="H44" s="46">
        <v>123235</v>
      </c>
      <c r="I44" s="387" t="s">
        <v>1563</v>
      </c>
      <c r="J44" s="91" t="s">
        <v>16</v>
      </c>
      <c r="K44" s="123">
        <v>2.8</v>
      </c>
      <c r="L44" s="219"/>
      <c r="M44" s="30">
        <f>6124-5199</f>
        <v>925</v>
      </c>
      <c r="N44" s="30">
        <f>26222-21901</f>
        <v>4321</v>
      </c>
      <c r="O44" s="124">
        <f t="shared" si="2"/>
        <v>5246</v>
      </c>
    </row>
    <row r="45" spans="1:15" ht="28.5">
      <c r="A45" s="274" t="s">
        <v>11</v>
      </c>
      <c r="B45" s="27" t="s">
        <v>12</v>
      </c>
      <c r="C45" s="27" t="s">
        <v>1014</v>
      </c>
      <c r="D45" s="46"/>
      <c r="E45" s="46"/>
      <c r="F45" s="46" t="s">
        <v>995</v>
      </c>
      <c r="G45" s="46" t="s">
        <v>994</v>
      </c>
      <c r="H45" s="46">
        <v>123234</v>
      </c>
      <c r="I45" s="387" t="s">
        <v>1564</v>
      </c>
      <c r="J45" s="91" t="s">
        <v>16</v>
      </c>
      <c r="K45" s="123">
        <v>1.7</v>
      </c>
      <c r="L45" s="219"/>
      <c r="M45" s="30">
        <f>2199-1491</f>
        <v>708</v>
      </c>
      <c r="N45" s="30">
        <f>9548-6626</f>
        <v>2922</v>
      </c>
      <c r="O45" s="124">
        <f t="shared" si="2"/>
        <v>3630</v>
      </c>
    </row>
    <row r="46" spans="1:15" ht="28.5">
      <c r="A46" s="274" t="s">
        <v>11</v>
      </c>
      <c r="B46" s="27" t="s">
        <v>12</v>
      </c>
      <c r="C46" s="27" t="s">
        <v>1015</v>
      </c>
      <c r="D46" s="46"/>
      <c r="E46" s="46"/>
      <c r="F46" s="46" t="s">
        <v>995</v>
      </c>
      <c r="G46" s="46" t="s">
        <v>994</v>
      </c>
      <c r="H46" s="46">
        <v>105603</v>
      </c>
      <c r="I46" s="376" t="s">
        <v>1566</v>
      </c>
      <c r="J46" s="91" t="s">
        <v>16</v>
      </c>
      <c r="K46" s="123">
        <v>2.2</v>
      </c>
      <c r="L46" s="219"/>
      <c r="M46" s="30">
        <f>3350-2711</f>
        <v>639</v>
      </c>
      <c r="N46" s="30">
        <f>14771-11889</f>
        <v>2882</v>
      </c>
      <c r="O46" s="124">
        <f t="shared" si="2"/>
        <v>3521</v>
      </c>
    </row>
    <row r="47" spans="1:15" ht="28.5">
      <c r="A47" s="274" t="s">
        <v>11</v>
      </c>
      <c r="B47" s="27" t="s">
        <v>12</v>
      </c>
      <c r="C47" s="27" t="s">
        <v>1016</v>
      </c>
      <c r="D47" s="46"/>
      <c r="E47" s="46"/>
      <c r="F47" s="46" t="s">
        <v>995</v>
      </c>
      <c r="G47" s="46" t="s">
        <v>994</v>
      </c>
      <c r="H47" s="46">
        <v>8374</v>
      </c>
      <c r="I47" s="387" t="s">
        <v>1567</v>
      </c>
      <c r="J47" s="91" t="s">
        <v>16</v>
      </c>
      <c r="K47" s="123">
        <v>3.1</v>
      </c>
      <c r="L47" s="219"/>
      <c r="M47" s="30">
        <f>13610-11906</f>
        <v>1704</v>
      </c>
      <c r="N47" s="30">
        <f>39200-32409</f>
        <v>6791</v>
      </c>
      <c r="O47" s="124">
        <f t="shared" si="2"/>
        <v>8495</v>
      </c>
    </row>
    <row r="48" spans="1:15" ht="28.5">
      <c r="A48" s="274" t="s">
        <v>11</v>
      </c>
      <c r="B48" s="27" t="s">
        <v>12</v>
      </c>
      <c r="C48" s="27" t="s">
        <v>1017</v>
      </c>
      <c r="D48" s="46"/>
      <c r="E48" s="46"/>
      <c r="F48" s="46" t="s">
        <v>995</v>
      </c>
      <c r="G48" s="46" t="s">
        <v>994</v>
      </c>
      <c r="H48" s="46">
        <v>36649</v>
      </c>
      <c r="I48" s="387" t="s">
        <v>1568</v>
      </c>
      <c r="J48" s="91" t="s">
        <v>16</v>
      </c>
      <c r="K48" s="123">
        <v>3.8</v>
      </c>
      <c r="L48" s="219"/>
      <c r="M48" s="30">
        <f>28644-26709</f>
        <v>1935</v>
      </c>
      <c r="N48" s="30">
        <f>102801-94847</f>
        <v>7954</v>
      </c>
      <c r="O48" s="124">
        <f t="shared" si="2"/>
        <v>9889</v>
      </c>
    </row>
    <row r="49" spans="1:15" ht="28.5">
      <c r="A49" s="274" t="s">
        <v>11</v>
      </c>
      <c r="B49" s="27" t="s">
        <v>12</v>
      </c>
      <c r="C49" s="27" t="s">
        <v>1017</v>
      </c>
      <c r="D49" s="46"/>
      <c r="E49" s="46"/>
      <c r="F49" s="46" t="s">
        <v>995</v>
      </c>
      <c r="G49" s="46" t="s">
        <v>994</v>
      </c>
      <c r="H49" s="46">
        <v>122810</v>
      </c>
      <c r="I49" s="376" t="s">
        <v>1569</v>
      </c>
      <c r="J49" s="91" t="s">
        <v>16</v>
      </c>
      <c r="K49" s="123">
        <v>0.9</v>
      </c>
      <c r="L49" s="219"/>
      <c r="M49" s="30">
        <f>1746-1404</f>
        <v>342</v>
      </c>
      <c r="N49" s="30">
        <f>7155-5704</f>
        <v>1451</v>
      </c>
      <c r="O49" s="124">
        <f t="shared" si="2"/>
        <v>1793</v>
      </c>
    </row>
    <row r="50" spans="1:15" ht="28.5">
      <c r="A50" s="274" t="s">
        <v>11</v>
      </c>
      <c r="B50" s="27" t="s">
        <v>12</v>
      </c>
      <c r="C50" s="27" t="s">
        <v>1018</v>
      </c>
      <c r="D50" s="46" t="s">
        <v>1703</v>
      </c>
      <c r="E50" s="46"/>
      <c r="F50" s="46" t="s">
        <v>995</v>
      </c>
      <c r="G50" s="46" t="s">
        <v>994</v>
      </c>
      <c r="H50" s="46">
        <v>122811</v>
      </c>
      <c r="I50" s="387" t="s">
        <v>1570</v>
      </c>
      <c r="J50" s="91" t="s">
        <v>16</v>
      </c>
      <c r="K50" s="123">
        <v>1.2</v>
      </c>
      <c r="L50" s="219"/>
      <c r="M50" s="30">
        <f>3609-2780</f>
        <v>829</v>
      </c>
      <c r="N50" s="30">
        <f>14458-11164</f>
        <v>3294</v>
      </c>
      <c r="O50" s="124">
        <f t="shared" si="2"/>
        <v>4123</v>
      </c>
    </row>
    <row r="51" spans="1:15" ht="28.5">
      <c r="A51" s="274" t="s">
        <v>11</v>
      </c>
      <c r="B51" s="27" t="s">
        <v>12</v>
      </c>
      <c r="C51" s="27" t="s">
        <v>1018</v>
      </c>
      <c r="D51" s="46"/>
      <c r="E51" s="46"/>
      <c r="F51" s="46" t="s">
        <v>995</v>
      </c>
      <c r="G51" s="46" t="s">
        <v>994</v>
      </c>
      <c r="H51" s="46">
        <v>110526</v>
      </c>
      <c r="I51" s="387" t="s">
        <v>1571</v>
      </c>
      <c r="J51" s="91" t="s">
        <v>16</v>
      </c>
      <c r="K51" s="123">
        <v>0.8</v>
      </c>
      <c r="L51" s="219"/>
      <c r="M51" s="30">
        <f>1752-1488</f>
        <v>264</v>
      </c>
      <c r="N51" s="30">
        <f>7655-5869</f>
        <v>1786</v>
      </c>
      <c r="O51" s="124">
        <f t="shared" si="2"/>
        <v>2050</v>
      </c>
    </row>
    <row r="52" spans="1:15" ht="28.5">
      <c r="A52" s="274" t="s">
        <v>11</v>
      </c>
      <c r="B52" s="27" t="s">
        <v>12</v>
      </c>
      <c r="C52" s="27" t="s">
        <v>1019</v>
      </c>
      <c r="D52" s="46"/>
      <c r="E52" s="46"/>
      <c r="F52" s="46" t="s">
        <v>995</v>
      </c>
      <c r="G52" s="46" t="s">
        <v>994</v>
      </c>
      <c r="H52" s="46">
        <v>122815</v>
      </c>
      <c r="I52" s="376" t="s">
        <v>1572</v>
      </c>
      <c r="J52" s="91" t="s">
        <v>16</v>
      </c>
      <c r="K52" s="123">
        <v>1.2</v>
      </c>
      <c r="L52" s="219"/>
      <c r="M52" s="30">
        <f>5845-4735</f>
        <v>1110</v>
      </c>
      <c r="N52" s="30">
        <f>23511-18928</f>
        <v>4583</v>
      </c>
      <c r="O52" s="124">
        <f t="shared" si="2"/>
        <v>5693</v>
      </c>
    </row>
    <row r="53" spans="1:15" ht="28.5">
      <c r="A53" s="274" t="s">
        <v>11</v>
      </c>
      <c r="B53" s="27" t="s">
        <v>12</v>
      </c>
      <c r="C53" s="27" t="s">
        <v>1020</v>
      </c>
      <c r="D53" s="46"/>
      <c r="E53" s="46"/>
      <c r="F53" s="46" t="s">
        <v>995</v>
      </c>
      <c r="G53" s="46" t="s">
        <v>994</v>
      </c>
      <c r="H53" s="46">
        <v>122817</v>
      </c>
      <c r="I53" s="387" t="s">
        <v>1573</v>
      </c>
      <c r="J53" s="91" t="s">
        <v>16</v>
      </c>
      <c r="K53" s="123">
        <v>1.5</v>
      </c>
      <c r="L53" s="219"/>
      <c r="M53" s="30">
        <f>3620-2994</f>
        <v>626</v>
      </c>
      <c r="N53" s="30">
        <f>16218-13172</f>
        <v>3046</v>
      </c>
      <c r="O53" s="124">
        <f t="shared" si="2"/>
        <v>3672</v>
      </c>
    </row>
    <row r="54" spans="1:15" ht="28.5">
      <c r="A54" s="274" t="s">
        <v>11</v>
      </c>
      <c r="B54" s="27" t="s">
        <v>12</v>
      </c>
      <c r="C54" s="27" t="s">
        <v>1021</v>
      </c>
      <c r="D54" s="46"/>
      <c r="E54" s="46"/>
      <c r="F54" s="46" t="s">
        <v>995</v>
      </c>
      <c r="G54" s="46" t="s">
        <v>994</v>
      </c>
      <c r="H54" s="46">
        <v>122816</v>
      </c>
      <c r="I54" s="387" t="s">
        <v>1574</v>
      </c>
      <c r="J54" s="91" t="s">
        <v>16</v>
      </c>
      <c r="K54" s="123">
        <v>1.4</v>
      </c>
      <c r="L54" s="219"/>
      <c r="M54" s="30">
        <f>4025-3194</f>
        <v>831</v>
      </c>
      <c r="N54" s="30">
        <f>16322-12984</f>
        <v>3338</v>
      </c>
      <c r="O54" s="124">
        <f t="shared" si="2"/>
        <v>4169</v>
      </c>
    </row>
    <row r="55" spans="1:15" ht="28.5">
      <c r="A55" s="274" t="s">
        <v>11</v>
      </c>
      <c r="B55" s="27" t="s">
        <v>12</v>
      </c>
      <c r="C55" s="27" t="s">
        <v>1022</v>
      </c>
      <c r="D55" s="46"/>
      <c r="E55" s="46"/>
      <c r="F55" s="46" t="s">
        <v>995</v>
      </c>
      <c r="G55" s="46" t="s">
        <v>994</v>
      </c>
      <c r="H55" s="46">
        <v>122813</v>
      </c>
      <c r="I55" s="376" t="s">
        <v>1575</v>
      </c>
      <c r="J55" s="91" t="s">
        <v>16</v>
      </c>
      <c r="K55" s="123">
        <v>2.2</v>
      </c>
      <c r="L55" s="219"/>
      <c r="M55" s="30">
        <f>4403-3547</f>
        <v>856</v>
      </c>
      <c r="N55" s="30">
        <f>18456-14673</f>
        <v>3783</v>
      </c>
      <c r="O55" s="124">
        <f t="shared" si="2"/>
        <v>4639</v>
      </c>
    </row>
    <row r="56" spans="1:15" ht="28.5">
      <c r="A56" s="274" t="s">
        <v>11</v>
      </c>
      <c r="B56" s="27" t="s">
        <v>12</v>
      </c>
      <c r="C56" s="27" t="s">
        <v>1023</v>
      </c>
      <c r="D56" s="46"/>
      <c r="E56" s="46"/>
      <c r="F56" s="46" t="s">
        <v>995</v>
      </c>
      <c r="G56" s="46" t="s">
        <v>994</v>
      </c>
      <c r="H56" s="46">
        <v>111718</v>
      </c>
      <c r="I56" s="387" t="s">
        <v>1576</v>
      </c>
      <c r="J56" s="91" t="s">
        <v>16</v>
      </c>
      <c r="K56" s="123">
        <v>1.1</v>
      </c>
      <c r="L56" s="219"/>
      <c r="M56" s="30">
        <f>3229-2576</f>
        <v>653</v>
      </c>
      <c r="N56" s="30">
        <f>14288-11200</f>
        <v>3088</v>
      </c>
      <c r="O56" s="124">
        <f t="shared" si="2"/>
        <v>3741</v>
      </c>
    </row>
    <row r="57" spans="1:15" ht="28.5">
      <c r="A57" s="274" t="s">
        <v>11</v>
      </c>
      <c r="B57" s="27" t="s">
        <v>12</v>
      </c>
      <c r="C57" s="27" t="s">
        <v>1024</v>
      </c>
      <c r="D57" s="46"/>
      <c r="E57" s="46"/>
      <c r="F57" s="46" t="s">
        <v>995</v>
      </c>
      <c r="G57" s="46" t="s">
        <v>994</v>
      </c>
      <c r="H57" s="46">
        <v>1001386</v>
      </c>
      <c r="I57" s="387" t="s">
        <v>1577</v>
      </c>
      <c r="J57" s="91" t="s">
        <v>16</v>
      </c>
      <c r="K57" s="123">
        <v>1.1</v>
      </c>
      <c r="L57" s="219"/>
      <c r="M57" s="30">
        <f>5751-4570</f>
        <v>1181</v>
      </c>
      <c r="N57" s="30">
        <f>22243-17294</f>
        <v>4949</v>
      </c>
      <c r="O57" s="124">
        <f t="shared" si="2"/>
        <v>6130</v>
      </c>
    </row>
    <row r="58" spans="1:15" ht="28.5">
      <c r="A58" s="274" t="s">
        <v>11</v>
      </c>
      <c r="B58" s="27" t="s">
        <v>12</v>
      </c>
      <c r="C58" s="27" t="s">
        <v>1024</v>
      </c>
      <c r="D58" s="46"/>
      <c r="E58" s="46"/>
      <c r="F58" s="46" t="s">
        <v>995</v>
      </c>
      <c r="G58" s="46" t="s">
        <v>994</v>
      </c>
      <c r="H58" s="46">
        <v>122812</v>
      </c>
      <c r="I58" s="376" t="s">
        <v>1578</v>
      </c>
      <c r="J58" s="91" t="s">
        <v>16</v>
      </c>
      <c r="K58" s="123">
        <v>1.8</v>
      </c>
      <c r="L58" s="219"/>
      <c r="M58" s="30">
        <f>1980-1599</f>
        <v>381</v>
      </c>
      <c r="N58" s="30">
        <f>8195-6314</f>
        <v>1881</v>
      </c>
      <c r="O58" s="124">
        <f t="shared" si="2"/>
        <v>2262</v>
      </c>
    </row>
    <row r="59" spans="1:15" ht="28.5">
      <c r="A59" s="274" t="s">
        <v>11</v>
      </c>
      <c r="B59" s="27" t="s">
        <v>12</v>
      </c>
      <c r="C59" s="27" t="s">
        <v>1024</v>
      </c>
      <c r="D59" s="46"/>
      <c r="E59" s="46"/>
      <c r="F59" s="46" t="s">
        <v>995</v>
      </c>
      <c r="G59" s="46" t="s">
        <v>994</v>
      </c>
      <c r="H59" s="46">
        <v>112482</v>
      </c>
      <c r="I59" s="387" t="s">
        <v>1579</v>
      </c>
      <c r="J59" s="91" t="s">
        <v>16</v>
      </c>
      <c r="K59" s="123">
        <v>0.3</v>
      </c>
      <c r="L59" s="219"/>
      <c r="M59" s="30">
        <f>747-588</f>
        <v>159</v>
      </c>
      <c r="N59" s="30">
        <f>3389-2463</f>
        <v>926</v>
      </c>
      <c r="O59" s="124">
        <f t="shared" si="2"/>
        <v>1085</v>
      </c>
    </row>
    <row r="60" spans="1:15" ht="28.5">
      <c r="A60" s="274" t="s">
        <v>11</v>
      </c>
      <c r="B60" s="27" t="s">
        <v>12</v>
      </c>
      <c r="C60" s="27" t="s">
        <v>1025</v>
      </c>
      <c r="D60" s="46"/>
      <c r="E60" s="46">
        <v>14</v>
      </c>
      <c r="F60" s="46" t="s">
        <v>995</v>
      </c>
      <c r="G60" s="46" t="s">
        <v>994</v>
      </c>
      <c r="H60" s="46">
        <v>42086</v>
      </c>
      <c r="I60" s="387" t="s">
        <v>1557</v>
      </c>
      <c r="J60" s="91" t="s">
        <v>16</v>
      </c>
      <c r="K60" s="123">
        <v>1.4</v>
      </c>
      <c r="L60" s="219"/>
      <c r="M60" s="30">
        <f>10090-8315</f>
        <v>1775</v>
      </c>
      <c r="N60" s="30">
        <f>30258-25632</f>
        <v>4626</v>
      </c>
      <c r="O60" s="124">
        <f>SUM(M60:N60)</f>
        <v>6401</v>
      </c>
    </row>
    <row r="61" spans="1:15" ht="28.5">
      <c r="A61" s="275" t="s">
        <v>11</v>
      </c>
      <c r="B61" s="27" t="s">
        <v>12</v>
      </c>
      <c r="C61" s="27" t="s">
        <v>1010</v>
      </c>
      <c r="D61" s="46"/>
      <c r="E61" s="46">
        <v>6</v>
      </c>
      <c r="F61" s="46" t="s">
        <v>995</v>
      </c>
      <c r="G61" s="46" t="s">
        <v>994</v>
      </c>
      <c r="H61" s="46">
        <v>118476</v>
      </c>
      <c r="I61" s="376" t="s">
        <v>1559</v>
      </c>
      <c r="J61" s="91" t="s">
        <v>16</v>
      </c>
      <c r="K61" s="123">
        <v>2.2</v>
      </c>
      <c r="L61" s="219"/>
      <c r="M61" s="30">
        <f>4855-3775</f>
        <v>1080</v>
      </c>
      <c r="N61" s="30">
        <f>19755-15211</f>
        <v>4544</v>
      </c>
      <c r="O61" s="124">
        <f>SUM(M61:N61)</f>
        <v>5624</v>
      </c>
    </row>
    <row r="62" spans="1:15" ht="28.5">
      <c r="A62" s="275" t="s">
        <v>11</v>
      </c>
      <c r="B62" s="32" t="s">
        <v>12</v>
      </c>
      <c r="C62" s="32" t="s">
        <v>1026</v>
      </c>
      <c r="D62" s="49"/>
      <c r="E62" s="49">
        <v>11</v>
      </c>
      <c r="F62" s="49" t="s">
        <v>995</v>
      </c>
      <c r="G62" s="49" t="s">
        <v>994</v>
      </c>
      <c r="H62" s="49">
        <v>122819</v>
      </c>
      <c r="I62" s="467" t="s">
        <v>1565</v>
      </c>
      <c r="J62" s="392" t="s">
        <v>16</v>
      </c>
      <c r="K62" s="393">
        <v>2.4</v>
      </c>
      <c r="L62" s="394"/>
      <c r="M62" s="162">
        <f>4397-3595</f>
        <v>802</v>
      </c>
      <c r="N62" s="162">
        <f>18169-14568</f>
        <v>3601</v>
      </c>
      <c r="O62" s="395">
        <f t="shared" si="2"/>
        <v>4403</v>
      </c>
    </row>
    <row r="63" spans="1:15" ht="29.25" thickBot="1">
      <c r="A63" s="300" t="s">
        <v>11</v>
      </c>
      <c r="B63" s="32" t="s">
        <v>12</v>
      </c>
      <c r="C63" s="27" t="s">
        <v>1018</v>
      </c>
      <c r="D63" s="46"/>
      <c r="E63" s="46">
        <v>10</v>
      </c>
      <c r="F63" s="46" t="s">
        <v>995</v>
      </c>
      <c r="G63" s="46" t="s">
        <v>994</v>
      </c>
      <c r="H63" s="46">
        <v>106428</v>
      </c>
      <c r="I63" s="376" t="s">
        <v>1762</v>
      </c>
      <c r="J63" s="90" t="s">
        <v>152</v>
      </c>
      <c r="K63" s="123">
        <v>6</v>
      </c>
      <c r="L63" s="434">
        <f>6186-4548</f>
        <v>1638</v>
      </c>
      <c r="M63" s="352"/>
      <c r="N63" s="352"/>
      <c r="O63" s="370">
        <f>L63</f>
        <v>1638</v>
      </c>
    </row>
    <row r="64" spans="2:15" ht="42" customHeight="1">
      <c r="B64" s="536" t="s">
        <v>155</v>
      </c>
      <c r="C64" s="295" t="s">
        <v>1970</v>
      </c>
      <c r="D64" s="34"/>
      <c r="E64" s="84"/>
      <c r="F64" s="84"/>
      <c r="G64" s="84"/>
      <c r="H64" s="672" t="s">
        <v>2097</v>
      </c>
      <c r="I64" s="34" t="s">
        <v>1970</v>
      </c>
      <c r="M64" s="1"/>
      <c r="N64" s="53" t="s">
        <v>156</v>
      </c>
      <c r="O64" s="349">
        <f>SUM(O18:O63)</f>
        <v>370831</v>
      </c>
    </row>
    <row r="65" spans="2:14" ht="15">
      <c r="B65" s="279"/>
      <c r="C65" s="76" t="s">
        <v>1027</v>
      </c>
      <c r="D65" s="38"/>
      <c r="E65" s="84"/>
      <c r="F65" s="84"/>
      <c r="G65" s="84"/>
      <c r="H65" s="36"/>
      <c r="I65" s="38" t="s">
        <v>1027</v>
      </c>
      <c r="M65" s="1"/>
      <c r="N65" s="120"/>
    </row>
    <row r="66" spans="2:14" ht="15.75" thickBot="1">
      <c r="B66" s="279"/>
      <c r="C66" s="76" t="s">
        <v>1028</v>
      </c>
      <c r="D66" s="38"/>
      <c r="E66" s="587"/>
      <c r="F66" s="587"/>
      <c r="G66" s="587"/>
      <c r="H66" s="588"/>
      <c r="I66" s="41" t="s">
        <v>1028</v>
      </c>
      <c r="M66" s="105"/>
      <c r="N66" s="120"/>
    </row>
    <row r="67" spans="2:14" ht="15">
      <c r="B67" s="279" t="s">
        <v>1670</v>
      </c>
      <c r="C67" s="554">
        <v>8221002958</v>
      </c>
      <c r="D67" s="38"/>
      <c r="E67" s="587"/>
      <c r="F67" s="587"/>
      <c r="G67" s="587"/>
      <c r="H67" s="587"/>
      <c r="I67" s="587"/>
      <c r="M67" s="1"/>
      <c r="N67" s="120"/>
    </row>
    <row r="68" spans="2:14" ht="15.75" thickBot="1">
      <c r="B68" s="589" t="s">
        <v>1674</v>
      </c>
      <c r="C68" s="590" t="s">
        <v>2066</v>
      </c>
      <c r="D68" s="591"/>
      <c r="E68" s="587"/>
      <c r="F68" s="587"/>
      <c r="G68" s="587"/>
      <c r="H68" s="587"/>
      <c r="I68" s="587"/>
      <c r="M68" s="1"/>
      <c r="N68" s="120"/>
    </row>
    <row r="69" spans="1:14" ht="15.75" thickBot="1">
      <c r="A69" s="278"/>
      <c r="B69" s="76"/>
      <c r="C69" s="68"/>
      <c r="D69" s="119"/>
      <c r="H69" s="119"/>
      <c r="M69" s="465"/>
      <c r="N69" s="120"/>
    </row>
    <row r="70" spans="1:21" ht="66" customHeight="1">
      <c r="A70" s="703" t="s">
        <v>0</v>
      </c>
      <c r="B70" s="697" t="s">
        <v>1</v>
      </c>
      <c r="C70" s="697" t="s">
        <v>2</v>
      </c>
      <c r="D70" s="697" t="s">
        <v>3</v>
      </c>
      <c r="E70" s="697" t="s">
        <v>1319</v>
      </c>
      <c r="F70" s="697" t="s">
        <v>5</v>
      </c>
      <c r="G70" s="697" t="s">
        <v>6</v>
      </c>
      <c r="H70" s="691" t="s">
        <v>8</v>
      </c>
      <c r="I70" s="691" t="s">
        <v>753</v>
      </c>
      <c r="J70" s="691" t="s">
        <v>157</v>
      </c>
      <c r="K70" s="790" t="s">
        <v>9</v>
      </c>
      <c r="L70" s="786" t="s">
        <v>1043</v>
      </c>
      <c r="M70" s="689"/>
      <c r="N70" s="689"/>
      <c r="O70" s="787"/>
      <c r="P70" s="786" t="s">
        <v>1044</v>
      </c>
      <c r="Q70" s="689"/>
      <c r="R70" s="689"/>
      <c r="S70" s="787"/>
      <c r="T70" s="691" t="s">
        <v>1820</v>
      </c>
      <c r="U70" s="694" t="s">
        <v>1305</v>
      </c>
    </row>
    <row r="71" spans="1:21" ht="66" customHeight="1">
      <c r="A71" s="704"/>
      <c r="B71" s="698"/>
      <c r="C71" s="698"/>
      <c r="D71" s="698"/>
      <c r="E71" s="698"/>
      <c r="F71" s="698"/>
      <c r="G71" s="698"/>
      <c r="H71" s="692"/>
      <c r="I71" s="692"/>
      <c r="J71" s="692"/>
      <c r="K71" s="791"/>
      <c r="L71" s="788" t="s">
        <v>1041</v>
      </c>
      <c r="M71" s="686" t="s">
        <v>1035</v>
      </c>
      <c r="N71" s="686" t="s">
        <v>1036</v>
      </c>
      <c r="O71" s="784" t="s">
        <v>1045</v>
      </c>
      <c r="P71" s="788" t="s">
        <v>1041</v>
      </c>
      <c r="Q71" s="686" t="s">
        <v>1035</v>
      </c>
      <c r="R71" s="686" t="s">
        <v>1036</v>
      </c>
      <c r="S71" s="784" t="s">
        <v>1045</v>
      </c>
      <c r="T71" s="692"/>
      <c r="U71" s="695"/>
    </row>
    <row r="72" spans="1:21" ht="15" thickBot="1">
      <c r="A72" s="705"/>
      <c r="B72" s="699"/>
      <c r="C72" s="699"/>
      <c r="D72" s="699"/>
      <c r="E72" s="699"/>
      <c r="F72" s="699"/>
      <c r="G72" s="699"/>
      <c r="H72" s="693"/>
      <c r="I72" s="693"/>
      <c r="J72" s="693"/>
      <c r="K72" s="792"/>
      <c r="L72" s="789"/>
      <c r="M72" s="687"/>
      <c r="N72" s="687"/>
      <c r="O72" s="785"/>
      <c r="P72" s="789"/>
      <c r="Q72" s="687"/>
      <c r="R72" s="687"/>
      <c r="S72" s="785"/>
      <c r="T72" s="693"/>
      <c r="U72" s="696"/>
    </row>
    <row r="73" spans="1:21" ht="44.25" thickBot="1">
      <c r="A73" s="274" t="s">
        <v>754</v>
      </c>
      <c r="B73" s="22" t="s">
        <v>12</v>
      </c>
      <c r="C73" s="475" t="s">
        <v>994</v>
      </c>
      <c r="D73" s="476" t="s">
        <v>363</v>
      </c>
      <c r="E73" s="52"/>
      <c r="F73" s="52" t="s">
        <v>995</v>
      </c>
      <c r="G73" s="52" t="s">
        <v>994</v>
      </c>
      <c r="H73" s="389">
        <v>52301082</v>
      </c>
      <c r="I73" s="52">
        <v>83247318</v>
      </c>
      <c r="J73" s="472" t="s">
        <v>152</v>
      </c>
      <c r="K73" s="122">
        <v>2</v>
      </c>
      <c r="L73" s="52">
        <f>59*12</f>
        <v>708</v>
      </c>
      <c r="M73" s="329"/>
      <c r="N73" s="473"/>
      <c r="O73" s="52">
        <f>L73</f>
        <v>708</v>
      </c>
      <c r="P73" s="52">
        <f>L73</f>
        <v>708</v>
      </c>
      <c r="Q73" s="329"/>
      <c r="R73" s="473"/>
      <c r="S73" s="52">
        <f>P73</f>
        <v>708</v>
      </c>
      <c r="T73" s="138" t="s">
        <v>1930</v>
      </c>
      <c r="U73" s="474" t="s">
        <v>1818</v>
      </c>
    </row>
    <row r="74" spans="1:19" ht="33" customHeight="1">
      <c r="A74" s="278"/>
      <c r="B74" s="536" t="s">
        <v>155</v>
      </c>
      <c r="C74" s="295" t="s">
        <v>1829</v>
      </c>
      <c r="D74" s="34"/>
      <c r="H74" s="672" t="s">
        <v>2097</v>
      </c>
      <c r="I74" s="34" t="s">
        <v>1970</v>
      </c>
      <c r="M74" s="465"/>
      <c r="N74" s="120"/>
      <c r="R74" s="53" t="s">
        <v>156</v>
      </c>
      <c r="S74" s="349">
        <f>SUM(S28:S73)</f>
        <v>708</v>
      </c>
    </row>
    <row r="75" spans="1:14" ht="15">
      <c r="A75" s="278"/>
      <c r="B75" s="279"/>
      <c r="C75" s="76" t="s">
        <v>1027</v>
      </c>
      <c r="D75" s="38"/>
      <c r="H75" s="36"/>
      <c r="I75" s="38" t="s">
        <v>1027</v>
      </c>
      <c r="M75" s="465"/>
      <c r="N75" s="120"/>
    </row>
    <row r="76" spans="1:14" ht="15.75" thickBot="1">
      <c r="A76" s="278"/>
      <c r="B76" s="279"/>
      <c r="C76" s="76" t="s">
        <v>1028</v>
      </c>
      <c r="D76" s="38"/>
      <c r="H76" s="588"/>
      <c r="I76" s="41" t="s">
        <v>1028</v>
      </c>
      <c r="M76" s="465"/>
      <c r="N76" s="120"/>
    </row>
    <row r="77" spans="1:14" ht="15.75" thickBot="1">
      <c r="A77" s="278"/>
      <c r="B77" s="238" t="s">
        <v>1670</v>
      </c>
      <c r="C77" s="77" t="s">
        <v>1971</v>
      </c>
      <c r="D77" s="41"/>
      <c r="H77" s="119"/>
      <c r="L77" t="s">
        <v>160</v>
      </c>
      <c r="M77" s="105">
        <f>O64+S74</f>
        <v>371539</v>
      </c>
      <c r="N77" s="120"/>
    </row>
    <row r="78" spans="1:14" ht="15.75" thickBot="1">
      <c r="A78" s="278"/>
      <c r="B78" s="76"/>
      <c r="C78" s="68"/>
      <c r="D78" s="119"/>
      <c r="H78" s="119"/>
      <c r="M78" s="465"/>
      <c r="N78" s="120"/>
    </row>
    <row r="79" spans="4:15" ht="46.5" customHeight="1">
      <c r="D79" s="119"/>
      <c r="K79" s="757" t="s">
        <v>157</v>
      </c>
      <c r="L79" s="706" t="s">
        <v>1034</v>
      </c>
      <c r="M79" s="707"/>
      <c r="N79" s="708"/>
      <c r="O79" s="743" t="s">
        <v>158</v>
      </c>
    </row>
    <row r="80" spans="4:15" ht="25.5" customHeight="1" thickBot="1">
      <c r="D80" s="119"/>
      <c r="K80" s="758"/>
      <c r="L80" s="128" t="s">
        <v>159</v>
      </c>
      <c r="M80" s="128" t="s">
        <v>1035</v>
      </c>
      <c r="N80" s="128" t="s">
        <v>1036</v>
      </c>
      <c r="O80" s="744"/>
    </row>
    <row r="81" spans="4:15" ht="22.5" customHeight="1">
      <c r="D81" s="119"/>
      <c r="K81" s="129" t="s">
        <v>152</v>
      </c>
      <c r="L81" s="101">
        <f>L29+L30+L63+O73</f>
        <v>12217</v>
      </c>
      <c r="M81" s="130"/>
      <c r="N81" s="130"/>
      <c r="O81" s="101">
        <v>4</v>
      </c>
    </row>
    <row r="82" spans="11:15" ht="22.5" customHeight="1" thickBot="1">
      <c r="K82" s="55" t="s">
        <v>16</v>
      </c>
      <c r="L82" s="131"/>
      <c r="M82" s="14">
        <f>SUM(M18:M62)</f>
        <v>68380</v>
      </c>
      <c r="N82" s="14">
        <f>SUM(N18:N62)</f>
        <v>290942</v>
      </c>
      <c r="O82" s="14">
        <v>43</v>
      </c>
    </row>
    <row r="83" spans="11:15" ht="22.5" customHeight="1" thickBot="1">
      <c r="K83" s="132" t="s">
        <v>160</v>
      </c>
      <c r="L83" s="133">
        <f>SUM(L81:L82)</f>
        <v>12217</v>
      </c>
      <c r="M83" s="18">
        <f>SUM(M81:M82)</f>
        <v>68380</v>
      </c>
      <c r="N83" s="15">
        <f>SUM(N81:N82)</f>
        <v>290942</v>
      </c>
      <c r="O83" s="345">
        <f>SUM(O81:O82)</f>
        <v>47</v>
      </c>
    </row>
    <row r="84" spans="12:15" ht="22.5" customHeight="1" thickBot="1">
      <c r="L84" s="20" t="s">
        <v>161</v>
      </c>
      <c r="M84" s="338">
        <f>SUM(L83:N83)</f>
        <v>371539</v>
      </c>
      <c r="N84" s="2"/>
      <c r="O84" s="2"/>
    </row>
  </sheetData>
  <sheetProtection/>
  <mergeCells count="42">
    <mergeCell ref="L16:O16"/>
    <mergeCell ref="F15:F17"/>
    <mergeCell ref="I15:I17"/>
    <mergeCell ref="A15:A17"/>
    <mergeCell ref="B15:B17"/>
    <mergeCell ref="C15:C17"/>
    <mergeCell ref="D15:D17"/>
    <mergeCell ref="E15:E17"/>
    <mergeCell ref="J15:J17"/>
    <mergeCell ref="B1:K1"/>
    <mergeCell ref="K79:K80"/>
    <mergeCell ref="G15:G17"/>
    <mergeCell ref="L79:N79"/>
    <mergeCell ref="O79:O80"/>
    <mergeCell ref="B3:I3"/>
    <mergeCell ref="B5:I5"/>
    <mergeCell ref="H15:H17"/>
    <mergeCell ref="K15:K17"/>
    <mergeCell ref="L15:O15"/>
    <mergeCell ref="A70:A72"/>
    <mergeCell ref="B70:B72"/>
    <mergeCell ref="C70:C72"/>
    <mergeCell ref="D70:D72"/>
    <mergeCell ref="E70:E72"/>
    <mergeCell ref="F70:F72"/>
    <mergeCell ref="R71:R72"/>
    <mergeCell ref="G70:G72"/>
    <mergeCell ref="H70:H72"/>
    <mergeCell ref="I70:I72"/>
    <mergeCell ref="J70:J72"/>
    <mergeCell ref="K70:K72"/>
    <mergeCell ref="L70:O70"/>
    <mergeCell ref="S71:S72"/>
    <mergeCell ref="P70:S70"/>
    <mergeCell ref="T70:T72"/>
    <mergeCell ref="U70:U72"/>
    <mergeCell ref="L71:L72"/>
    <mergeCell ref="M71:M72"/>
    <mergeCell ref="N71:N72"/>
    <mergeCell ref="O71:O72"/>
    <mergeCell ref="P71:P72"/>
    <mergeCell ref="Q71:Q7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7"/>
  <sheetViews>
    <sheetView zoomScale="80" zoomScaleNormal="80" zoomScalePageLayoutView="0" workbookViewId="0" topLeftCell="A79">
      <selection activeCell="D96" sqref="D96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8.0976562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3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3.8984375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</cols>
  <sheetData>
    <row r="1" spans="2:11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1" ht="15">
      <c r="B2" s="220"/>
      <c r="C2" s="220"/>
      <c r="D2" s="220"/>
      <c r="E2" s="220"/>
      <c r="F2" s="220"/>
      <c r="G2" s="220"/>
      <c r="H2" s="221"/>
      <c r="I2" s="222"/>
      <c r="J2" s="220"/>
      <c r="K2" s="220"/>
    </row>
    <row r="3" spans="2:11" ht="29.25" customHeight="1">
      <c r="B3" s="740" t="s">
        <v>1062</v>
      </c>
      <c r="C3" s="741"/>
      <c r="D3" s="741"/>
      <c r="E3" s="741"/>
      <c r="F3" s="741"/>
      <c r="G3" s="741"/>
      <c r="H3" s="741"/>
      <c r="I3" s="741"/>
      <c r="J3" s="742"/>
      <c r="K3" s="220"/>
    </row>
    <row r="4" spans="2:11" ht="19.5" customHeight="1">
      <c r="B4" s="221"/>
      <c r="C4" s="221"/>
      <c r="D4" s="221"/>
      <c r="E4" s="221"/>
      <c r="F4" s="221"/>
      <c r="G4" s="221"/>
      <c r="H4" s="221"/>
      <c r="I4" s="222"/>
      <c r="J4" s="220"/>
      <c r="K4" s="220"/>
    </row>
    <row r="5" spans="2:11" ht="19.5" customHeight="1">
      <c r="B5" s="736" t="s">
        <v>1029</v>
      </c>
      <c r="C5" s="736"/>
      <c r="D5" s="736"/>
      <c r="E5" s="736"/>
      <c r="F5" s="736"/>
      <c r="G5" s="736"/>
      <c r="H5" s="736"/>
      <c r="I5" s="736"/>
      <c r="J5" s="736"/>
      <c r="K5" s="220"/>
    </row>
    <row r="6" spans="2:11" ht="19.5" customHeight="1">
      <c r="B6" s="221"/>
      <c r="C6" s="221"/>
      <c r="D6" s="221"/>
      <c r="E6" s="221"/>
      <c r="F6" s="221"/>
      <c r="G6" s="221"/>
      <c r="H6" s="221"/>
      <c r="I6" s="222"/>
      <c r="J6" s="220"/>
      <c r="K6" s="220"/>
    </row>
    <row r="7" spans="2:11" ht="19.5" customHeight="1">
      <c r="B7" s="502" t="s">
        <v>967</v>
      </c>
      <c r="C7" s="220"/>
      <c r="D7" s="221"/>
      <c r="E7" s="221"/>
      <c r="F7" s="221"/>
      <c r="G7" s="220"/>
      <c r="H7" s="221"/>
      <c r="I7" s="222"/>
      <c r="J7" s="220"/>
      <c r="K7" s="220"/>
    </row>
    <row r="8" spans="2:11" ht="19.5" customHeight="1">
      <c r="B8" s="502" t="s">
        <v>2098</v>
      </c>
      <c r="C8" s="220"/>
      <c r="D8" s="221"/>
      <c r="E8" s="221"/>
      <c r="F8" s="221"/>
      <c r="G8" s="220"/>
      <c r="H8" s="221"/>
      <c r="I8" s="222"/>
      <c r="J8" s="220"/>
      <c r="K8" s="220"/>
    </row>
    <row r="9" spans="2:11" ht="19.5" customHeight="1">
      <c r="B9" s="224" t="s">
        <v>2087</v>
      </c>
      <c r="C9" s="220"/>
      <c r="D9" s="225"/>
      <c r="E9" s="221"/>
      <c r="F9" s="221"/>
      <c r="G9" s="220"/>
      <c r="H9" s="221"/>
      <c r="I9" s="222"/>
      <c r="J9" s="220"/>
      <c r="K9" s="220"/>
    </row>
    <row r="10" spans="2:11" ht="19.5" customHeight="1">
      <c r="B10" s="224" t="s">
        <v>1663</v>
      </c>
      <c r="C10" s="220"/>
      <c r="D10" s="225"/>
      <c r="E10" s="221"/>
      <c r="F10" s="221"/>
      <c r="G10" s="220"/>
      <c r="H10" s="221"/>
      <c r="I10" s="222"/>
      <c r="J10" s="220"/>
      <c r="K10" s="220"/>
    </row>
    <row r="11" spans="2:11" ht="19.5" customHeight="1">
      <c r="B11" s="220" t="s">
        <v>1046</v>
      </c>
      <c r="C11" s="220"/>
      <c r="D11" s="220"/>
      <c r="E11" s="220"/>
      <c r="F11" s="220"/>
      <c r="G11" s="220"/>
      <c r="H11" s="221"/>
      <c r="I11" s="222"/>
      <c r="J11" s="220"/>
      <c r="K11" s="220"/>
    </row>
    <row r="12" spans="2:11" ht="19.5" customHeight="1">
      <c r="B12" s="226" t="s">
        <v>1030</v>
      </c>
      <c r="C12" s="227" t="s">
        <v>1031</v>
      </c>
      <c r="D12" s="225"/>
      <c r="E12" s="225"/>
      <c r="F12" s="225"/>
      <c r="G12" s="225"/>
      <c r="H12" s="228"/>
      <c r="I12" s="220"/>
      <c r="J12" s="220"/>
      <c r="K12" s="220"/>
    </row>
    <row r="13" spans="2:11" ht="19.5" customHeight="1">
      <c r="B13" s="226" t="s">
        <v>1032</v>
      </c>
      <c r="C13" s="223" t="s">
        <v>1033</v>
      </c>
      <c r="D13" s="225"/>
      <c r="E13" s="225"/>
      <c r="F13" s="225"/>
      <c r="G13" s="225"/>
      <c r="H13" s="669"/>
      <c r="I13" s="220"/>
      <c r="J13" s="220"/>
      <c r="K13" s="220"/>
    </row>
    <row r="14" ht="15" thickBot="1"/>
    <row r="15" spans="1:15" ht="45" customHeight="1">
      <c r="A15" s="765" t="s">
        <v>0</v>
      </c>
      <c r="B15" s="768" t="s">
        <v>993</v>
      </c>
      <c r="C15" s="768" t="s">
        <v>2</v>
      </c>
      <c r="D15" s="768" t="s">
        <v>3</v>
      </c>
      <c r="E15" s="762" t="s">
        <v>1038</v>
      </c>
      <c r="F15" s="762" t="s">
        <v>5</v>
      </c>
      <c r="G15" s="768" t="s">
        <v>6</v>
      </c>
      <c r="H15" s="793" t="s">
        <v>7</v>
      </c>
      <c r="I15" s="793" t="s">
        <v>753</v>
      </c>
      <c r="J15" s="793" t="s">
        <v>157</v>
      </c>
      <c r="K15" s="796" t="s">
        <v>992</v>
      </c>
      <c r="L15" s="799" t="s">
        <v>1039</v>
      </c>
      <c r="M15" s="800"/>
      <c r="N15" s="800"/>
      <c r="O15" s="801"/>
    </row>
    <row r="16" spans="1:15" ht="44.25" customHeight="1">
      <c r="A16" s="766"/>
      <c r="B16" s="769"/>
      <c r="C16" s="769"/>
      <c r="D16" s="769"/>
      <c r="E16" s="763"/>
      <c r="F16" s="763"/>
      <c r="G16" s="769"/>
      <c r="H16" s="794"/>
      <c r="I16" s="794"/>
      <c r="J16" s="794"/>
      <c r="K16" s="797"/>
      <c r="L16" s="802" t="s">
        <v>1040</v>
      </c>
      <c r="M16" s="803"/>
      <c r="N16" s="803"/>
      <c r="O16" s="804"/>
    </row>
    <row r="17" spans="1:15" ht="26.25" customHeight="1" thickBot="1">
      <c r="A17" s="767"/>
      <c r="B17" s="770"/>
      <c r="C17" s="770"/>
      <c r="D17" s="770"/>
      <c r="E17" s="764"/>
      <c r="F17" s="764"/>
      <c r="G17" s="770"/>
      <c r="H17" s="795"/>
      <c r="I17" s="795"/>
      <c r="J17" s="795"/>
      <c r="K17" s="798"/>
      <c r="L17" s="170" t="s">
        <v>1041</v>
      </c>
      <c r="M17" s="171" t="s">
        <v>1035</v>
      </c>
      <c r="N17" s="171" t="s">
        <v>1036</v>
      </c>
      <c r="O17" s="172" t="s">
        <v>10</v>
      </c>
    </row>
    <row r="18" spans="1:15" ht="29.25">
      <c r="A18" s="302" t="s">
        <v>11</v>
      </c>
      <c r="B18" s="178" t="s">
        <v>12</v>
      </c>
      <c r="C18" s="178" t="s">
        <v>2041</v>
      </c>
      <c r="D18" s="177"/>
      <c r="E18" s="178"/>
      <c r="F18" s="178" t="s">
        <v>1063</v>
      </c>
      <c r="G18" s="178" t="s">
        <v>1064</v>
      </c>
      <c r="H18" s="380" t="s">
        <v>1441</v>
      </c>
      <c r="I18" s="213">
        <v>1482835</v>
      </c>
      <c r="J18" s="381" t="s">
        <v>16</v>
      </c>
      <c r="K18" s="178">
        <v>0.4</v>
      </c>
      <c r="L18" s="179"/>
      <c r="M18" s="180">
        <f>4050-3753</f>
        <v>297</v>
      </c>
      <c r="N18" s="180">
        <f>3791-2488</f>
        <v>1303</v>
      </c>
      <c r="O18" s="181">
        <f>M18+N18</f>
        <v>1600</v>
      </c>
    </row>
    <row r="19" spans="1:15" ht="29.25">
      <c r="A19" s="302" t="s">
        <v>11</v>
      </c>
      <c r="B19" s="178" t="s">
        <v>12</v>
      </c>
      <c r="C19" s="175" t="s">
        <v>2042</v>
      </c>
      <c r="D19" s="174"/>
      <c r="E19" s="175"/>
      <c r="F19" s="175" t="s">
        <v>1063</v>
      </c>
      <c r="G19" s="175" t="s">
        <v>1064</v>
      </c>
      <c r="H19" s="379" t="s">
        <v>1426</v>
      </c>
      <c r="I19" s="214">
        <v>83247334</v>
      </c>
      <c r="J19" s="382" t="s">
        <v>16</v>
      </c>
      <c r="K19" s="175">
        <v>0.6</v>
      </c>
      <c r="L19" s="182"/>
      <c r="M19" s="183">
        <f>4109-2489</f>
        <v>1620</v>
      </c>
      <c r="N19" s="183">
        <f>15775-9505</f>
        <v>6270</v>
      </c>
      <c r="O19" s="181">
        <f aca="true" t="shared" si="0" ref="O19:O76">M19+N19</f>
        <v>7890</v>
      </c>
    </row>
    <row r="20" spans="1:15" ht="29.25">
      <c r="A20" s="302" t="s">
        <v>11</v>
      </c>
      <c r="B20" s="178" t="s">
        <v>12</v>
      </c>
      <c r="C20" s="175" t="s">
        <v>2043</v>
      </c>
      <c r="D20" s="174"/>
      <c r="E20" s="175">
        <v>3</v>
      </c>
      <c r="F20" s="175" t="s">
        <v>1063</v>
      </c>
      <c r="G20" s="175" t="s">
        <v>1064</v>
      </c>
      <c r="H20" s="379" t="s">
        <v>1427</v>
      </c>
      <c r="I20" s="214">
        <v>40975</v>
      </c>
      <c r="J20" s="382" t="s">
        <v>16</v>
      </c>
      <c r="K20" s="175">
        <v>0.6</v>
      </c>
      <c r="L20" s="182"/>
      <c r="M20" s="183">
        <f>9296-8130</f>
        <v>1166</v>
      </c>
      <c r="N20" s="183">
        <f>27941-23744</f>
        <v>4197</v>
      </c>
      <c r="O20" s="181">
        <f t="shared" si="0"/>
        <v>5363</v>
      </c>
    </row>
    <row r="21" spans="1:15" ht="29.25">
      <c r="A21" s="302" t="s">
        <v>11</v>
      </c>
      <c r="B21" s="178" t="s">
        <v>12</v>
      </c>
      <c r="C21" s="175" t="s">
        <v>2044</v>
      </c>
      <c r="D21" s="174"/>
      <c r="E21" s="175">
        <v>4</v>
      </c>
      <c r="F21" s="175" t="s">
        <v>1063</v>
      </c>
      <c r="G21" s="175" t="s">
        <v>1064</v>
      </c>
      <c r="H21" s="380" t="s">
        <v>1428</v>
      </c>
      <c r="I21" s="214">
        <v>83247327</v>
      </c>
      <c r="J21" s="382" t="s">
        <v>16</v>
      </c>
      <c r="K21" s="175">
        <v>0.5</v>
      </c>
      <c r="L21" s="182"/>
      <c r="M21" s="183">
        <f>769-529</f>
        <v>240</v>
      </c>
      <c r="N21" s="183">
        <f>2841-1897</f>
        <v>944</v>
      </c>
      <c r="O21" s="181">
        <f t="shared" si="0"/>
        <v>1184</v>
      </c>
    </row>
    <row r="22" spans="1:15" ht="29.25">
      <c r="A22" s="302" t="s">
        <v>11</v>
      </c>
      <c r="B22" s="178" t="s">
        <v>12</v>
      </c>
      <c r="C22" s="175" t="s">
        <v>2045</v>
      </c>
      <c r="D22" s="174"/>
      <c r="E22" s="175"/>
      <c r="F22" s="175" t="s">
        <v>1063</v>
      </c>
      <c r="G22" s="175" t="s">
        <v>1064</v>
      </c>
      <c r="H22" s="379" t="s">
        <v>1430</v>
      </c>
      <c r="I22" s="214">
        <v>83698394</v>
      </c>
      <c r="J22" s="382" t="s">
        <v>16</v>
      </c>
      <c r="K22" s="175">
        <v>0.6</v>
      </c>
      <c r="L22" s="182"/>
      <c r="M22" s="183">
        <f>6187-4668</f>
        <v>1519</v>
      </c>
      <c r="N22" s="183">
        <f>23011-17482</f>
        <v>5529</v>
      </c>
      <c r="O22" s="181">
        <f t="shared" si="0"/>
        <v>7048</v>
      </c>
    </row>
    <row r="23" spans="1:15" ht="29.25">
      <c r="A23" s="302" t="s">
        <v>11</v>
      </c>
      <c r="B23" s="178" t="s">
        <v>12</v>
      </c>
      <c r="C23" s="175" t="s">
        <v>2046</v>
      </c>
      <c r="D23" s="174"/>
      <c r="E23" s="175"/>
      <c r="F23" s="175" t="s">
        <v>1063</v>
      </c>
      <c r="G23" s="175" t="s">
        <v>1064</v>
      </c>
      <c r="H23" s="379" t="s">
        <v>1431</v>
      </c>
      <c r="I23" s="214">
        <v>83246564</v>
      </c>
      <c r="J23" s="382" t="s">
        <v>16</v>
      </c>
      <c r="K23" s="175">
        <v>0.7</v>
      </c>
      <c r="L23" s="182"/>
      <c r="M23" s="183">
        <f>2332-1292</f>
        <v>1040</v>
      </c>
      <c r="N23" s="183">
        <f>8330-4634</f>
        <v>3696</v>
      </c>
      <c r="O23" s="181">
        <f t="shared" si="0"/>
        <v>4736</v>
      </c>
    </row>
    <row r="24" spans="1:15" ht="29.25">
      <c r="A24" s="302" t="s">
        <v>11</v>
      </c>
      <c r="B24" s="178" t="s">
        <v>12</v>
      </c>
      <c r="C24" s="175" t="s">
        <v>2047</v>
      </c>
      <c r="D24" s="174"/>
      <c r="E24" s="175"/>
      <c r="F24" s="175" t="s">
        <v>1063</v>
      </c>
      <c r="G24" s="175" t="s">
        <v>1064</v>
      </c>
      <c r="H24" s="380" t="s">
        <v>1429</v>
      </c>
      <c r="I24" s="214">
        <v>41086</v>
      </c>
      <c r="J24" s="382" t="s">
        <v>16</v>
      </c>
      <c r="K24" s="175">
        <v>0.6</v>
      </c>
      <c r="L24" s="182"/>
      <c r="M24" s="183">
        <f>4633-4022</f>
        <v>611</v>
      </c>
      <c r="N24" s="183">
        <f>12906-10930</f>
        <v>1976</v>
      </c>
      <c r="O24" s="181">
        <f t="shared" si="0"/>
        <v>2587</v>
      </c>
    </row>
    <row r="25" spans="1:15" ht="29.25">
      <c r="A25" s="302" t="s">
        <v>11</v>
      </c>
      <c r="B25" s="178" t="s">
        <v>12</v>
      </c>
      <c r="C25" s="175" t="s">
        <v>2048</v>
      </c>
      <c r="D25" s="174"/>
      <c r="E25" s="175"/>
      <c r="F25" s="175" t="s">
        <v>1063</v>
      </c>
      <c r="G25" s="175" t="s">
        <v>1064</v>
      </c>
      <c r="H25" s="379" t="s">
        <v>1432</v>
      </c>
      <c r="I25" s="214">
        <v>41772</v>
      </c>
      <c r="J25" s="382" t="s">
        <v>16</v>
      </c>
      <c r="K25" s="175">
        <v>0.6</v>
      </c>
      <c r="L25" s="182"/>
      <c r="M25" s="183">
        <f>6219-4789</f>
        <v>1430</v>
      </c>
      <c r="N25" s="183">
        <f>19419-14682</f>
        <v>4737</v>
      </c>
      <c r="O25" s="181">
        <f t="shared" si="0"/>
        <v>6167</v>
      </c>
    </row>
    <row r="26" spans="1:15" ht="29.25">
      <c r="A26" s="302" t="s">
        <v>11</v>
      </c>
      <c r="B26" s="178" t="s">
        <v>12</v>
      </c>
      <c r="C26" s="175" t="s">
        <v>2049</v>
      </c>
      <c r="D26" s="174"/>
      <c r="E26" s="175"/>
      <c r="F26" s="175" t="s">
        <v>1063</v>
      </c>
      <c r="G26" s="175" t="s">
        <v>1064</v>
      </c>
      <c r="H26" s="379" t="s">
        <v>1433</v>
      </c>
      <c r="I26" s="214">
        <v>40974</v>
      </c>
      <c r="J26" s="382" t="s">
        <v>16</v>
      </c>
      <c r="K26" s="175">
        <v>0.6</v>
      </c>
      <c r="L26" s="182"/>
      <c r="M26" s="183">
        <f>6506-5135</f>
        <v>1371</v>
      </c>
      <c r="N26" s="183">
        <f>18710-14661</f>
        <v>4049</v>
      </c>
      <c r="O26" s="181">
        <f t="shared" si="0"/>
        <v>5420</v>
      </c>
    </row>
    <row r="27" spans="1:15" ht="29.25">
      <c r="A27" s="302" t="s">
        <v>11</v>
      </c>
      <c r="B27" s="178" t="s">
        <v>12</v>
      </c>
      <c r="C27" s="175" t="s">
        <v>2064</v>
      </c>
      <c r="D27" s="174"/>
      <c r="E27" s="175"/>
      <c r="F27" s="175" t="s">
        <v>1063</v>
      </c>
      <c r="G27" s="175" t="s">
        <v>1064</v>
      </c>
      <c r="H27" s="380" t="s">
        <v>1434</v>
      </c>
      <c r="I27" s="214">
        <v>40978</v>
      </c>
      <c r="J27" s="382" t="s">
        <v>16</v>
      </c>
      <c r="K27" s="175">
        <v>0.8</v>
      </c>
      <c r="L27" s="182"/>
      <c r="M27" s="183">
        <f>9077-7831</f>
        <v>1246</v>
      </c>
      <c r="N27" s="183">
        <f>27685-23282</f>
        <v>4403</v>
      </c>
      <c r="O27" s="181">
        <f t="shared" si="0"/>
        <v>5649</v>
      </c>
    </row>
    <row r="28" spans="1:15" ht="29.25">
      <c r="A28" s="302" t="s">
        <v>11</v>
      </c>
      <c r="B28" s="178" t="s">
        <v>12</v>
      </c>
      <c r="C28" s="175" t="s">
        <v>2050</v>
      </c>
      <c r="D28" s="174"/>
      <c r="E28" s="175"/>
      <c r="F28" s="175" t="s">
        <v>1063</v>
      </c>
      <c r="G28" s="175" t="s">
        <v>1064</v>
      </c>
      <c r="H28" s="379" t="s">
        <v>1435</v>
      </c>
      <c r="I28" s="214">
        <v>40980</v>
      </c>
      <c r="J28" s="382" t="s">
        <v>16</v>
      </c>
      <c r="K28" s="175">
        <v>1.5</v>
      </c>
      <c r="L28" s="182"/>
      <c r="M28" s="183">
        <f>14365-12616</f>
        <v>1749</v>
      </c>
      <c r="N28" s="183">
        <f>38968-32573</f>
        <v>6395</v>
      </c>
      <c r="O28" s="181">
        <f t="shared" si="0"/>
        <v>8144</v>
      </c>
    </row>
    <row r="29" spans="1:15" ht="29.25">
      <c r="A29" s="302" t="s">
        <v>11</v>
      </c>
      <c r="B29" s="178" t="s">
        <v>12</v>
      </c>
      <c r="C29" s="175" t="s">
        <v>2051</v>
      </c>
      <c r="D29" s="174"/>
      <c r="E29" s="175">
        <v>21</v>
      </c>
      <c r="F29" s="175" t="s">
        <v>1063</v>
      </c>
      <c r="G29" s="175" t="s">
        <v>1064</v>
      </c>
      <c r="H29" s="379" t="s">
        <v>1436</v>
      </c>
      <c r="I29" s="214">
        <v>40973</v>
      </c>
      <c r="J29" s="382" t="s">
        <v>16</v>
      </c>
      <c r="K29" s="175">
        <v>0.7</v>
      </c>
      <c r="L29" s="182"/>
      <c r="M29" s="183">
        <f>10176-8844</f>
        <v>1332</v>
      </c>
      <c r="N29" s="183">
        <f>31263-26429</f>
        <v>4834</v>
      </c>
      <c r="O29" s="181">
        <f t="shared" si="0"/>
        <v>6166</v>
      </c>
    </row>
    <row r="30" spans="1:15" ht="29.25">
      <c r="A30" s="302" t="s">
        <v>11</v>
      </c>
      <c r="B30" s="178" t="s">
        <v>12</v>
      </c>
      <c r="C30" s="175" t="s">
        <v>2052</v>
      </c>
      <c r="D30" s="174"/>
      <c r="E30" s="175"/>
      <c r="F30" s="175" t="s">
        <v>1063</v>
      </c>
      <c r="G30" s="175" t="s">
        <v>1064</v>
      </c>
      <c r="H30" s="380" t="s">
        <v>1437</v>
      </c>
      <c r="I30" s="214">
        <v>83246540</v>
      </c>
      <c r="J30" s="382" t="s">
        <v>16</v>
      </c>
      <c r="K30" s="303">
        <v>2</v>
      </c>
      <c r="L30" s="182"/>
      <c r="M30" s="183">
        <f>5666-3151</f>
        <v>2515</v>
      </c>
      <c r="N30" s="183">
        <f>21917-12217</f>
        <v>9700</v>
      </c>
      <c r="O30" s="181">
        <f t="shared" si="0"/>
        <v>12215</v>
      </c>
    </row>
    <row r="31" spans="1:15" ht="29.25">
      <c r="A31" s="302" t="s">
        <v>11</v>
      </c>
      <c r="B31" s="178" t="s">
        <v>12</v>
      </c>
      <c r="C31" s="175" t="s">
        <v>2053</v>
      </c>
      <c r="D31" s="174"/>
      <c r="E31" s="175"/>
      <c r="F31" s="175" t="s">
        <v>1063</v>
      </c>
      <c r="G31" s="175" t="s">
        <v>1064</v>
      </c>
      <c r="H31" s="379" t="s">
        <v>1438</v>
      </c>
      <c r="I31" s="214">
        <v>40981</v>
      </c>
      <c r="J31" s="382" t="s">
        <v>16</v>
      </c>
      <c r="K31" s="175">
        <v>2.8</v>
      </c>
      <c r="L31" s="182"/>
      <c r="M31" s="183">
        <f>24550-21244</f>
        <v>3306</v>
      </c>
      <c r="N31" s="183">
        <f>76198-63907</f>
        <v>12291</v>
      </c>
      <c r="O31" s="181">
        <f t="shared" si="0"/>
        <v>15597</v>
      </c>
    </row>
    <row r="32" spans="1:15" ht="29.25">
      <c r="A32" s="302" t="s">
        <v>11</v>
      </c>
      <c r="B32" s="178" t="s">
        <v>12</v>
      </c>
      <c r="C32" s="175" t="s">
        <v>2054</v>
      </c>
      <c r="D32" s="174"/>
      <c r="E32" s="175"/>
      <c r="F32" s="175" t="s">
        <v>1063</v>
      </c>
      <c r="G32" s="175" t="s">
        <v>1064</v>
      </c>
      <c r="H32" s="379" t="s">
        <v>1439</v>
      </c>
      <c r="I32" s="214">
        <v>41089</v>
      </c>
      <c r="J32" s="382" t="s">
        <v>16</v>
      </c>
      <c r="K32" s="175">
        <v>1.5</v>
      </c>
      <c r="L32" s="182"/>
      <c r="M32" s="183">
        <f>15802-14143</f>
        <v>1659</v>
      </c>
      <c r="N32" s="183">
        <f>50358-43396</f>
        <v>6962</v>
      </c>
      <c r="O32" s="181">
        <f t="shared" si="0"/>
        <v>8621</v>
      </c>
    </row>
    <row r="33" spans="1:15" ht="29.25">
      <c r="A33" s="302" t="s">
        <v>11</v>
      </c>
      <c r="B33" s="178" t="s">
        <v>12</v>
      </c>
      <c r="C33" s="175" t="s">
        <v>2055</v>
      </c>
      <c r="D33" s="174"/>
      <c r="E33" s="175"/>
      <c r="F33" s="175" t="s">
        <v>1063</v>
      </c>
      <c r="G33" s="175" t="s">
        <v>1064</v>
      </c>
      <c r="H33" s="380" t="s">
        <v>1440</v>
      </c>
      <c r="I33" s="214">
        <v>41090</v>
      </c>
      <c r="J33" s="382" t="s">
        <v>16</v>
      </c>
      <c r="K33" s="175">
        <v>1.3</v>
      </c>
      <c r="L33" s="182"/>
      <c r="M33" s="183">
        <f>12257-10773</f>
        <v>1484</v>
      </c>
      <c r="N33" s="183">
        <f>40578-34493</f>
        <v>6085</v>
      </c>
      <c r="O33" s="181">
        <f t="shared" si="0"/>
        <v>7569</v>
      </c>
    </row>
    <row r="34" spans="1:15" ht="29.25">
      <c r="A34" s="302" t="s">
        <v>11</v>
      </c>
      <c r="B34" s="178" t="s">
        <v>12</v>
      </c>
      <c r="C34" s="175" t="s">
        <v>2056</v>
      </c>
      <c r="D34" s="174"/>
      <c r="E34" s="175">
        <v>1</v>
      </c>
      <c r="F34" s="175" t="s">
        <v>1063</v>
      </c>
      <c r="G34" s="175" t="s">
        <v>1064</v>
      </c>
      <c r="H34" s="379" t="s">
        <v>1442</v>
      </c>
      <c r="I34" s="215">
        <v>28373639</v>
      </c>
      <c r="J34" s="382" t="s">
        <v>16</v>
      </c>
      <c r="K34" s="175">
        <v>0.4</v>
      </c>
      <c r="L34" s="182"/>
      <c r="M34" s="183">
        <f>3836-3460</f>
        <v>376</v>
      </c>
      <c r="N34" s="183">
        <f>35561-32849</f>
        <v>2712</v>
      </c>
      <c r="O34" s="181">
        <f t="shared" si="0"/>
        <v>3088</v>
      </c>
    </row>
    <row r="35" spans="1:15" ht="29.25">
      <c r="A35" s="302" t="s">
        <v>11</v>
      </c>
      <c r="B35" s="178" t="s">
        <v>12</v>
      </c>
      <c r="C35" s="175" t="s">
        <v>2057</v>
      </c>
      <c r="D35" s="174"/>
      <c r="E35" s="175"/>
      <c r="F35" s="175" t="s">
        <v>1063</v>
      </c>
      <c r="G35" s="175" t="s">
        <v>1064</v>
      </c>
      <c r="H35" s="379" t="s">
        <v>1443</v>
      </c>
      <c r="I35" s="214">
        <v>16873800</v>
      </c>
      <c r="J35" s="382" t="s">
        <v>16</v>
      </c>
      <c r="K35" s="175">
        <v>1.1</v>
      </c>
      <c r="L35" s="182"/>
      <c r="M35" s="183">
        <f>10288-9119</f>
        <v>1169</v>
      </c>
      <c r="N35" s="183">
        <f>56057-51126</f>
        <v>4931</v>
      </c>
      <c r="O35" s="181">
        <f t="shared" si="0"/>
        <v>6100</v>
      </c>
    </row>
    <row r="36" spans="1:15" ht="29.25">
      <c r="A36" s="302" t="s">
        <v>11</v>
      </c>
      <c r="B36" s="178" t="s">
        <v>12</v>
      </c>
      <c r="C36" s="175" t="s">
        <v>2058</v>
      </c>
      <c r="D36" s="174"/>
      <c r="E36" s="175"/>
      <c r="F36" s="175" t="s">
        <v>1063</v>
      </c>
      <c r="G36" s="175" t="s">
        <v>1064</v>
      </c>
      <c r="H36" s="380" t="s">
        <v>1444</v>
      </c>
      <c r="I36" s="214">
        <v>117193</v>
      </c>
      <c r="J36" s="382" t="s">
        <v>16</v>
      </c>
      <c r="K36" s="175">
        <v>0.4</v>
      </c>
      <c r="L36" s="182"/>
      <c r="M36" s="183">
        <f>2724-2168</f>
        <v>556</v>
      </c>
      <c r="N36" s="183">
        <f>11070-8736</f>
        <v>2334</v>
      </c>
      <c r="O36" s="181">
        <f t="shared" si="0"/>
        <v>2890</v>
      </c>
    </row>
    <row r="37" spans="1:15" ht="43.5">
      <c r="A37" s="302" t="s">
        <v>11</v>
      </c>
      <c r="B37" s="178" t="s">
        <v>12</v>
      </c>
      <c r="C37" s="175" t="s">
        <v>2059</v>
      </c>
      <c r="D37" s="174"/>
      <c r="E37" s="175"/>
      <c r="F37" s="175" t="s">
        <v>1063</v>
      </c>
      <c r="G37" s="175" t="s">
        <v>1064</v>
      </c>
      <c r="H37" s="379" t="s">
        <v>1445</v>
      </c>
      <c r="I37" s="214">
        <v>1401623</v>
      </c>
      <c r="J37" s="382" t="s">
        <v>16</v>
      </c>
      <c r="K37" s="175">
        <v>1.5</v>
      </c>
      <c r="L37" s="182"/>
      <c r="M37" s="183">
        <f>8428-6754</f>
        <v>1674</v>
      </c>
      <c r="N37" s="183">
        <f>23110-15903</f>
        <v>7207</v>
      </c>
      <c r="O37" s="181">
        <f t="shared" si="0"/>
        <v>8881</v>
      </c>
    </row>
    <row r="38" spans="1:15" ht="29.25">
      <c r="A38" s="302" t="s">
        <v>11</v>
      </c>
      <c r="B38" s="178" t="s">
        <v>12</v>
      </c>
      <c r="C38" s="175" t="s">
        <v>2007</v>
      </c>
      <c r="D38" s="174"/>
      <c r="E38" s="175">
        <v>6</v>
      </c>
      <c r="F38" s="175" t="s">
        <v>1063</v>
      </c>
      <c r="G38" s="175" t="s">
        <v>1064</v>
      </c>
      <c r="H38" s="379" t="s">
        <v>1392</v>
      </c>
      <c r="I38" s="214">
        <v>83111238</v>
      </c>
      <c r="J38" s="382" t="s">
        <v>16</v>
      </c>
      <c r="K38" s="175">
        <v>0.7</v>
      </c>
      <c r="L38" s="182"/>
      <c r="M38" s="183">
        <f>2122-1423</f>
        <v>699</v>
      </c>
      <c r="N38" s="183">
        <f>8446-5441</f>
        <v>3005</v>
      </c>
      <c r="O38" s="181">
        <f t="shared" si="0"/>
        <v>3704</v>
      </c>
    </row>
    <row r="39" spans="1:15" ht="29.25">
      <c r="A39" s="302" t="s">
        <v>11</v>
      </c>
      <c r="B39" s="178" t="s">
        <v>12</v>
      </c>
      <c r="C39" s="175" t="s">
        <v>2008</v>
      </c>
      <c r="D39" s="174"/>
      <c r="E39" s="175"/>
      <c r="F39" s="175" t="s">
        <v>1063</v>
      </c>
      <c r="G39" s="175" t="s">
        <v>1064</v>
      </c>
      <c r="H39" s="380" t="s">
        <v>1393</v>
      </c>
      <c r="I39" s="214">
        <v>1387577</v>
      </c>
      <c r="J39" s="382" t="s">
        <v>16</v>
      </c>
      <c r="K39" s="175">
        <v>2.2</v>
      </c>
      <c r="L39" s="182"/>
      <c r="M39" s="183">
        <f>11236-10327</f>
        <v>909</v>
      </c>
      <c r="N39" s="183">
        <f>25750-21630</f>
        <v>4120</v>
      </c>
      <c r="O39" s="181">
        <f t="shared" si="0"/>
        <v>5029</v>
      </c>
    </row>
    <row r="40" spans="1:15" ht="29.25">
      <c r="A40" s="302" t="s">
        <v>11</v>
      </c>
      <c r="B40" s="178" t="s">
        <v>12</v>
      </c>
      <c r="C40" s="175" t="s">
        <v>2009</v>
      </c>
      <c r="D40" s="174"/>
      <c r="E40" s="175"/>
      <c r="F40" s="175" t="s">
        <v>1063</v>
      </c>
      <c r="G40" s="175" t="s">
        <v>1064</v>
      </c>
      <c r="H40" s="379" t="s">
        <v>1704</v>
      </c>
      <c r="I40" s="214">
        <v>1499906</v>
      </c>
      <c r="J40" s="382" t="s">
        <v>16</v>
      </c>
      <c r="K40" s="175">
        <v>2.2</v>
      </c>
      <c r="L40" s="182"/>
      <c r="M40" s="183">
        <f>1357-976</f>
        <v>381</v>
      </c>
      <c r="N40" s="183">
        <f>5794-4110</f>
        <v>1684</v>
      </c>
      <c r="O40" s="181">
        <f t="shared" si="0"/>
        <v>2065</v>
      </c>
    </row>
    <row r="41" spans="1:15" ht="29.25">
      <c r="A41" s="302" t="s">
        <v>11</v>
      </c>
      <c r="B41" s="178" t="s">
        <v>12</v>
      </c>
      <c r="C41" s="175" t="s">
        <v>2011</v>
      </c>
      <c r="D41" s="174"/>
      <c r="E41" s="175">
        <v>32</v>
      </c>
      <c r="F41" s="175" t="s">
        <v>1063</v>
      </c>
      <c r="G41" s="175" t="s">
        <v>1064</v>
      </c>
      <c r="H41" s="379" t="s">
        <v>1394</v>
      </c>
      <c r="I41" s="214">
        <v>112480</v>
      </c>
      <c r="J41" s="382" t="s">
        <v>16</v>
      </c>
      <c r="K41" s="175">
        <v>0.7</v>
      </c>
      <c r="L41" s="182"/>
      <c r="M41" s="183">
        <f>3898-3046</f>
        <v>852</v>
      </c>
      <c r="N41" s="183">
        <f>18226-14267</f>
        <v>3959</v>
      </c>
      <c r="O41" s="181">
        <f t="shared" si="0"/>
        <v>4811</v>
      </c>
    </row>
    <row r="42" spans="1:15" ht="29.25">
      <c r="A42" s="302" t="s">
        <v>11</v>
      </c>
      <c r="B42" s="178" t="s">
        <v>12</v>
      </c>
      <c r="C42" s="175" t="s">
        <v>2010</v>
      </c>
      <c r="D42" s="174"/>
      <c r="E42" s="175"/>
      <c r="F42" s="175" t="s">
        <v>1063</v>
      </c>
      <c r="G42" s="175" t="s">
        <v>1064</v>
      </c>
      <c r="H42" s="380" t="s">
        <v>1395</v>
      </c>
      <c r="I42" s="214">
        <v>1494932</v>
      </c>
      <c r="J42" s="382" t="s">
        <v>16</v>
      </c>
      <c r="K42" s="175">
        <v>0.7</v>
      </c>
      <c r="L42" s="182"/>
      <c r="M42" s="183">
        <f>4451-2890</f>
        <v>1561</v>
      </c>
      <c r="N42" s="183">
        <f>18243-11751</f>
        <v>6492</v>
      </c>
      <c r="O42" s="181">
        <f t="shared" si="0"/>
        <v>8053</v>
      </c>
    </row>
    <row r="43" spans="1:15" ht="29.25">
      <c r="A43" s="302" t="s">
        <v>11</v>
      </c>
      <c r="B43" s="178" t="s">
        <v>12</v>
      </c>
      <c r="C43" s="175" t="s">
        <v>2012</v>
      </c>
      <c r="D43" s="174"/>
      <c r="E43" s="175">
        <v>5</v>
      </c>
      <c r="F43" s="175" t="s">
        <v>1063</v>
      </c>
      <c r="G43" s="175" t="s">
        <v>1064</v>
      </c>
      <c r="H43" s="379" t="s">
        <v>1396</v>
      </c>
      <c r="I43" s="214">
        <v>1484031</v>
      </c>
      <c r="J43" s="382" t="s">
        <v>16</v>
      </c>
      <c r="K43" s="175">
        <v>1.5</v>
      </c>
      <c r="L43" s="182"/>
      <c r="M43" s="183">
        <f>4893-2576</f>
        <v>2317</v>
      </c>
      <c r="N43" s="183">
        <f>19190-9402</f>
        <v>9788</v>
      </c>
      <c r="O43" s="181">
        <f t="shared" si="0"/>
        <v>12105</v>
      </c>
    </row>
    <row r="44" spans="1:15" ht="29.25">
      <c r="A44" s="302" t="s">
        <v>11</v>
      </c>
      <c r="B44" s="178" t="s">
        <v>12</v>
      </c>
      <c r="C44" s="175" t="s">
        <v>2013</v>
      </c>
      <c r="D44" s="174"/>
      <c r="E44" s="175">
        <v>3</v>
      </c>
      <c r="F44" s="175" t="s">
        <v>1063</v>
      </c>
      <c r="G44" s="175" t="s">
        <v>1064</v>
      </c>
      <c r="H44" s="379" t="s">
        <v>1397</v>
      </c>
      <c r="I44" s="214">
        <v>1393870</v>
      </c>
      <c r="J44" s="382" t="s">
        <v>16</v>
      </c>
      <c r="K44" s="175">
        <v>2.2</v>
      </c>
      <c r="L44" s="182"/>
      <c r="M44" s="183">
        <f>4627-3624</f>
        <v>1003</v>
      </c>
      <c r="N44" s="183">
        <f>13181-8756</f>
        <v>4425</v>
      </c>
      <c r="O44" s="181">
        <f t="shared" si="0"/>
        <v>5428</v>
      </c>
    </row>
    <row r="45" spans="1:15" ht="43.5">
      <c r="A45" s="302" t="s">
        <v>11</v>
      </c>
      <c r="B45" s="178" t="s">
        <v>12</v>
      </c>
      <c r="C45" s="175" t="s">
        <v>2014</v>
      </c>
      <c r="D45" s="174"/>
      <c r="E45" s="175">
        <v>2</v>
      </c>
      <c r="F45" s="175" t="s">
        <v>1063</v>
      </c>
      <c r="G45" s="175" t="s">
        <v>1064</v>
      </c>
      <c r="H45" s="380" t="s">
        <v>1398</v>
      </c>
      <c r="I45" s="214">
        <v>83246621</v>
      </c>
      <c r="J45" s="382" t="s">
        <v>16</v>
      </c>
      <c r="K45" s="175">
        <v>2.2</v>
      </c>
      <c r="L45" s="182"/>
      <c r="M45" s="183">
        <f>4483-2439</f>
        <v>2044</v>
      </c>
      <c r="N45" s="183">
        <f>18055-9900</f>
        <v>8155</v>
      </c>
      <c r="O45" s="181">
        <f t="shared" si="0"/>
        <v>10199</v>
      </c>
    </row>
    <row r="46" spans="1:15" ht="29.25">
      <c r="A46" s="302" t="s">
        <v>11</v>
      </c>
      <c r="B46" s="178" t="s">
        <v>12</v>
      </c>
      <c r="C46" s="175" t="s">
        <v>2015</v>
      </c>
      <c r="D46" s="174"/>
      <c r="E46" s="175"/>
      <c r="F46" s="175" t="s">
        <v>1063</v>
      </c>
      <c r="G46" s="175" t="s">
        <v>1064</v>
      </c>
      <c r="H46" s="379" t="s">
        <v>1399</v>
      </c>
      <c r="I46" s="214">
        <v>1394971</v>
      </c>
      <c r="J46" s="382" t="s">
        <v>16</v>
      </c>
      <c r="K46" s="175">
        <v>2.2</v>
      </c>
      <c r="L46" s="182"/>
      <c r="M46" s="183">
        <f>5632-4651</f>
        <v>981</v>
      </c>
      <c r="N46" s="183">
        <f>15415-11081</f>
        <v>4334</v>
      </c>
      <c r="O46" s="181">
        <f t="shared" si="0"/>
        <v>5315</v>
      </c>
    </row>
    <row r="47" spans="1:15" ht="29.25">
      <c r="A47" s="302" t="s">
        <v>11</v>
      </c>
      <c r="B47" s="178" t="s">
        <v>12</v>
      </c>
      <c r="C47" s="175" t="s">
        <v>2016</v>
      </c>
      <c r="D47" s="174"/>
      <c r="E47" s="175"/>
      <c r="F47" s="175" t="s">
        <v>1063</v>
      </c>
      <c r="G47" s="175" t="s">
        <v>1064</v>
      </c>
      <c r="H47" s="379" t="s">
        <v>1400</v>
      </c>
      <c r="I47" s="214">
        <v>1394955</v>
      </c>
      <c r="J47" s="382" t="s">
        <v>16</v>
      </c>
      <c r="K47" s="175">
        <v>2.2</v>
      </c>
      <c r="L47" s="182"/>
      <c r="M47" s="183">
        <f>5723-3669</f>
        <v>2054</v>
      </c>
      <c r="N47" s="183">
        <f>19509-11648</f>
        <v>7861</v>
      </c>
      <c r="O47" s="181">
        <f t="shared" si="0"/>
        <v>9915</v>
      </c>
    </row>
    <row r="48" spans="1:15" ht="29.25">
      <c r="A48" s="302" t="s">
        <v>11</v>
      </c>
      <c r="B48" s="178" t="s">
        <v>12</v>
      </c>
      <c r="C48" s="175" t="s">
        <v>2017</v>
      </c>
      <c r="D48" s="174"/>
      <c r="E48" s="175">
        <v>2</v>
      </c>
      <c r="F48" s="175" t="s">
        <v>1063</v>
      </c>
      <c r="G48" s="175" t="s">
        <v>1064</v>
      </c>
      <c r="H48" s="380" t="s">
        <v>1401</v>
      </c>
      <c r="I48" s="214">
        <v>1401622</v>
      </c>
      <c r="J48" s="382" t="s">
        <v>16</v>
      </c>
      <c r="K48" s="175">
        <v>2.2</v>
      </c>
      <c r="L48" s="182"/>
      <c r="M48" s="183">
        <f>8457-7621</f>
        <v>836</v>
      </c>
      <c r="N48" s="183">
        <f>17521-13949</f>
        <v>3572</v>
      </c>
      <c r="O48" s="181">
        <f t="shared" si="0"/>
        <v>4408</v>
      </c>
    </row>
    <row r="49" spans="1:15" ht="29.25">
      <c r="A49" s="302" t="s">
        <v>11</v>
      </c>
      <c r="B49" s="178" t="s">
        <v>12</v>
      </c>
      <c r="C49" s="175" t="s">
        <v>2018</v>
      </c>
      <c r="D49" s="174" t="s">
        <v>43</v>
      </c>
      <c r="E49" s="175"/>
      <c r="F49" s="175" t="s">
        <v>1063</v>
      </c>
      <c r="G49" s="175" t="s">
        <v>1064</v>
      </c>
      <c r="H49" s="379" t="s">
        <v>1402</v>
      </c>
      <c r="I49" s="214">
        <v>70958881</v>
      </c>
      <c r="J49" s="382" t="s">
        <v>16</v>
      </c>
      <c r="K49" s="175">
        <v>6.6</v>
      </c>
      <c r="L49" s="182"/>
      <c r="M49" s="183">
        <f>9309-7497</f>
        <v>1812</v>
      </c>
      <c r="N49" s="183">
        <f>44702-34898</f>
        <v>9804</v>
      </c>
      <c r="O49" s="181">
        <f t="shared" si="0"/>
        <v>11616</v>
      </c>
    </row>
    <row r="50" spans="1:15" ht="29.25">
      <c r="A50" s="302" t="s">
        <v>11</v>
      </c>
      <c r="B50" s="178" t="s">
        <v>12</v>
      </c>
      <c r="C50" s="175" t="s">
        <v>2019</v>
      </c>
      <c r="D50" s="174"/>
      <c r="E50" s="175"/>
      <c r="F50" s="175" t="s">
        <v>1063</v>
      </c>
      <c r="G50" s="175" t="s">
        <v>1064</v>
      </c>
      <c r="H50" s="379" t="s">
        <v>1403</v>
      </c>
      <c r="I50" s="214">
        <v>38617</v>
      </c>
      <c r="J50" s="382" t="s">
        <v>16</v>
      </c>
      <c r="K50" s="175">
        <v>7.8</v>
      </c>
      <c r="L50" s="182"/>
      <c r="M50" s="183">
        <f>29364-24533</f>
        <v>4831</v>
      </c>
      <c r="N50" s="183">
        <f>121866-101572</f>
        <v>20294</v>
      </c>
      <c r="O50" s="181">
        <f t="shared" si="0"/>
        <v>25125</v>
      </c>
    </row>
    <row r="51" spans="1:15" ht="29.25">
      <c r="A51" s="302" t="s">
        <v>11</v>
      </c>
      <c r="B51" s="178" t="s">
        <v>12</v>
      </c>
      <c r="C51" s="175" t="s">
        <v>2020</v>
      </c>
      <c r="D51" s="174"/>
      <c r="E51" s="175"/>
      <c r="F51" s="175" t="s">
        <v>1063</v>
      </c>
      <c r="G51" s="175" t="s">
        <v>1064</v>
      </c>
      <c r="H51" s="380" t="s">
        <v>1404</v>
      </c>
      <c r="I51" s="214">
        <v>1400176</v>
      </c>
      <c r="J51" s="382" t="s">
        <v>16</v>
      </c>
      <c r="K51" s="303">
        <v>1</v>
      </c>
      <c r="L51" s="182"/>
      <c r="M51" s="183">
        <f>2843-1510</f>
        <v>1333</v>
      </c>
      <c r="N51" s="183">
        <f>11705-5843</f>
        <v>5862</v>
      </c>
      <c r="O51" s="181">
        <f t="shared" si="0"/>
        <v>7195</v>
      </c>
    </row>
    <row r="52" spans="1:15" ht="29.25">
      <c r="A52" s="302" t="s">
        <v>11</v>
      </c>
      <c r="B52" s="178" t="s">
        <v>12</v>
      </c>
      <c r="C52" s="175" t="s">
        <v>2021</v>
      </c>
      <c r="D52" s="174"/>
      <c r="E52" s="175"/>
      <c r="F52" s="175" t="s">
        <v>1063</v>
      </c>
      <c r="G52" s="175" t="s">
        <v>1064</v>
      </c>
      <c r="H52" s="379" t="s">
        <v>1705</v>
      </c>
      <c r="I52" s="214">
        <v>1499917</v>
      </c>
      <c r="J52" s="382" t="s">
        <v>16</v>
      </c>
      <c r="K52" s="175">
        <v>2.2</v>
      </c>
      <c r="L52" s="182"/>
      <c r="M52" s="183">
        <f>7975-5333</f>
        <v>2642</v>
      </c>
      <c r="N52" s="183">
        <f>34868-23011</f>
        <v>11857</v>
      </c>
      <c r="O52" s="181">
        <f t="shared" si="0"/>
        <v>14499</v>
      </c>
    </row>
    <row r="53" spans="1:15" ht="48" customHeight="1">
      <c r="A53" s="302" t="s">
        <v>11</v>
      </c>
      <c r="B53" s="178" t="s">
        <v>12</v>
      </c>
      <c r="C53" s="175" t="s">
        <v>2023</v>
      </c>
      <c r="D53" s="175" t="s">
        <v>935</v>
      </c>
      <c r="E53" s="175"/>
      <c r="F53" s="175" t="s">
        <v>1063</v>
      </c>
      <c r="G53" s="175" t="s">
        <v>1064</v>
      </c>
      <c r="H53" s="379" t="s">
        <v>1406</v>
      </c>
      <c r="I53" s="214">
        <v>41703</v>
      </c>
      <c r="J53" s="382" t="s">
        <v>16</v>
      </c>
      <c r="K53" s="175">
        <v>1.7</v>
      </c>
      <c r="L53" s="182"/>
      <c r="M53" s="183">
        <f>16038-14028</f>
        <v>2010</v>
      </c>
      <c r="N53" s="183">
        <f>51309-43625</f>
        <v>7684</v>
      </c>
      <c r="O53" s="181">
        <f t="shared" si="0"/>
        <v>9694</v>
      </c>
    </row>
    <row r="54" spans="1:15" ht="43.5">
      <c r="A54" s="302" t="s">
        <v>11</v>
      </c>
      <c r="B54" s="178" t="s">
        <v>12</v>
      </c>
      <c r="C54" s="175" t="s">
        <v>2024</v>
      </c>
      <c r="D54" s="175" t="s">
        <v>1067</v>
      </c>
      <c r="E54" s="175"/>
      <c r="F54" s="175" t="s">
        <v>1063</v>
      </c>
      <c r="G54" s="175" t="s">
        <v>1064</v>
      </c>
      <c r="H54" s="380" t="s">
        <v>1407</v>
      </c>
      <c r="I54" s="214">
        <v>127130</v>
      </c>
      <c r="J54" s="382" t="s">
        <v>16</v>
      </c>
      <c r="K54" s="175">
        <v>0.8</v>
      </c>
      <c r="L54" s="182"/>
      <c r="M54" s="183">
        <f>5801-4675</f>
        <v>1126</v>
      </c>
      <c r="N54" s="183">
        <f>24938-19617</f>
        <v>5321</v>
      </c>
      <c r="O54" s="181">
        <f t="shared" si="0"/>
        <v>6447</v>
      </c>
    </row>
    <row r="55" spans="1:15" ht="43.5">
      <c r="A55" s="302" t="s">
        <v>11</v>
      </c>
      <c r="B55" s="178" t="s">
        <v>12</v>
      </c>
      <c r="C55" s="175" t="s">
        <v>2024</v>
      </c>
      <c r="D55" s="175" t="s">
        <v>1068</v>
      </c>
      <c r="E55" s="175"/>
      <c r="F55" s="175" t="s">
        <v>1063</v>
      </c>
      <c r="G55" s="175" t="s">
        <v>1064</v>
      </c>
      <c r="H55" s="379" t="s">
        <v>1408</v>
      </c>
      <c r="I55" s="214">
        <v>70541771</v>
      </c>
      <c r="J55" s="382" t="s">
        <v>16</v>
      </c>
      <c r="K55" s="175">
        <v>3.4</v>
      </c>
      <c r="L55" s="182"/>
      <c r="M55" s="183">
        <f>28585-24032</f>
        <v>4553</v>
      </c>
      <c r="N55" s="183">
        <f>116871-94140</f>
        <v>22731</v>
      </c>
      <c r="O55" s="181">
        <f t="shared" si="0"/>
        <v>27284</v>
      </c>
    </row>
    <row r="56" spans="1:15" ht="29.25">
      <c r="A56" s="302" t="s">
        <v>11</v>
      </c>
      <c r="B56" s="178" t="s">
        <v>12</v>
      </c>
      <c r="C56" s="175" t="s">
        <v>2025</v>
      </c>
      <c r="D56" s="175" t="s">
        <v>1069</v>
      </c>
      <c r="E56" s="175"/>
      <c r="F56" s="175" t="s">
        <v>1063</v>
      </c>
      <c r="G56" s="175" t="s">
        <v>1064</v>
      </c>
      <c r="H56" s="379" t="s">
        <v>1409</v>
      </c>
      <c r="I56" s="214">
        <v>41613</v>
      </c>
      <c r="J56" s="382" t="s">
        <v>16</v>
      </c>
      <c r="K56" s="175">
        <v>1.2</v>
      </c>
      <c r="L56" s="182"/>
      <c r="M56" s="183">
        <f>7717-6465</f>
        <v>1252</v>
      </c>
      <c r="N56" s="183">
        <f>23244-18586</f>
        <v>4658</v>
      </c>
      <c r="O56" s="181">
        <f t="shared" si="0"/>
        <v>5910</v>
      </c>
    </row>
    <row r="57" spans="1:15" ht="29.25">
      <c r="A57" s="302" t="s">
        <v>11</v>
      </c>
      <c r="B57" s="178" t="s">
        <v>12</v>
      </c>
      <c r="C57" s="175" t="s">
        <v>2026</v>
      </c>
      <c r="D57" s="175" t="s">
        <v>935</v>
      </c>
      <c r="E57" s="175">
        <v>7</v>
      </c>
      <c r="F57" s="175" t="s">
        <v>1063</v>
      </c>
      <c r="G57" s="175" t="s">
        <v>1064</v>
      </c>
      <c r="H57" s="380" t="s">
        <v>1410</v>
      </c>
      <c r="I57" s="214">
        <v>90976329</v>
      </c>
      <c r="J57" s="382" t="s">
        <v>16</v>
      </c>
      <c r="K57" s="175">
        <v>2.5</v>
      </c>
      <c r="L57" s="182"/>
      <c r="M57" s="183">
        <f>20218-17715</f>
        <v>2503</v>
      </c>
      <c r="N57" s="183">
        <f>85253-74438</f>
        <v>10815</v>
      </c>
      <c r="O57" s="181">
        <f t="shared" si="0"/>
        <v>13318</v>
      </c>
    </row>
    <row r="58" spans="1:15" ht="29.25">
      <c r="A58" s="302" t="s">
        <v>11</v>
      </c>
      <c r="B58" s="178" t="s">
        <v>12</v>
      </c>
      <c r="C58" s="175" t="s">
        <v>2027</v>
      </c>
      <c r="D58" s="175" t="s">
        <v>209</v>
      </c>
      <c r="E58" s="175">
        <v>49</v>
      </c>
      <c r="F58" s="175" t="s">
        <v>1063</v>
      </c>
      <c r="G58" s="175" t="s">
        <v>1064</v>
      </c>
      <c r="H58" s="379" t="s">
        <v>1411</v>
      </c>
      <c r="I58" s="214">
        <v>83247333</v>
      </c>
      <c r="J58" s="382" t="s">
        <v>16</v>
      </c>
      <c r="K58" s="175">
        <v>1.6</v>
      </c>
      <c r="L58" s="182"/>
      <c r="M58" s="183">
        <f>3772-2400</f>
        <v>1372</v>
      </c>
      <c r="N58" s="183">
        <f>14347-9004</f>
        <v>5343</v>
      </c>
      <c r="O58" s="181">
        <f t="shared" si="0"/>
        <v>6715</v>
      </c>
    </row>
    <row r="59" spans="1:15" ht="29.25">
      <c r="A59" s="302" t="s">
        <v>11</v>
      </c>
      <c r="B59" s="178" t="s">
        <v>12</v>
      </c>
      <c r="C59" s="175" t="s">
        <v>2028</v>
      </c>
      <c r="D59" s="175" t="s">
        <v>94</v>
      </c>
      <c r="E59" s="175"/>
      <c r="F59" s="175" t="s">
        <v>1063</v>
      </c>
      <c r="G59" s="175" t="s">
        <v>1064</v>
      </c>
      <c r="H59" s="379" t="s">
        <v>1412</v>
      </c>
      <c r="I59" s="214">
        <v>38374</v>
      </c>
      <c r="J59" s="382" t="s">
        <v>16</v>
      </c>
      <c r="K59" s="175">
        <v>2.8</v>
      </c>
      <c r="L59" s="182"/>
      <c r="M59" s="183">
        <f>26892-23041</f>
        <v>3851</v>
      </c>
      <c r="N59" s="183">
        <f>107519-92181</f>
        <v>15338</v>
      </c>
      <c r="O59" s="181">
        <f t="shared" si="0"/>
        <v>19189</v>
      </c>
    </row>
    <row r="60" spans="1:15" ht="29.25">
      <c r="A60" s="302" t="s">
        <v>11</v>
      </c>
      <c r="B60" s="178" t="s">
        <v>12</v>
      </c>
      <c r="C60" s="175" t="s">
        <v>2063</v>
      </c>
      <c r="D60" s="175" t="s">
        <v>209</v>
      </c>
      <c r="E60" s="175"/>
      <c r="F60" s="175" t="s">
        <v>1063</v>
      </c>
      <c r="G60" s="175" t="s">
        <v>1064</v>
      </c>
      <c r="H60" s="380" t="s">
        <v>1446</v>
      </c>
      <c r="I60" s="215">
        <v>907869</v>
      </c>
      <c r="J60" s="382" t="s">
        <v>16</v>
      </c>
      <c r="K60" s="175">
        <v>3.9</v>
      </c>
      <c r="L60" s="182"/>
      <c r="M60" s="183">
        <f>34659-28696</f>
        <v>5963</v>
      </c>
      <c r="N60" s="183">
        <f>150192-121456</f>
        <v>28736</v>
      </c>
      <c r="O60" s="181">
        <f t="shared" si="0"/>
        <v>34699</v>
      </c>
    </row>
    <row r="61" spans="1:15" ht="43.5">
      <c r="A61" s="302" t="s">
        <v>11</v>
      </c>
      <c r="B61" s="178" t="s">
        <v>12</v>
      </c>
      <c r="C61" s="175" t="s">
        <v>2029</v>
      </c>
      <c r="D61" s="175" t="s">
        <v>1070</v>
      </c>
      <c r="E61" s="175"/>
      <c r="F61" s="175" t="s">
        <v>1063</v>
      </c>
      <c r="G61" s="175" t="s">
        <v>1064</v>
      </c>
      <c r="H61" s="379" t="s">
        <v>1413</v>
      </c>
      <c r="I61" s="214">
        <v>41618</v>
      </c>
      <c r="J61" s="382" t="s">
        <v>16</v>
      </c>
      <c r="K61" s="175">
        <v>0.5</v>
      </c>
      <c r="L61" s="182"/>
      <c r="M61" s="183">
        <f>19500-17080</f>
        <v>2420</v>
      </c>
      <c r="N61" s="183">
        <f>61777-52304</f>
        <v>9473</v>
      </c>
      <c r="O61" s="181">
        <f t="shared" si="0"/>
        <v>11893</v>
      </c>
    </row>
    <row r="62" spans="1:15" ht="43.5">
      <c r="A62" s="302" t="s">
        <v>11</v>
      </c>
      <c r="B62" s="178" t="s">
        <v>12</v>
      </c>
      <c r="C62" s="175" t="s">
        <v>2030</v>
      </c>
      <c r="D62" s="175" t="s">
        <v>1071</v>
      </c>
      <c r="E62" s="175"/>
      <c r="F62" s="175" t="s">
        <v>1063</v>
      </c>
      <c r="G62" s="175" t="s">
        <v>1064</v>
      </c>
      <c r="H62" s="379" t="s">
        <v>1414</v>
      </c>
      <c r="I62" s="214">
        <v>91296964</v>
      </c>
      <c r="J62" s="382" t="s">
        <v>16</v>
      </c>
      <c r="K62" s="303">
        <v>2</v>
      </c>
      <c r="L62" s="182"/>
      <c r="M62" s="183">
        <f>24747-22021</f>
        <v>2726</v>
      </c>
      <c r="N62" s="183">
        <f>81164-70316</f>
        <v>10848</v>
      </c>
      <c r="O62" s="181">
        <f t="shared" si="0"/>
        <v>13574</v>
      </c>
    </row>
    <row r="63" spans="1:15" ht="45" customHeight="1">
      <c r="A63" s="302" t="s">
        <v>11</v>
      </c>
      <c r="B63" s="178" t="s">
        <v>12</v>
      </c>
      <c r="C63" s="175" t="s">
        <v>2031</v>
      </c>
      <c r="D63" s="175" t="s">
        <v>1071</v>
      </c>
      <c r="E63" s="175"/>
      <c r="F63" s="175" t="s">
        <v>1063</v>
      </c>
      <c r="G63" s="175" t="s">
        <v>1064</v>
      </c>
      <c r="H63" s="380" t="s">
        <v>1415</v>
      </c>
      <c r="I63" s="214">
        <v>91296839</v>
      </c>
      <c r="J63" s="382" t="s">
        <v>16</v>
      </c>
      <c r="K63" s="175">
        <v>2.8</v>
      </c>
      <c r="L63" s="182"/>
      <c r="M63" s="183">
        <f>24745-21175</f>
        <v>3570</v>
      </c>
      <c r="N63" s="183">
        <f>83797-73111</f>
        <v>10686</v>
      </c>
      <c r="O63" s="181">
        <f t="shared" si="0"/>
        <v>14256</v>
      </c>
    </row>
    <row r="64" spans="1:15" ht="43.5">
      <c r="A64" s="302" t="s">
        <v>11</v>
      </c>
      <c r="B64" s="178" t="s">
        <v>12</v>
      </c>
      <c r="C64" s="175" t="s">
        <v>2033</v>
      </c>
      <c r="D64" s="174"/>
      <c r="E64" s="175">
        <v>5</v>
      </c>
      <c r="F64" s="175" t="s">
        <v>1063</v>
      </c>
      <c r="G64" s="175" t="s">
        <v>1064</v>
      </c>
      <c r="H64" s="379" t="s">
        <v>1707</v>
      </c>
      <c r="I64" s="215">
        <v>1403581</v>
      </c>
      <c r="J64" s="382" t="s">
        <v>16</v>
      </c>
      <c r="K64" s="175">
        <v>1.5</v>
      </c>
      <c r="L64" s="182"/>
      <c r="M64" s="183">
        <f>5612-4097</f>
        <v>1515</v>
      </c>
      <c r="N64" s="183">
        <f>22566-16068</f>
        <v>6498</v>
      </c>
      <c r="O64" s="181">
        <f t="shared" si="0"/>
        <v>8013</v>
      </c>
    </row>
    <row r="65" spans="1:15" ht="29.25">
      <c r="A65" s="302" t="s">
        <v>11</v>
      </c>
      <c r="B65" s="178" t="s">
        <v>12</v>
      </c>
      <c r="C65" s="175" t="s">
        <v>2039</v>
      </c>
      <c r="D65" s="174"/>
      <c r="E65" s="175"/>
      <c r="F65" s="175" t="s">
        <v>1063</v>
      </c>
      <c r="G65" s="175" t="s">
        <v>1064</v>
      </c>
      <c r="H65" s="379" t="s">
        <v>1424</v>
      </c>
      <c r="I65" s="214">
        <v>41083</v>
      </c>
      <c r="J65" s="382" t="s">
        <v>16</v>
      </c>
      <c r="K65" s="175">
        <v>0.6</v>
      </c>
      <c r="L65" s="182"/>
      <c r="M65" s="183">
        <f>4953-4261</f>
        <v>692</v>
      </c>
      <c r="N65" s="183">
        <f>15350-12832</f>
        <v>2518</v>
      </c>
      <c r="O65" s="181">
        <f t="shared" si="0"/>
        <v>3210</v>
      </c>
    </row>
    <row r="66" spans="1:15" ht="29.25">
      <c r="A66" s="302" t="s">
        <v>11</v>
      </c>
      <c r="B66" s="178" t="s">
        <v>12</v>
      </c>
      <c r="C66" s="175" t="s">
        <v>2040</v>
      </c>
      <c r="D66" s="174"/>
      <c r="E66" s="175"/>
      <c r="F66" s="175" t="s">
        <v>1063</v>
      </c>
      <c r="G66" s="175" t="s">
        <v>1064</v>
      </c>
      <c r="H66" s="380" t="s">
        <v>1425</v>
      </c>
      <c r="I66" s="214">
        <v>41091</v>
      </c>
      <c r="J66" s="382" t="s">
        <v>16</v>
      </c>
      <c r="K66" s="175">
        <v>0.8</v>
      </c>
      <c r="L66" s="182"/>
      <c r="M66" s="183">
        <f>8942-7755</f>
        <v>1187</v>
      </c>
      <c r="N66" s="183">
        <f>27938-23519</f>
        <v>4419</v>
      </c>
      <c r="O66" s="181">
        <f t="shared" si="0"/>
        <v>5606</v>
      </c>
    </row>
    <row r="67" spans="1:15" ht="29.25">
      <c r="A67" s="302" t="s">
        <v>11</v>
      </c>
      <c r="B67" s="178" t="s">
        <v>12</v>
      </c>
      <c r="C67" s="175" t="s">
        <v>2022</v>
      </c>
      <c r="D67" s="174"/>
      <c r="E67" s="175">
        <v>17</v>
      </c>
      <c r="F67" s="175" t="s">
        <v>1063</v>
      </c>
      <c r="G67" s="175" t="s">
        <v>1064</v>
      </c>
      <c r="H67" s="379" t="s">
        <v>1405</v>
      </c>
      <c r="I67" s="214">
        <v>83247336</v>
      </c>
      <c r="J67" s="382" t="s">
        <v>16</v>
      </c>
      <c r="K67" s="175">
        <v>0.6</v>
      </c>
      <c r="L67" s="182"/>
      <c r="M67" s="183">
        <f>4827-2944</f>
        <v>1883</v>
      </c>
      <c r="N67" s="183">
        <f>17838-10625</f>
        <v>7213</v>
      </c>
      <c r="O67" s="181">
        <f t="shared" si="0"/>
        <v>9096</v>
      </c>
    </row>
    <row r="68" spans="1:15" ht="29.25">
      <c r="A68" s="302" t="s">
        <v>11</v>
      </c>
      <c r="B68" s="178" t="s">
        <v>12</v>
      </c>
      <c r="C68" s="175" t="s">
        <v>2034</v>
      </c>
      <c r="D68" s="174"/>
      <c r="E68" s="175"/>
      <c r="F68" s="175" t="s">
        <v>1063</v>
      </c>
      <c r="G68" s="175" t="s">
        <v>1064</v>
      </c>
      <c r="H68" s="379" t="s">
        <v>1417</v>
      </c>
      <c r="I68" s="214">
        <v>41668</v>
      </c>
      <c r="J68" s="382" t="s">
        <v>16</v>
      </c>
      <c r="K68" s="175">
        <v>0.5</v>
      </c>
      <c r="L68" s="182"/>
      <c r="M68" s="183">
        <f>1416-1149</f>
        <v>267</v>
      </c>
      <c r="N68" s="183">
        <f>4157-3332</f>
        <v>825</v>
      </c>
      <c r="O68" s="181">
        <f t="shared" si="0"/>
        <v>1092</v>
      </c>
    </row>
    <row r="69" spans="1:15" ht="29.25">
      <c r="A69" s="302" t="s">
        <v>11</v>
      </c>
      <c r="B69" s="178" t="s">
        <v>12</v>
      </c>
      <c r="C69" s="175" t="s">
        <v>2036</v>
      </c>
      <c r="D69" s="174"/>
      <c r="E69" s="175"/>
      <c r="F69" s="175" t="s">
        <v>1063</v>
      </c>
      <c r="G69" s="175" t="s">
        <v>1064</v>
      </c>
      <c r="H69" s="380" t="s">
        <v>1418</v>
      </c>
      <c r="I69" s="214">
        <v>41151</v>
      </c>
      <c r="J69" s="382" t="s">
        <v>16</v>
      </c>
      <c r="K69" s="175">
        <v>0.5</v>
      </c>
      <c r="L69" s="182"/>
      <c r="M69" s="183">
        <f>5429-4408</f>
        <v>1021</v>
      </c>
      <c r="N69" s="183">
        <f>16646-13051</f>
        <v>3595</v>
      </c>
      <c r="O69" s="181">
        <f t="shared" si="0"/>
        <v>4616</v>
      </c>
    </row>
    <row r="70" spans="1:15" ht="29.25">
      <c r="A70" s="302" t="s">
        <v>11</v>
      </c>
      <c r="B70" s="178" t="s">
        <v>12</v>
      </c>
      <c r="C70" s="175" t="s">
        <v>2035</v>
      </c>
      <c r="D70" s="174"/>
      <c r="E70" s="175"/>
      <c r="F70" s="175" t="s">
        <v>1063</v>
      </c>
      <c r="G70" s="175" t="s">
        <v>1064</v>
      </c>
      <c r="H70" s="379" t="s">
        <v>1419</v>
      </c>
      <c r="I70" s="214">
        <v>41671</v>
      </c>
      <c r="J70" s="382" t="s">
        <v>16</v>
      </c>
      <c r="K70" s="175">
        <v>0.5</v>
      </c>
      <c r="L70" s="182"/>
      <c r="M70" s="183">
        <f>933-933</f>
        <v>0</v>
      </c>
      <c r="N70" s="183">
        <f>2891-2891</f>
        <v>0</v>
      </c>
      <c r="O70" s="181">
        <f t="shared" si="0"/>
        <v>0</v>
      </c>
    </row>
    <row r="71" spans="1:15" ht="29.25">
      <c r="A71" s="302" t="s">
        <v>11</v>
      </c>
      <c r="B71" s="178" t="s">
        <v>12</v>
      </c>
      <c r="C71" s="175" t="s">
        <v>2037</v>
      </c>
      <c r="D71" s="174"/>
      <c r="E71" s="175"/>
      <c r="F71" s="175" t="s">
        <v>1063</v>
      </c>
      <c r="G71" s="175" t="s">
        <v>1064</v>
      </c>
      <c r="H71" s="379" t="s">
        <v>1421</v>
      </c>
      <c r="I71" s="214">
        <v>83247275</v>
      </c>
      <c r="J71" s="382" t="s">
        <v>16</v>
      </c>
      <c r="K71" s="175">
        <v>0.6</v>
      </c>
      <c r="L71" s="182"/>
      <c r="M71" s="183">
        <f>1836-1186</f>
        <v>650</v>
      </c>
      <c r="N71" s="183">
        <f>6675-4253</f>
        <v>2422</v>
      </c>
      <c r="O71" s="181">
        <f t="shared" si="0"/>
        <v>3072</v>
      </c>
    </row>
    <row r="72" spans="1:15" ht="29.25">
      <c r="A72" s="302" t="s">
        <v>11</v>
      </c>
      <c r="B72" s="178" t="s">
        <v>12</v>
      </c>
      <c r="C72" s="175" t="s">
        <v>2038</v>
      </c>
      <c r="D72" s="174"/>
      <c r="E72" s="175"/>
      <c r="F72" s="175" t="s">
        <v>1063</v>
      </c>
      <c r="G72" s="175" t="s">
        <v>1064</v>
      </c>
      <c r="H72" s="380" t="s">
        <v>1422</v>
      </c>
      <c r="I72" s="214">
        <v>83247324</v>
      </c>
      <c r="J72" s="382" t="s">
        <v>16</v>
      </c>
      <c r="K72" s="303">
        <v>1</v>
      </c>
      <c r="L72" s="182"/>
      <c r="M72" s="183">
        <f>2146-1315</f>
        <v>831</v>
      </c>
      <c r="N72" s="183">
        <f>7902-4741</f>
        <v>3161</v>
      </c>
      <c r="O72" s="181">
        <f t="shared" si="0"/>
        <v>3992</v>
      </c>
    </row>
    <row r="73" spans="1:15" ht="29.25">
      <c r="A73" s="302" t="s">
        <v>11</v>
      </c>
      <c r="B73" s="178" t="s">
        <v>12</v>
      </c>
      <c r="C73" s="175" t="s">
        <v>1420</v>
      </c>
      <c r="D73" s="174"/>
      <c r="E73" s="175"/>
      <c r="F73" s="175" t="s">
        <v>1063</v>
      </c>
      <c r="G73" s="175" t="s">
        <v>1064</v>
      </c>
      <c r="H73" s="379" t="s">
        <v>1423</v>
      </c>
      <c r="I73" s="214">
        <v>83247328</v>
      </c>
      <c r="J73" s="382" t="s">
        <v>16</v>
      </c>
      <c r="K73" s="175">
        <v>0.5</v>
      </c>
      <c r="L73" s="182"/>
      <c r="M73" s="183">
        <f>1455-943</f>
        <v>512</v>
      </c>
      <c r="N73" s="183">
        <f>5419-3384</f>
        <v>2035</v>
      </c>
      <c r="O73" s="181">
        <f t="shared" si="0"/>
        <v>2547</v>
      </c>
    </row>
    <row r="74" spans="1:15" ht="43.5">
      <c r="A74" s="302" t="s">
        <v>11</v>
      </c>
      <c r="B74" s="175" t="s">
        <v>12</v>
      </c>
      <c r="C74" s="175" t="s">
        <v>2032</v>
      </c>
      <c r="D74" s="174"/>
      <c r="E74" s="175">
        <v>4</v>
      </c>
      <c r="F74" s="175" t="s">
        <v>1063</v>
      </c>
      <c r="G74" s="175" t="s">
        <v>1064</v>
      </c>
      <c r="H74" s="379" t="s">
        <v>1416</v>
      </c>
      <c r="I74" s="214">
        <v>83247325</v>
      </c>
      <c r="J74" s="382" t="s">
        <v>16</v>
      </c>
      <c r="K74" s="175">
        <v>1.7</v>
      </c>
      <c r="L74" s="182"/>
      <c r="M74" s="183">
        <f>5825-3773</f>
        <v>2052</v>
      </c>
      <c r="N74" s="183">
        <f>21555-13315</f>
        <v>8240</v>
      </c>
      <c r="O74" s="181">
        <f t="shared" si="0"/>
        <v>10292</v>
      </c>
    </row>
    <row r="75" spans="1:15" ht="29.25">
      <c r="A75" s="274" t="s">
        <v>11</v>
      </c>
      <c r="B75" s="178" t="s">
        <v>12</v>
      </c>
      <c r="C75" s="186" t="s">
        <v>1065</v>
      </c>
      <c r="D75" s="52"/>
      <c r="E75" s="52"/>
      <c r="F75" s="52" t="s">
        <v>1063</v>
      </c>
      <c r="G75" s="52" t="s">
        <v>1064</v>
      </c>
      <c r="H75" s="387" t="s">
        <v>1710</v>
      </c>
      <c r="I75" s="52">
        <v>136858</v>
      </c>
      <c r="J75" s="383" t="s">
        <v>16</v>
      </c>
      <c r="K75" s="164">
        <v>0.4</v>
      </c>
      <c r="L75" s="54"/>
      <c r="M75" s="160">
        <f>1234-959</f>
        <v>275</v>
      </c>
      <c r="N75" s="160">
        <f>5553-4310</f>
        <v>1243</v>
      </c>
      <c r="O75" s="181">
        <f t="shared" si="0"/>
        <v>1518</v>
      </c>
    </row>
    <row r="76" spans="1:15" ht="30.75" customHeight="1">
      <c r="A76" s="275" t="s">
        <v>11</v>
      </c>
      <c r="B76" s="175" t="s">
        <v>12</v>
      </c>
      <c r="C76" s="115" t="s">
        <v>1073</v>
      </c>
      <c r="D76" s="55"/>
      <c r="E76" s="55"/>
      <c r="F76" s="55" t="s">
        <v>1063</v>
      </c>
      <c r="G76" s="55" t="s">
        <v>1064</v>
      </c>
      <c r="H76" s="376" t="s">
        <v>1709</v>
      </c>
      <c r="I76" s="55">
        <v>136850</v>
      </c>
      <c r="J76" s="384" t="s">
        <v>16</v>
      </c>
      <c r="K76" s="242">
        <v>2</v>
      </c>
      <c r="L76" s="45"/>
      <c r="M76" s="101">
        <f>4493-3358</f>
        <v>1135</v>
      </c>
      <c r="N76" s="101">
        <f>19825-14506</f>
        <v>5319</v>
      </c>
      <c r="O76" s="181">
        <f t="shared" si="0"/>
        <v>6454</v>
      </c>
    </row>
    <row r="77" spans="1:15" ht="29.25">
      <c r="A77" s="400" t="s">
        <v>11</v>
      </c>
      <c r="B77" s="354" t="s">
        <v>12</v>
      </c>
      <c r="C77" s="401" t="s">
        <v>1064</v>
      </c>
      <c r="D77" s="56" t="s">
        <v>1307</v>
      </c>
      <c r="E77" s="56"/>
      <c r="F77" s="56" t="s">
        <v>1063</v>
      </c>
      <c r="G77" s="56" t="s">
        <v>1064</v>
      </c>
      <c r="H77" s="377" t="s">
        <v>1706</v>
      </c>
      <c r="I77" s="56">
        <v>1394963</v>
      </c>
      <c r="J77" s="402" t="s">
        <v>152</v>
      </c>
      <c r="K77" s="403">
        <v>5</v>
      </c>
      <c r="L77" s="14">
        <f>3072-2261</f>
        <v>811</v>
      </c>
      <c r="M77" s="404"/>
      <c r="N77" s="404"/>
      <c r="O77" s="344">
        <f aca="true" t="shared" si="1" ref="O77:O83">L77</f>
        <v>811</v>
      </c>
    </row>
    <row r="78" spans="1:15" s="50" customFormat="1" ht="29.25">
      <c r="A78" s="275" t="s">
        <v>11</v>
      </c>
      <c r="B78" s="175" t="s">
        <v>12</v>
      </c>
      <c r="C78" s="386" t="s">
        <v>1447</v>
      </c>
      <c r="D78" s="55"/>
      <c r="E78" s="55"/>
      <c r="F78" s="55" t="s">
        <v>1063</v>
      </c>
      <c r="G78" s="55" t="s">
        <v>1064</v>
      </c>
      <c r="H78" s="376" t="s">
        <v>1708</v>
      </c>
      <c r="I78" s="55">
        <v>45557</v>
      </c>
      <c r="J78" s="385" t="s">
        <v>152</v>
      </c>
      <c r="K78" s="272">
        <v>0.6</v>
      </c>
      <c r="L78" s="13">
        <f>13133-11269</f>
        <v>1864</v>
      </c>
      <c r="M78" s="182"/>
      <c r="N78" s="182"/>
      <c r="O78" s="101">
        <f t="shared" si="1"/>
        <v>1864</v>
      </c>
    </row>
    <row r="79" spans="1:15" ht="29.25">
      <c r="A79" s="274" t="s">
        <v>11</v>
      </c>
      <c r="B79" s="175" t="s">
        <v>12</v>
      </c>
      <c r="C79" s="52" t="s">
        <v>1712</v>
      </c>
      <c r="D79" s="52"/>
      <c r="E79" s="52"/>
      <c r="F79" s="52" t="s">
        <v>1063</v>
      </c>
      <c r="G79" s="52" t="s">
        <v>1064</v>
      </c>
      <c r="H79" s="387" t="s">
        <v>1760</v>
      </c>
      <c r="I79" s="52">
        <v>1481450</v>
      </c>
      <c r="J79" s="209" t="s">
        <v>152</v>
      </c>
      <c r="K79" s="267">
        <v>0.4</v>
      </c>
      <c r="L79" s="53">
        <f>6236-4286</f>
        <v>1950</v>
      </c>
      <c r="M79" s="54"/>
      <c r="N79" s="54"/>
      <c r="O79" s="53">
        <f t="shared" si="1"/>
        <v>1950</v>
      </c>
    </row>
    <row r="80" spans="1:17" ht="29.25">
      <c r="A80" s="274" t="s">
        <v>11</v>
      </c>
      <c r="B80" s="175" t="s">
        <v>12</v>
      </c>
      <c r="C80" s="52" t="s">
        <v>1072</v>
      </c>
      <c r="D80" s="52"/>
      <c r="E80" s="52"/>
      <c r="F80" s="52" t="s">
        <v>1063</v>
      </c>
      <c r="G80" s="52" t="s">
        <v>1064</v>
      </c>
      <c r="H80" s="376" t="s">
        <v>1761</v>
      </c>
      <c r="I80" s="52">
        <v>1481452</v>
      </c>
      <c r="J80" s="209" t="s">
        <v>152</v>
      </c>
      <c r="K80" s="267">
        <v>0.4</v>
      </c>
      <c r="L80" s="53">
        <f>8111-4415</f>
        <v>3696</v>
      </c>
      <c r="M80" s="54"/>
      <c r="N80" s="54"/>
      <c r="O80" s="53">
        <f t="shared" si="1"/>
        <v>3696</v>
      </c>
      <c r="Q80" s="2"/>
    </row>
    <row r="81" spans="1:17" ht="29.25">
      <c r="A81" s="274" t="s">
        <v>11</v>
      </c>
      <c r="B81" s="175" t="s">
        <v>12</v>
      </c>
      <c r="C81" s="466" t="s">
        <v>1074</v>
      </c>
      <c r="D81" s="466"/>
      <c r="E81" s="466"/>
      <c r="F81" s="466" t="s">
        <v>1063</v>
      </c>
      <c r="G81" s="466" t="s">
        <v>1064</v>
      </c>
      <c r="H81" s="387" t="s">
        <v>2060</v>
      </c>
      <c r="I81" s="645">
        <v>83638276</v>
      </c>
      <c r="J81" s="646" t="s">
        <v>154</v>
      </c>
      <c r="K81" s="647">
        <v>1.1</v>
      </c>
      <c r="L81" s="648">
        <f>447*12</f>
        <v>5364</v>
      </c>
      <c r="M81" s="182"/>
      <c r="N81" s="182"/>
      <c r="O81" s="649">
        <f t="shared" si="1"/>
        <v>5364</v>
      </c>
      <c r="Q81" s="2"/>
    </row>
    <row r="82" spans="1:17" ht="29.25">
      <c r="A82" s="274" t="s">
        <v>11</v>
      </c>
      <c r="B82" s="178" t="s">
        <v>12</v>
      </c>
      <c r="C82" s="474" t="s">
        <v>1828</v>
      </c>
      <c r="D82" s="474"/>
      <c r="E82" s="474"/>
      <c r="F82" s="474" t="s">
        <v>1063</v>
      </c>
      <c r="G82" s="474" t="s">
        <v>1064</v>
      </c>
      <c r="H82" s="376" t="s">
        <v>2061</v>
      </c>
      <c r="I82" s="650">
        <v>83425939</v>
      </c>
      <c r="J82" s="662" t="s">
        <v>154</v>
      </c>
      <c r="K82" s="651">
        <v>3.5</v>
      </c>
      <c r="L82" s="649">
        <f>350*12</f>
        <v>4200</v>
      </c>
      <c r="M82" s="179"/>
      <c r="N82" s="179"/>
      <c r="O82" s="649">
        <f t="shared" si="1"/>
        <v>4200</v>
      </c>
      <c r="Q82" s="2"/>
    </row>
    <row r="83" spans="1:17" ht="30" thickBot="1">
      <c r="A83" s="275" t="s">
        <v>754</v>
      </c>
      <c r="B83" s="175" t="s">
        <v>12</v>
      </c>
      <c r="C83" s="466" t="s">
        <v>1066</v>
      </c>
      <c r="D83" s="466" t="s">
        <v>61</v>
      </c>
      <c r="E83" s="466"/>
      <c r="F83" s="466" t="s">
        <v>1063</v>
      </c>
      <c r="G83" s="466" t="s">
        <v>1064</v>
      </c>
      <c r="H83" s="387" t="s">
        <v>2062</v>
      </c>
      <c r="I83" s="645">
        <v>83638032</v>
      </c>
      <c r="J83" s="646" t="s">
        <v>154</v>
      </c>
      <c r="K83" s="647">
        <v>5</v>
      </c>
      <c r="L83" s="648">
        <f>127*12</f>
        <v>1524</v>
      </c>
      <c r="M83" s="182"/>
      <c r="N83" s="182"/>
      <c r="O83" s="649">
        <f t="shared" si="1"/>
        <v>1524</v>
      </c>
      <c r="Q83" s="2"/>
    </row>
    <row r="84" spans="2:15" ht="44.25" customHeight="1">
      <c r="B84" s="592" t="s">
        <v>155</v>
      </c>
      <c r="C84" s="593" t="s">
        <v>1671</v>
      </c>
      <c r="D84" s="594"/>
      <c r="E84" s="595"/>
      <c r="F84" s="595"/>
      <c r="G84" s="672" t="s">
        <v>2097</v>
      </c>
      <c r="H84" s="596" t="s">
        <v>1671</v>
      </c>
      <c r="L84" s="20"/>
      <c r="M84" s="20"/>
      <c r="N84" s="53" t="s">
        <v>156</v>
      </c>
      <c r="O84" s="307">
        <f>SUM(O18:O83)</f>
        <v>498278</v>
      </c>
    </row>
    <row r="85" spans="2:16" ht="15">
      <c r="B85" s="293"/>
      <c r="C85" s="294" t="s">
        <v>1672</v>
      </c>
      <c r="D85" s="594"/>
      <c r="E85" s="595"/>
      <c r="F85" s="595"/>
      <c r="G85" s="525"/>
      <c r="H85" s="597" t="s">
        <v>1672</v>
      </c>
      <c r="M85" s="20"/>
      <c r="N85" s="20"/>
      <c r="O85" s="20"/>
      <c r="P85" s="20"/>
    </row>
    <row r="86" spans="2:16" ht="15.75" thickBot="1">
      <c r="B86" s="293"/>
      <c r="C86" s="294" t="s">
        <v>1673</v>
      </c>
      <c r="D86" s="594"/>
      <c r="E86" s="595"/>
      <c r="F86" s="595"/>
      <c r="G86" s="598"/>
      <c r="H86" s="599" t="s">
        <v>1673</v>
      </c>
      <c r="M86" s="20"/>
      <c r="N86" s="20"/>
      <c r="O86" s="20"/>
      <c r="P86" s="20"/>
    </row>
    <row r="87" spans="2:16" ht="15">
      <c r="B87" s="592" t="s">
        <v>1670</v>
      </c>
      <c r="C87" s="294">
        <v>8222147156</v>
      </c>
      <c r="D87" s="594"/>
      <c r="E87" s="595"/>
      <c r="F87" s="595"/>
      <c r="G87" s="595"/>
      <c r="H87" s="595"/>
      <c r="M87" s="20"/>
      <c r="N87" s="20"/>
      <c r="O87" s="20"/>
      <c r="P87" s="20"/>
    </row>
    <row r="88" spans="2:16" ht="15.75" thickBot="1">
      <c r="B88" s="600" t="s">
        <v>1674</v>
      </c>
      <c r="C88" s="528" t="s">
        <v>1711</v>
      </c>
      <c r="D88" s="601"/>
      <c r="E88" s="595"/>
      <c r="F88" s="595"/>
      <c r="G88" s="595"/>
      <c r="H88" s="595"/>
      <c r="M88" s="20"/>
      <c r="N88" s="20"/>
      <c r="O88" s="20"/>
      <c r="P88" s="20"/>
    </row>
    <row r="89" spans="13:16" ht="21.75" customHeight="1">
      <c r="M89" s="20" t="s">
        <v>160</v>
      </c>
      <c r="N89" s="20">
        <f>O84</f>
        <v>498278</v>
      </c>
      <c r="O89" s="20"/>
      <c r="P89" s="20"/>
    </row>
    <row r="90" spans="2:16" ht="15" thickBot="1">
      <c r="B90" s="304"/>
      <c r="C90" s="273"/>
      <c r="D90" s="305"/>
      <c r="O90" s="20"/>
      <c r="P90" s="20"/>
    </row>
    <row r="91" spans="11:16" ht="48" customHeight="1">
      <c r="K91" s="711" t="s">
        <v>157</v>
      </c>
      <c r="L91" s="706" t="s">
        <v>1034</v>
      </c>
      <c r="M91" s="707"/>
      <c r="N91" s="708"/>
      <c r="O91" s="743" t="s">
        <v>158</v>
      </c>
      <c r="P91" s="20"/>
    </row>
    <row r="92" spans="11:15" ht="23.25" customHeight="1" thickBot="1">
      <c r="K92" s="712"/>
      <c r="L92" s="128" t="s">
        <v>159</v>
      </c>
      <c r="M92" s="128" t="s">
        <v>1035</v>
      </c>
      <c r="N92" s="128" t="s">
        <v>1036</v>
      </c>
      <c r="O92" s="744"/>
    </row>
    <row r="93" spans="11:15" ht="23.25" customHeight="1">
      <c r="K93" s="55" t="s">
        <v>152</v>
      </c>
      <c r="L93" s="162">
        <f>O77+O78+O79+O80</f>
        <v>8321</v>
      </c>
      <c r="M93" s="57"/>
      <c r="N93" s="57"/>
      <c r="O93" s="14">
        <v>4</v>
      </c>
    </row>
    <row r="94" spans="11:15" ht="23.25" customHeight="1">
      <c r="K94" s="55" t="s">
        <v>154</v>
      </c>
      <c r="L94" s="162">
        <f>SUM(L81:L83)</f>
        <v>11088</v>
      </c>
      <c r="M94" s="57"/>
      <c r="N94" s="57"/>
      <c r="O94" s="14">
        <v>3</v>
      </c>
    </row>
    <row r="95" spans="11:15" ht="27" customHeight="1" thickBot="1">
      <c r="K95" s="55" t="s">
        <v>16</v>
      </c>
      <c r="L95" s="57"/>
      <c r="M95" s="14">
        <f>SUM(M18:M76)</f>
        <v>93981</v>
      </c>
      <c r="N95" s="14">
        <f>SUM(N18:N76)</f>
        <v>384888</v>
      </c>
      <c r="O95" s="14">
        <v>59</v>
      </c>
    </row>
    <row r="96" spans="11:15" ht="27" customHeight="1" thickBot="1">
      <c r="K96" s="339" t="s">
        <v>160</v>
      </c>
      <c r="L96" s="133">
        <f>SUM(L93:L95)</f>
        <v>19409</v>
      </c>
      <c r="M96" s="18">
        <f>SUM(M93:M95)</f>
        <v>93981</v>
      </c>
      <c r="N96" s="15">
        <f>SUM(N93:N95)</f>
        <v>384888</v>
      </c>
      <c r="O96" s="345">
        <f>SUM(O93:O95)</f>
        <v>66</v>
      </c>
    </row>
    <row r="97" spans="12:13" ht="21.75" customHeight="1" thickBot="1">
      <c r="L97" t="s">
        <v>161</v>
      </c>
      <c r="M97" s="345">
        <f>SUM(L96:N96)</f>
        <v>498278</v>
      </c>
    </row>
  </sheetData>
  <sheetProtection/>
  <mergeCells count="19">
    <mergeCell ref="G15:G17"/>
    <mergeCell ref="H15:H17"/>
    <mergeCell ref="I15:I17"/>
    <mergeCell ref="A15:A17"/>
    <mergeCell ref="B15:B17"/>
    <mergeCell ref="C15:C17"/>
    <mergeCell ref="D15:D17"/>
    <mergeCell ref="E15:E17"/>
    <mergeCell ref="F15:F17"/>
    <mergeCell ref="O91:O92"/>
    <mergeCell ref="B3:J3"/>
    <mergeCell ref="B5:J5"/>
    <mergeCell ref="B1:K1"/>
    <mergeCell ref="J15:J17"/>
    <mergeCell ref="K15:K17"/>
    <mergeCell ref="L15:O15"/>
    <mergeCell ref="L16:O16"/>
    <mergeCell ref="K91:K92"/>
    <mergeCell ref="L91:N91"/>
  </mergeCells>
  <printOptions/>
  <pageMargins left="0.7" right="0.7" top="0.75" bottom="0.75" header="0.3" footer="0.3"/>
  <pageSetup horizontalDpi="600" verticalDpi="600" orientation="portrait" paperSize="9" r:id="rId1"/>
  <ignoredErrors>
    <ignoredError sqref="L96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1"/>
  <sheetViews>
    <sheetView zoomScale="80" zoomScaleNormal="80" zoomScalePageLayoutView="0" workbookViewId="0" topLeftCell="A85">
      <selection activeCell="I90" sqref="I90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8.1992187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2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3.8984375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</cols>
  <sheetData>
    <row r="1" spans="2:11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1" ht="15">
      <c r="B2" s="220"/>
      <c r="C2" s="220"/>
      <c r="D2" s="220"/>
      <c r="E2" s="220"/>
      <c r="F2" s="220"/>
      <c r="G2" s="220"/>
      <c r="H2" s="221"/>
      <c r="I2" s="222"/>
      <c r="J2" s="220"/>
      <c r="K2" s="220"/>
    </row>
    <row r="3" spans="2:11" ht="27" customHeight="1">
      <c r="B3" s="740" t="s">
        <v>1830</v>
      </c>
      <c r="C3" s="741"/>
      <c r="D3" s="741"/>
      <c r="E3" s="741"/>
      <c r="F3" s="741"/>
      <c r="G3" s="741"/>
      <c r="H3" s="741"/>
      <c r="I3" s="741"/>
      <c r="J3" s="742"/>
      <c r="K3" s="220"/>
    </row>
    <row r="4" spans="2:11" ht="22.5" customHeight="1">
      <c r="B4" s="221"/>
      <c r="C4" s="221"/>
      <c r="D4" s="221"/>
      <c r="E4" s="221"/>
      <c r="F4" s="221"/>
      <c r="G4" s="221"/>
      <c r="H4" s="221"/>
      <c r="I4" s="222"/>
      <c r="J4" s="220"/>
      <c r="K4" s="220"/>
    </row>
    <row r="5" spans="2:11" ht="22.5" customHeight="1">
      <c r="B5" s="736" t="s">
        <v>1029</v>
      </c>
      <c r="C5" s="736"/>
      <c r="D5" s="736"/>
      <c r="E5" s="736"/>
      <c r="F5" s="736"/>
      <c r="G5" s="736"/>
      <c r="H5" s="736"/>
      <c r="I5" s="736"/>
      <c r="J5" s="736"/>
      <c r="K5" s="220"/>
    </row>
    <row r="6" spans="2:11" ht="22.5" customHeight="1">
      <c r="B6" s="221"/>
      <c r="C6" s="221"/>
      <c r="D6" s="221"/>
      <c r="E6" s="221"/>
      <c r="F6" s="221"/>
      <c r="G6" s="221"/>
      <c r="H6" s="221"/>
      <c r="I6" s="222"/>
      <c r="J6" s="220"/>
      <c r="K6" s="220"/>
    </row>
    <row r="7" spans="2:11" ht="22.5" customHeight="1">
      <c r="B7" s="502" t="s">
        <v>967</v>
      </c>
      <c r="C7" s="220"/>
      <c r="D7" s="221"/>
      <c r="E7" s="221"/>
      <c r="F7" s="221"/>
      <c r="G7" s="220"/>
      <c r="H7" s="221"/>
      <c r="I7" s="222"/>
      <c r="J7" s="220"/>
      <c r="K7" s="220"/>
    </row>
    <row r="8" spans="2:11" ht="22.5" customHeight="1">
      <c r="B8" s="502" t="s">
        <v>2098</v>
      </c>
      <c r="C8" s="220"/>
      <c r="D8" s="221"/>
      <c r="E8" s="221"/>
      <c r="F8" s="221"/>
      <c r="G8" s="220"/>
      <c r="H8" s="221"/>
      <c r="I8" s="222"/>
      <c r="J8" s="220"/>
      <c r="K8" s="220"/>
    </row>
    <row r="9" spans="2:11" ht="22.5" customHeight="1">
      <c r="B9" s="224" t="s">
        <v>2087</v>
      </c>
      <c r="C9" s="220"/>
      <c r="D9" s="225"/>
      <c r="E9" s="221"/>
      <c r="F9" s="221"/>
      <c r="G9" s="220"/>
      <c r="H9" s="221"/>
      <c r="I9" s="222"/>
      <c r="J9" s="220"/>
      <c r="K9" s="220"/>
    </row>
    <row r="10" spans="2:11" ht="22.5" customHeight="1">
      <c r="B10" s="224" t="s">
        <v>1663</v>
      </c>
      <c r="C10" s="220"/>
      <c r="D10" s="225"/>
      <c r="E10" s="221"/>
      <c r="F10" s="221"/>
      <c r="G10" s="220"/>
      <c r="H10" s="221"/>
      <c r="I10" s="222"/>
      <c r="J10" s="220"/>
      <c r="K10" s="220"/>
    </row>
    <row r="11" spans="2:11" ht="22.5" customHeight="1">
      <c r="B11" s="220" t="s">
        <v>1046</v>
      </c>
      <c r="C11" s="220"/>
      <c r="D11" s="220"/>
      <c r="E11" s="220"/>
      <c r="F11" s="220"/>
      <c r="G11" s="220"/>
      <c r="H11" s="221"/>
      <c r="I11" s="222"/>
      <c r="J11" s="220"/>
      <c r="K11" s="220"/>
    </row>
    <row r="12" spans="2:11" ht="22.5" customHeight="1">
      <c r="B12" s="226" t="s">
        <v>1030</v>
      </c>
      <c r="C12" s="676" t="s">
        <v>1031</v>
      </c>
      <c r="D12" s="225"/>
      <c r="E12" s="225"/>
      <c r="F12" s="225"/>
      <c r="G12" s="225"/>
      <c r="H12" s="228"/>
      <c r="I12" s="220"/>
      <c r="J12" s="220"/>
      <c r="K12" s="220"/>
    </row>
    <row r="13" spans="2:11" ht="22.5" customHeight="1">
      <c r="B13" s="226" t="s">
        <v>1032</v>
      </c>
      <c r="C13" s="223" t="s">
        <v>1033</v>
      </c>
      <c r="D13" s="225"/>
      <c r="E13" s="225"/>
      <c r="F13" s="225"/>
      <c r="G13" s="225"/>
      <c r="H13" s="228"/>
      <c r="I13" s="220"/>
      <c r="J13" s="220"/>
      <c r="K13" s="220"/>
    </row>
    <row r="14" ht="15" thickBot="1"/>
    <row r="15" spans="1:15" ht="45" customHeight="1">
      <c r="A15" s="765" t="s">
        <v>0</v>
      </c>
      <c r="B15" s="768" t="s">
        <v>993</v>
      </c>
      <c r="C15" s="768" t="s">
        <v>2</v>
      </c>
      <c r="D15" s="768" t="s">
        <v>3</v>
      </c>
      <c r="E15" s="762" t="s">
        <v>1038</v>
      </c>
      <c r="F15" s="762" t="s">
        <v>5</v>
      </c>
      <c r="G15" s="768" t="s">
        <v>6</v>
      </c>
      <c r="H15" s="793" t="s">
        <v>7</v>
      </c>
      <c r="I15" s="793" t="s">
        <v>753</v>
      </c>
      <c r="J15" s="793" t="s">
        <v>157</v>
      </c>
      <c r="K15" s="796" t="s">
        <v>992</v>
      </c>
      <c r="L15" s="799" t="s">
        <v>1039</v>
      </c>
      <c r="M15" s="800"/>
      <c r="N15" s="800"/>
      <c r="O15" s="801"/>
    </row>
    <row r="16" spans="1:15" ht="44.25" customHeight="1">
      <c r="A16" s="766"/>
      <c r="B16" s="769"/>
      <c r="C16" s="769"/>
      <c r="D16" s="769"/>
      <c r="E16" s="763"/>
      <c r="F16" s="763"/>
      <c r="G16" s="769"/>
      <c r="H16" s="794"/>
      <c r="I16" s="794"/>
      <c r="J16" s="794"/>
      <c r="K16" s="797"/>
      <c r="L16" s="802" t="s">
        <v>1040</v>
      </c>
      <c r="M16" s="803"/>
      <c r="N16" s="803"/>
      <c r="O16" s="804"/>
    </row>
    <row r="17" spans="1:15" ht="26.25" customHeight="1" thickBot="1">
      <c r="A17" s="767"/>
      <c r="B17" s="770"/>
      <c r="C17" s="770"/>
      <c r="D17" s="770"/>
      <c r="E17" s="764"/>
      <c r="F17" s="764"/>
      <c r="G17" s="770"/>
      <c r="H17" s="795"/>
      <c r="I17" s="795"/>
      <c r="J17" s="795"/>
      <c r="K17" s="798"/>
      <c r="L17" s="170" t="s">
        <v>1041</v>
      </c>
      <c r="M17" s="171" t="s">
        <v>1035</v>
      </c>
      <c r="N17" s="171" t="s">
        <v>1036</v>
      </c>
      <c r="O17" s="172" t="s">
        <v>10</v>
      </c>
    </row>
    <row r="18" spans="1:15" ht="29.25">
      <c r="A18" s="302" t="s">
        <v>11</v>
      </c>
      <c r="B18" s="178" t="s">
        <v>12</v>
      </c>
      <c r="C18" s="178" t="s">
        <v>745</v>
      </c>
      <c r="D18" s="177"/>
      <c r="E18" s="178"/>
      <c r="F18" s="178" t="s">
        <v>1831</v>
      </c>
      <c r="G18" s="178" t="s">
        <v>1832</v>
      </c>
      <c r="H18" s="380" t="s">
        <v>1836</v>
      </c>
      <c r="I18" s="213">
        <v>1567784</v>
      </c>
      <c r="J18" s="521" t="s">
        <v>154</v>
      </c>
      <c r="K18" s="267">
        <v>5.5</v>
      </c>
      <c r="L18" s="53">
        <f>11753-7748</f>
        <v>4005</v>
      </c>
      <c r="M18" s="179"/>
      <c r="N18" s="179"/>
      <c r="O18" s="160">
        <f>L18</f>
        <v>4005</v>
      </c>
    </row>
    <row r="19" spans="1:15" ht="29.25">
      <c r="A19" s="302" t="s">
        <v>11</v>
      </c>
      <c r="B19" s="178" t="s">
        <v>12</v>
      </c>
      <c r="C19" s="175" t="s">
        <v>1837</v>
      </c>
      <c r="D19" s="174"/>
      <c r="E19" s="175" t="s">
        <v>686</v>
      </c>
      <c r="F19" s="178" t="s">
        <v>1831</v>
      </c>
      <c r="G19" s="178" t="s">
        <v>1832</v>
      </c>
      <c r="H19" s="380" t="s">
        <v>1838</v>
      </c>
      <c r="I19" s="214">
        <v>1409603</v>
      </c>
      <c r="J19" s="470" t="s">
        <v>154</v>
      </c>
      <c r="K19" s="242">
        <v>1</v>
      </c>
      <c r="L19" s="13">
        <f>7286-5745</f>
        <v>1541</v>
      </c>
      <c r="M19" s="182"/>
      <c r="N19" s="182"/>
      <c r="O19" s="101">
        <f aca="true" t="shared" si="0" ref="O19:O77">L19</f>
        <v>1541</v>
      </c>
    </row>
    <row r="20" spans="1:15" ht="29.25">
      <c r="A20" s="302" t="s">
        <v>11</v>
      </c>
      <c r="B20" s="178" t="s">
        <v>12</v>
      </c>
      <c r="C20" s="175" t="s">
        <v>1837</v>
      </c>
      <c r="D20" s="174"/>
      <c r="E20" s="175" t="s">
        <v>686</v>
      </c>
      <c r="F20" s="178" t="s">
        <v>1831</v>
      </c>
      <c r="G20" s="178" t="s">
        <v>1832</v>
      </c>
      <c r="H20" s="380" t="s">
        <v>1839</v>
      </c>
      <c r="I20" s="214">
        <v>1567795</v>
      </c>
      <c r="J20" s="470" t="s">
        <v>154</v>
      </c>
      <c r="K20" s="242">
        <v>1</v>
      </c>
      <c r="L20" s="13">
        <f>4781-3436</f>
        <v>1345</v>
      </c>
      <c r="M20" s="182"/>
      <c r="N20" s="182"/>
      <c r="O20" s="101">
        <f t="shared" si="0"/>
        <v>1345</v>
      </c>
    </row>
    <row r="21" spans="1:15" ht="29.25">
      <c r="A21" s="302" t="s">
        <v>11</v>
      </c>
      <c r="B21" s="178" t="s">
        <v>12</v>
      </c>
      <c r="C21" s="175" t="s">
        <v>1840</v>
      </c>
      <c r="D21" s="174"/>
      <c r="E21" s="175"/>
      <c r="F21" s="178" t="s">
        <v>1831</v>
      </c>
      <c r="G21" s="178" t="s">
        <v>1832</v>
      </c>
      <c r="H21" s="380" t="s">
        <v>1841</v>
      </c>
      <c r="I21" s="214">
        <v>1567800</v>
      </c>
      <c r="J21" s="470" t="s">
        <v>154</v>
      </c>
      <c r="K21" s="242">
        <v>1</v>
      </c>
      <c r="L21" s="13">
        <f>6136-5287</f>
        <v>849</v>
      </c>
      <c r="M21" s="182"/>
      <c r="N21" s="182"/>
      <c r="O21" s="101">
        <f t="shared" si="0"/>
        <v>849</v>
      </c>
    </row>
    <row r="22" spans="1:15" ht="29.25">
      <c r="A22" s="302" t="s">
        <v>11</v>
      </c>
      <c r="B22" s="178" t="s">
        <v>12</v>
      </c>
      <c r="C22" s="175" t="s">
        <v>1842</v>
      </c>
      <c r="D22" s="174"/>
      <c r="E22" s="175" t="s">
        <v>686</v>
      </c>
      <c r="F22" s="178" t="s">
        <v>1831</v>
      </c>
      <c r="G22" s="178" t="s">
        <v>1832</v>
      </c>
      <c r="H22" s="380" t="s">
        <v>1843</v>
      </c>
      <c r="I22" s="214">
        <v>9684899</v>
      </c>
      <c r="J22" s="470" t="s">
        <v>154</v>
      </c>
      <c r="K22" s="242">
        <v>1</v>
      </c>
      <c r="L22" s="13">
        <f>56397-52921</f>
        <v>3476</v>
      </c>
      <c r="M22" s="182"/>
      <c r="N22" s="182"/>
      <c r="O22" s="101">
        <f t="shared" si="0"/>
        <v>3476</v>
      </c>
    </row>
    <row r="23" spans="1:15" ht="29.25">
      <c r="A23" s="302" t="s">
        <v>11</v>
      </c>
      <c r="B23" s="178" t="s">
        <v>12</v>
      </c>
      <c r="C23" s="175" t="s">
        <v>1844</v>
      </c>
      <c r="D23" s="174"/>
      <c r="E23" s="175"/>
      <c r="F23" s="178" t="s">
        <v>1831</v>
      </c>
      <c r="G23" s="178" t="s">
        <v>1832</v>
      </c>
      <c r="H23" s="380" t="s">
        <v>1845</v>
      </c>
      <c r="I23" s="214">
        <v>91353833</v>
      </c>
      <c r="J23" s="470" t="s">
        <v>154</v>
      </c>
      <c r="K23" s="242">
        <v>1.8</v>
      </c>
      <c r="L23" s="13">
        <f>5649-2856</f>
        <v>2793</v>
      </c>
      <c r="M23" s="182"/>
      <c r="N23" s="182"/>
      <c r="O23" s="101">
        <f t="shared" si="0"/>
        <v>2793</v>
      </c>
    </row>
    <row r="24" spans="1:15" ht="29.25">
      <c r="A24" s="302" t="s">
        <v>11</v>
      </c>
      <c r="B24" s="178" t="s">
        <v>12</v>
      </c>
      <c r="C24" s="175" t="s">
        <v>1846</v>
      </c>
      <c r="D24" s="174"/>
      <c r="E24" s="175" t="s">
        <v>146</v>
      </c>
      <c r="F24" s="178" t="s">
        <v>1831</v>
      </c>
      <c r="G24" s="178" t="s">
        <v>1832</v>
      </c>
      <c r="H24" s="380" t="s">
        <v>1847</v>
      </c>
      <c r="I24" s="214">
        <v>11742214</v>
      </c>
      <c r="J24" s="470" t="s">
        <v>154</v>
      </c>
      <c r="K24" s="242">
        <v>6</v>
      </c>
      <c r="L24" s="13">
        <f>29387-26025</f>
        <v>3362</v>
      </c>
      <c r="M24" s="182"/>
      <c r="N24" s="182"/>
      <c r="O24" s="101">
        <f t="shared" si="0"/>
        <v>3362</v>
      </c>
    </row>
    <row r="25" spans="1:15" ht="29.25">
      <c r="A25" s="302" t="s">
        <v>11</v>
      </c>
      <c r="B25" s="178" t="s">
        <v>12</v>
      </c>
      <c r="C25" s="175" t="s">
        <v>1846</v>
      </c>
      <c r="D25" s="174"/>
      <c r="E25" s="175" t="s">
        <v>686</v>
      </c>
      <c r="F25" s="178" t="s">
        <v>1831</v>
      </c>
      <c r="G25" s="178" t="s">
        <v>1832</v>
      </c>
      <c r="H25" s="380" t="s">
        <v>1848</v>
      </c>
      <c r="I25" s="214">
        <v>7903741</v>
      </c>
      <c r="J25" s="470" t="s">
        <v>154</v>
      </c>
      <c r="K25" s="242">
        <v>6</v>
      </c>
      <c r="L25" s="13">
        <f>25491-22748</f>
        <v>2743</v>
      </c>
      <c r="M25" s="182"/>
      <c r="N25" s="182"/>
      <c r="O25" s="101">
        <f t="shared" si="0"/>
        <v>2743</v>
      </c>
    </row>
    <row r="26" spans="1:15" ht="29.25">
      <c r="A26" s="302" t="s">
        <v>11</v>
      </c>
      <c r="B26" s="178" t="s">
        <v>12</v>
      </c>
      <c r="C26" s="175" t="s">
        <v>1849</v>
      </c>
      <c r="D26" s="174"/>
      <c r="E26" s="175">
        <v>2</v>
      </c>
      <c r="F26" s="178" t="s">
        <v>1831</v>
      </c>
      <c r="G26" s="178" t="s">
        <v>1832</v>
      </c>
      <c r="H26" s="380" t="s">
        <v>1850</v>
      </c>
      <c r="I26" s="214">
        <v>104020</v>
      </c>
      <c r="J26" s="470" t="s">
        <v>154</v>
      </c>
      <c r="K26" s="242">
        <v>3</v>
      </c>
      <c r="L26" s="13">
        <f>24871-19877</f>
        <v>4994</v>
      </c>
      <c r="M26" s="182"/>
      <c r="N26" s="182"/>
      <c r="O26" s="101">
        <f t="shared" si="0"/>
        <v>4994</v>
      </c>
    </row>
    <row r="27" spans="1:15" ht="29.25">
      <c r="A27" s="302" t="s">
        <v>11</v>
      </c>
      <c r="B27" s="178" t="s">
        <v>12</v>
      </c>
      <c r="C27" s="175" t="s">
        <v>1849</v>
      </c>
      <c r="D27" s="174"/>
      <c r="E27" s="175">
        <v>1</v>
      </c>
      <c r="F27" s="178" t="s">
        <v>1831</v>
      </c>
      <c r="G27" s="178" t="s">
        <v>1832</v>
      </c>
      <c r="H27" s="380" t="s">
        <v>1851</v>
      </c>
      <c r="I27" s="214">
        <v>1567798</v>
      </c>
      <c r="J27" s="470" t="s">
        <v>154</v>
      </c>
      <c r="K27" s="242">
        <v>2</v>
      </c>
      <c r="L27" s="13">
        <f>17006-11875</f>
        <v>5131</v>
      </c>
      <c r="M27" s="182"/>
      <c r="N27" s="182"/>
      <c r="O27" s="101">
        <f t="shared" si="0"/>
        <v>5131</v>
      </c>
    </row>
    <row r="28" spans="1:15" ht="29.25">
      <c r="A28" s="302" t="s">
        <v>11</v>
      </c>
      <c r="B28" s="178" t="s">
        <v>12</v>
      </c>
      <c r="C28" s="175" t="s">
        <v>1852</v>
      </c>
      <c r="D28" s="174"/>
      <c r="E28" s="175" t="s">
        <v>146</v>
      </c>
      <c r="F28" s="178" t="s">
        <v>1831</v>
      </c>
      <c r="G28" s="178" t="s">
        <v>1832</v>
      </c>
      <c r="H28" s="380" t="s">
        <v>1853</v>
      </c>
      <c r="I28" s="214">
        <v>1567789</v>
      </c>
      <c r="J28" s="470" t="s">
        <v>154</v>
      </c>
      <c r="K28" s="242">
        <v>2</v>
      </c>
      <c r="L28" s="13">
        <f>10615-6863</f>
        <v>3752</v>
      </c>
      <c r="M28" s="182"/>
      <c r="N28" s="182"/>
      <c r="O28" s="101">
        <f t="shared" si="0"/>
        <v>3752</v>
      </c>
    </row>
    <row r="29" spans="1:15" ht="29.25">
      <c r="A29" s="302" t="s">
        <v>11</v>
      </c>
      <c r="B29" s="178" t="s">
        <v>12</v>
      </c>
      <c r="C29" s="175" t="s">
        <v>1849</v>
      </c>
      <c r="D29" s="174"/>
      <c r="E29" s="175"/>
      <c r="F29" s="178" t="s">
        <v>1831</v>
      </c>
      <c r="G29" s="178" t="s">
        <v>1832</v>
      </c>
      <c r="H29" s="380" t="s">
        <v>1854</v>
      </c>
      <c r="I29" s="214">
        <v>1567791</v>
      </c>
      <c r="J29" s="470" t="s">
        <v>154</v>
      </c>
      <c r="K29" s="242">
        <v>2</v>
      </c>
      <c r="L29" s="13">
        <f>10665-6817</f>
        <v>3848</v>
      </c>
      <c r="M29" s="182"/>
      <c r="N29" s="182"/>
      <c r="O29" s="101">
        <f t="shared" si="0"/>
        <v>3848</v>
      </c>
    </row>
    <row r="30" spans="1:15" ht="29.25">
      <c r="A30" s="302" t="s">
        <v>11</v>
      </c>
      <c r="B30" s="178" t="s">
        <v>12</v>
      </c>
      <c r="C30" s="175" t="s">
        <v>1855</v>
      </c>
      <c r="D30" s="174"/>
      <c r="E30" s="175" t="s">
        <v>686</v>
      </c>
      <c r="F30" s="178" t="s">
        <v>1831</v>
      </c>
      <c r="G30" s="178" t="s">
        <v>1832</v>
      </c>
      <c r="H30" s="380" t="s">
        <v>1856</v>
      </c>
      <c r="I30" s="214">
        <v>70881187</v>
      </c>
      <c r="J30" s="470" t="s">
        <v>154</v>
      </c>
      <c r="K30" s="242">
        <v>6</v>
      </c>
      <c r="L30" s="13">
        <f>26936-22218</f>
        <v>4718</v>
      </c>
      <c r="M30" s="182"/>
      <c r="N30" s="182"/>
      <c r="O30" s="101">
        <f t="shared" si="0"/>
        <v>4718</v>
      </c>
    </row>
    <row r="31" spans="1:15" ht="29.25">
      <c r="A31" s="302" t="s">
        <v>11</v>
      </c>
      <c r="B31" s="178" t="s">
        <v>12</v>
      </c>
      <c r="C31" s="175" t="s">
        <v>1857</v>
      </c>
      <c r="D31" s="174"/>
      <c r="E31" s="175" t="s">
        <v>686</v>
      </c>
      <c r="F31" s="178" t="s">
        <v>1831</v>
      </c>
      <c r="G31" s="178" t="s">
        <v>1832</v>
      </c>
      <c r="H31" s="380" t="s">
        <v>1858</v>
      </c>
      <c r="I31" s="214">
        <v>1539359</v>
      </c>
      <c r="J31" s="470" t="s">
        <v>154</v>
      </c>
      <c r="K31" s="242">
        <v>2</v>
      </c>
      <c r="L31" s="13">
        <f>9436-6339</f>
        <v>3097</v>
      </c>
      <c r="M31" s="182"/>
      <c r="N31" s="182"/>
      <c r="O31" s="101">
        <f t="shared" si="0"/>
        <v>3097</v>
      </c>
    </row>
    <row r="32" spans="1:15" ht="29.25">
      <c r="A32" s="302" t="s">
        <v>11</v>
      </c>
      <c r="B32" s="178" t="s">
        <v>12</v>
      </c>
      <c r="C32" s="175" t="s">
        <v>1855</v>
      </c>
      <c r="D32" s="174"/>
      <c r="E32" s="175" t="s">
        <v>686</v>
      </c>
      <c r="F32" s="178" t="s">
        <v>1831</v>
      </c>
      <c r="G32" s="178" t="s">
        <v>1832</v>
      </c>
      <c r="H32" s="380" t="s">
        <v>1859</v>
      </c>
      <c r="I32" s="214">
        <v>9364728</v>
      </c>
      <c r="J32" s="470" t="s">
        <v>154</v>
      </c>
      <c r="K32" s="242">
        <v>6</v>
      </c>
      <c r="L32" s="13">
        <f>21745-19660</f>
        <v>2085</v>
      </c>
      <c r="M32" s="182"/>
      <c r="N32" s="182"/>
      <c r="O32" s="101">
        <f t="shared" si="0"/>
        <v>2085</v>
      </c>
    </row>
    <row r="33" spans="1:15" ht="29.25">
      <c r="A33" s="302" t="s">
        <v>11</v>
      </c>
      <c r="B33" s="178" t="s">
        <v>12</v>
      </c>
      <c r="C33" s="175" t="s">
        <v>1860</v>
      </c>
      <c r="D33" s="174"/>
      <c r="E33" s="175"/>
      <c r="F33" s="178" t="s">
        <v>1831</v>
      </c>
      <c r="G33" s="178" t="s">
        <v>1832</v>
      </c>
      <c r="H33" s="380" t="s">
        <v>1861</v>
      </c>
      <c r="I33" s="214">
        <v>78240940</v>
      </c>
      <c r="J33" s="470" t="s">
        <v>154</v>
      </c>
      <c r="K33" s="242">
        <v>2.5</v>
      </c>
      <c r="L33" s="13">
        <f>112927-110107</f>
        <v>2820</v>
      </c>
      <c r="M33" s="182"/>
      <c r="N33" s="182"/>
      <c r="O33" s="101">
        <f t="shared" si="0"/>
        <v>2820</v>
      </c>
    </row>
    <row r="34" spans="1:15" ht="29.25">
      <c r="A34" s="302" t="s">
        <v>11</v>
      </c>
      <c r="B34" s="178" t="s">
        <v>12</v>
      </c>
      <c r="C34" s="175" t="s">
        <v>1862</v>
      </c>
      <c r="D34" s="174"/>
      <c r="E34" s="175"/>
      <c r="F34" s="178" t="s">
        <v>1831</v>
      </c>
      <c r="G34" s="178" t="s">
        <v>1832</v>
      </c>
      <c r="H34" s="380" t="s">
        <v>1863</v>
      </c>
      <c r="I34" s="215">
        <v>21087738</v>
      </c>
      <c r="J34" s="470" t="s">
        <v>154</v>
      </c>
      <c r="K34" s="242">
        <v>2</v>
      </c>
      <c r="L34" s="13">
        <f>33907-29832</f>
        <v>4075</v>
      </c>
      <c r="M34" s="182"/>
      <c r="N34" s="182"/>
      <c r="O34" s="101">
        <f t="shared" si="0"/>
        <v>4075</v>
      </c>
    </row>
    <row r="35" spans="1:15" ht="29.25">
      <c r="A35" s="302" t="s">
        <v>11</v>
      </c>
      <c r="B35" s="178" t="s">
        <v>12</v>
      </c>
      <c r="C35" s="175" t="s">
        <v>1832</v>
      </c>
      <c r="D35" s="174" t="s">
        <v>238</v>
      </c>
      <c r="E35" s="175"/>
      <c r="F35" s="178" t="s">
        <v>1831</v>
      </c>
      <c r="G35" s="178" t="s">
        <v>1832</v>
      </c>
      <c r="H35" s="380" t="s">
        <v>1864</v>
      </c>
      <c r="I35" s="214">
        <v>1710609</v>
      </c>
      <c r="J35" s="470" t="s">
        <v>154</v>
      </c>
      <c r="K35" s="242">
        <v>5</v>
      </c>
      <c r="L35" s="13">
        <f>186235-171958</f>
        <v>14277</v>
      </c>
      <c r="M35" s="182"/>
      <c r="N35" s="182"/>
      <c r="O35" s="101">
        <f t="shared" si="0"/>
        <v>14277</v>
      </c>
    </row>
    <row r="36" spans="1:15" ht="29.25">
      <c r="A36" s="302" t="s">
        <v>11</v>
      </c>
      <c r="B36" s="178" t="s">
        <v>12</v>
      </c>
      <c r="C36" s="175" t="s">
        <v>1865</v>
      </c>
      <c r="D36" s="174"/>
      <c r="E36" s="175"/>
      <c r="F36" s="178" t="s">
        <v>1831</v>
      </c>
      <c r="G36" s="178" t="s">
        <v>1832</v>
      </c>
      <c r="H36" s="380" t="s">
        <v>1866</v>
      </c>
      <c r="I36" s="214">
        <v>1487678</v>
      </c>
      <c r="J36" s="470" t="s">
        <v>154</v>
      </c>
      <c r="K36" s="242">
        <v>1.6</v>
      </c>
      <c r="L36" s="13">
        <f>17832-12867</f>
        <v>4965</v>
      </c>
      <c r="M36" s="182"/>
      <c r="N36" s="182"/>
      <c r="O36" s="101">
        <f t="shared" si="0"/>
        <v>4965</v>
      </c>
    </row>
    <row r="37" spans="1:15" ht="29.25">
      <c r="A37" s="302" t="s">
        <v>11</v>
      </c>
      <c r="B37" s="178" t="s">
        <v>12</v>
      </c>
      <c r="C37" s="175" t="s">
        <v>1867</v>
      </c>
      <c r="D37" s="174"/>
      <c r="E37" s="175"/>
      <c r="F37" s="178" t="s">
        <v>1831</v>
      </c>
      <c r="G37" s="178" t="s">
        <v>1832</v>
      </c>
      <c r="H37" s="380" t="s">
        <v>1868</v>
      </c>
      <c r="I37" s="214">
        <v>1389447</v>
      </c>
      <c r="J37" s="470" t="s">
        <v>154</v>
      </c>
      <c r="K37" s="242">
        <v>3</v>
      </c>
      <c r="L37" s="13">
        <f>16572-11199</f>
        <v>5373</v>
      </c>
      <c r="M37" s="182"/>
      <c r="N37" s="182"/>
      <c r="O37" s="101">
        <f t="shared" si="0"/>
        <v>5373</v>
      </c>
    </row>
    <row r="38" spans="1:15" ht="29.25">
      <c r="A38" s="302" t="s">
        <v>11</v>
      </c>
      <c r="B38" s="178" t="s">
        <v>12</v>
      </c>
      <c r="C38" s="175" t="s">
        <v>1867</v>
      </c>
      <c r="D38" s="174"/>
      <c r="E38" s="175"/>
      <c r="F38" s="178" t="s">
        <v>1831</v>
      </c>
      <c r="G38" s="178" t="s">
        <v>1832</v>
      </c>
      <c r="H38" s="380" t="s">
        <v>1869</v>
      </c>
      <c r="I38" s="214">
        <v>11684782</v>
      </c>
      <c r="J38" s="470" t="s">
        <v>154</v>
      </c>
      <c r="K38" s="242">
        <v>6</v>
      </c>
      <c r="L38" s="13">
        <f>76839-69963</f>
        <v>6876</v>
      </c>
      <c r="M38" s="182"/>
      <c r="N38" s="182"/>
      <c r="O38" s="101">
        <f t="shared" si="0"/>
        <v>6876</v>
      </c>
    </row>
    <row r="39" spans="1:15" ht="29.25">
      <c r="A39" s="302" t="s">
        <v>11</v>
      </c>
      <c r="B39" s="178" t="s">
        <v>12</v>
      </c>
      <c r="C39" s="175" t="s">
        <v>1867</v>
      </c>
      <c r="D39" s="174"/>
      <c r="E39" s="175"/>
      <c r="F39" s="178" t="s">
        <v>1831</v>
      </c>
      <c r="G39" s="178" t="s">
        <v>1832</v>
      </c>
      <c r="H39" s="380" t="s">
        <v>1870</v>
      </c>
      <c r="I39" s="214">
        <v>11161595</v>
      </c>
      <c r="J39" s="470" t="s">
        <v>154</v>
      </c>
      <c r="K39" s="242">
        <v>6</v>
      </c>
      <c r="L39" s="13">
        <f>75920-68154</f>
        <v>7766</v>
      </c>
      <c r="M39" s="182"/>
      <c r="N39" s="182"/>
      <c r="O39" s="101">
        <f t="shared" si="0"/>
        <v>7766</v>
      </c>
    </row>
    <row r="40" spans="1:15" ht="29.25">
      <c r="A40" s="302" t="s">
        <v>11</v>
      </c>
      <c r="B40" s="178" t="s">
        <v>12</v>
      </c>
      <c r="C40" s="175" t="s">
        <v>1871</v>
      </c>
      <c r="D40" s="174"/>
      <c r="E40" s="175"/>
      <c r="F40" s="178" t="s">
        <v>1831</v>
      </c>
      <c r="G40" s="178" t="s">
        <v>1832</v>
      </c>
      <c r="H40" s="380" t="s">
        <v>1872</v>
      </c>
      <c r="I40" s="214">
        <v>26026754</v>
      </c>
      <c r="J40" s="470" t="s">
        <v>154</v>
      </c>
      <c r="K40" s="242">
        <v>2</v>
      </c>
      <c r="L40" s="13">
        <f>9055-6211</f>
        <v>2844</v>
      </c>
      <c r="M40" s="182"/>
      <c r="N40" s="182"/>
      <c r="O40" s="101">
        <f t="shared" si="0"/>
        <v>2844</v>
      </c>
    </row>
    <row r="41" spans="1:15" ht="29.25">
      <c r="A41" s="302" t="s">
        <v>11</v>
      </c>
      <c r="B41" s="178" t="s">
        <v>12</v>
      </c>
      <c r="C41" s="175" t="s">
        <v>1873</v>
      </c>
      <c r="D41" s="174"/>
      <c r="E41" s="175"/>
      <c r="F41" s="178" t="s">
        <v>1831</v>
      </c>
      <c r="G41" s="178" t="s">
        <v>1832</v>
      </c>
      <c r="H41" s="380" t="s">
        <v>1874</v>
      </c>
      <c r="I41" s="214">
        <v>1481170</v>
      </c>
      <c r="J41" s="470" t="s">
        <v>154</v>
      </c>
      <c r="K41" s="242">
        <v>2</v>
      </c>
      <c r="L41" s="13">
        <f>17985-12376</f>
        <v>5609</v>
      </c>
      <c r="M41" s="182"/>
      <c r="N41" s="182"/>
      <c r="O41" s="101">
        <f t="shared" si="0"/>
        <v>5609</v>
      </c>
    </row>
    <row r="42" spans="1:15" ht="29.25">
      <c r="A42" s="302" t="s">
        <v>11</v>
      </c>
      <c r="B42" s="178" t="s">
        <v>12</v>
      </c>
      <c r="C42" s="175" t="s">
        <v>1875</v>
      </c>
      <c r="D42" s="174"/>
      <c r="E42" s="175" t="s">
        <v>146</v>
      </c>
      <c r="F42" s="178" t="s">
        <v>1831</v>
      </c>
      <c r="G42" s="178" t="s">
        <v>1832</v>
      </c>
      <c r="H42" s="380" t="s">
        <v>1876</v>
      </c>
      <c r="I42" s="214">
        <v>1481175</v>
      </c>
      <c r="J42" s="470" t="s">
        <v>154</v>
      </c>
      <c r="K42" s="242">
        <v>2</v>
      </c>
      <c r="L42" s="13">
        <f>19452-13044</f>
        <v>6408</v>
      </c>
      <c r="M42" s="182"/>
      <c r="N42" s="182"/>
      <c r="O42" s="101">
        <f t="shared" si="0"/>
        <v>6408</v>
      </c>
    </row>
    <row r="43" spans="1:15" ht="29.25">
      <c r="A43" s="302" t="s">
        <v>11</v>
      </c>
      <c r="B43" s="178" t="s">
        <v>12</v>
      </c>
      <c r="C43" s="175" t="s">
        <v>1877</v>
      </c>
      <c r="D43" s="174"/>
      <c r="E43" s="175" t="s">
        <v>146</v>
      </c>
      <c r="F43" s="178" t="s">
        <v>1831</v>
      </c>
      <c r="G43" s="178" t="s">
        <v>1832</v>
      </c>
      <c r="H43" s="380" t="s">
        <v>1878</v>
      </c>
      <c r="I43" s="214">
        <v>1539344</v>
      </c>
      <c r="J43" s="470" t="s">
        <v>154</v>
      </c>
      <c r="K43" s="242">
        <v>2</v>
      </c>
      <c r="L43" s="13">
        <f>12682-8210</f>
        <v>4472</v>
      </c>
      <c r="M43" s="182"/>
      <c r="N43" s="182"/>
      <c r="O43" s="101">
        <f t="shared" si="0"/>
        <v>4472</v>
      </c>
    </row>
    <row r="44" spans="1:15" ht="29.25">
      <c r="A44" s="302" t="s">
        <v>11</v>
      </c>
      <c r="B44" s="178" t="s">
        <v>12</v>
      </c>
      <c r="C44" s="175" t="s">
        <v>1877</v>
      </c>
      <c r="D44" s="174"/>
      <c r="E44" s="175" t="s">
        <v>686</v>
      </c>
      <c r="F44" s="178" t="s">
        <v>1831</v>
      </c>
      <c r="G44" s="178" t="s">
        <v>1832</v>
      </c>
      <c r="H44" s="380" t="s">
        <v>1879</v>
      </c>
      <c r="I44" s="214">
        <v>1567786</v>
      </c>
      <c r="J44" s="470" t="s">
        <v>154</v>
      </c>
      <c r="K44" s="242">
        <v>2</v>
      </c>
      <c r="L44" s="13">
        <f>12641-8795</f>
        <v>3846</v>
      </c>
      <c r="M44" s="182"/>
      <c r="N44" s="182"/>
      <c r="O44" s="101">
        <f t="shared" si="0"/>
        <v>3846</v>
      </c>
    </row>
    <row r="45" spans="1:15" ht="29.25">
      <c r="A45" s="302" t="s">
        <v>11</v>
      </c>
      <c r="B45" s="178" t="s">
        <v>12</v>
      </c>
      <c r="C45" s="175" t="s">
        <v>1832</v>
      </c>
      <c r="D45" s="471" t="s">
        <v>1880</v>
      </c>
      <c r="E45" s="175"/>
      <c r="F45" s="178" t="s">
        <v>1831</v>
      </c>
      <c r="G45" s="178" t="s">
        <v>1832</v>
      </c>
      <c r="H45" s="380" t="s">
        <v>1881</v>
      </c>
      <c r="I45" s="214">
        <v>49083</v>
      </c>
      <c r="J45" s="470" t="s">
        <v>154</v>
      </c>
      <c r="K45" s="242">
        <v>2</v>
      </c>
      <c r="L45" s="13">
        <f>19022-14127</f>
        <v>4895</v>
      </c>
      <c r="M45" s="182"/>
      <c r="N45" s="182"/>
      <c r="O45" s="101">
        <f t="shared" si="0"/>
        <v>4895</v>
      </c>
    </row>
    <row r="46" spans="1:15" ht="29.25">
      <c r="A46" s="302" t="s">
        <v>11</v>
      </c>
      <c r="B46" s="178" t="s">
        <v>12</v>
      </c>
      <c r="C46" s="175" t="s">
        <v>1832</v>
      </c>
      <c r="D46" s="174" t="s">
        <v>199</v>
      </c>
      <c r="E46" s="175"/>
      <c r="F46" s="178" t="s">
        <v>1831</v>
      </c>
      <c r="G46" s="178" t="s">
        <v>1832</v>
      </c>
      <c r="H46" s="380" t="s">
        <v>1882</v>
      </c>
      <c r="I46" s="214">
        <v>4956114</v>
      </c>
      <c r="J46" s="470" t="s">
        <v>154</v>
      </c>
      <c r="K46" s="242">
        <v>1</v>
      </c>
      <c r="L46" s="13">
        <f>18444-16529</f>
        <v>1915</v>
      </c>
      <c r="M46" s="182"/>
      <c r="N46" s="182"/>
      <c r="O46" s="101">
        <f t="shared" si="0"/>
        <v>1915</v>
      </c>
    </row>
    <row r="47" spans="1:15" ht="29.25">
      <c r="A47" s="302" t="s">
        <v>11</v>
      </c>
      <c r="B47" s="178" t="s">
        <v>12</v>
      </c>
      <c r="C47" s="175" t="s">
        <v>1883</v>
      </c>
      <c r="D47" s="174"/>
      <c r="E47" s="175"/>
      <c r="F47" s="178" t="s">
        <v>1831</v>
      </c>
      <c r="G47" s="178" t="s">
        <v>1832</v>
      </c>
      <c r="H47" s="380" t="s">
        <v>1884</v>
      </c>
      <c r="I47" s="214">
        <v>25059218</v>
      </c>
      <c r="J47" s="470" t="s">
        <v>154</v>
      </c>
      <c r="K47" s="242">
        <v>3</v>
      </c>
      <c r="L47" s="13">
        <f>31880-25736</f>
        <v>6144</v>
      </c>
      <c r="M47" s="182"/>
      <c r="N47" s="182"/>
      <c r="O47" s="101">
        <f t="shared" si="0"/>
        <v>6144</v>
      </c>
    </row>
    <row r="48" spans="1:15" ht="29.25">
      <c r="A48" s="302" t="s">
        <v>11</v>
      </c>
      <c r="B48" s="178" t="s">
        <v>12</v>
      </c>
      <c r="C48" s="175" t="s">
        <v>1885</v>
      </c>
      <c r="D48" s="174"/>
      <c r="E48" s="175"/>
      <c r="F48" s="178" t="s">
        <v>1831</v>
      </c>
      <c r="G48" s="178" t="s">
        <v>1832</v>
      </c>
      <c r="H48" s="380" t="s">
        <v>1886</v>
      </c>
      <c r="I48" s="214">
        <v>83669455</v>
      </c>
      <c r="J48" s="470" t="s">
        <v>154</v>
      </c>
      <c r="K48" s="242">
        <v>2</v>
      </c>
      <c r="L48" s="13">
        <f>6366-1111</f>
        <v>5255</v>
      </c>
      <c r="M48" s="182"/>
      <c r="N48" s="182"/>
      <c r="O48" s="101">
        <f t="shared" si="0"/>
        <v>5255</v>
      </c>
    </row>
    <row r="49" spans="1:15" ht="29.25">
      <c r="A49" s="302" t="s">
        <v>11</v>
      </c>
      <c r="B49" s="178" t="s">
        <v>12</v>
      </c>
      <c r="C49" s="175" t="s">
        <v>1832</v>
      </c>
      <c r="D49" s="174"/>
      <c r="E49" s="175" t="s">
        <v>1887</v>
      </c>
      <c r="F49" s="178" t="s">
        <v>1831</v>
      </c>
      <c r="G49" s="178" t="s">
        <v>1832</v>
      </c>
      <c r="H49" s="380" t="s">
        <v>1888</v>
      </c>
      <c r="I49" s="214">
        <v>25370434</v>
      </c>
      <c r="J49" s="470" t="s">
        <v>154</v>
      </c>
      <c r="K49" s="242">
        <v>2</v>
      </c>
      <c r="L49" s="13">
        <f>35501-32166</f>
        <v>3335</v>
      </c>
      <c r="M49" s="182"/>
      <c r="N49" s="182"/>
      <c r="O49" s="101">
        <f t="shared" si="0"/>
        <v>3335</v>
      </c>
    </row>
    <row r="50" spans="1:15" ht="29.25">
      <c r="A50" s="302" t="s">
        <v>11</v>
      </c>
      <c r="B50" s="178" t="s">
        <v>12</v>
      </c>
      <c r="C50" s="175" t="s">
        <v>1832</v>
      </c>
      <c r="D50" s="174"/>
      <c r="E50" s="175" t="s">
        <v>353</v>
      </c>
      <c r="F50" s="178" t="s">
        <v>1831</v>
      </c>
      <c r="G50" s="178" t="s">
        <v>1832</v>
      </c>
      <c r="H50" s="380" t="s">
        <v>1889</v>
      </c>
      <c r="I50" s="214">
        <v>2917950</v>
      </c>
      <c r="J50" s="470" t="s">
        <v>154</v>
      </c>
      <c r="K50" s="242">
        <v>1.5</v>
      </c>
      <c r="L50" s="13">
        <f>151518-138184</f>
        <v>13334</v>
      </c>
      <c r="M50" s="182"/>
      <c r="N50" s="182"/>
      <c r="O50" s="101">
        <f t="shared" si="0"/>
        <v>13334</v>
      </c>
    </row>
    <row r="51" spans="1:15" ht="43.5">
      <c r="A51" s="302" t="s">
        <v>11</v>
      </c>
      <c r="B51" s="178" t="s">
        <v>1890</v>
      </c>
      <c r="C51" s="175"/>
      <c r="D51" s="174"/>
      <c r="E51" s="175"/>
      <c r="F51" s="178" t="s">
        <v>1831</v>
      </c>
      <c r="G51" s="178" t="s">
        <v>1832</v>
      </c>
      <c r="H51" s="380" t="s">
        <v>1891</v>
      </c>
      <c r="I51" s="214">
        <v>242873</v>
      </c>
      <c r="J51" s="470" t="s">
        <v>154</v>
      </c>
      <c r="K51" s="242">
        <v>0.5</v>
      </c>
      <c r="L51" s="13">
        <f>4945-3154</f>
        <v>1791</v>
      </c>
      <c r="M51" s="182"/>
      <c r="N51" s="182"/>
      <c r="O51" s="101">
        <f t="shared" si="0"/>
        <v>1791</v>
      </c>
    </row>
    <row r="52" spans="1:15" ht="29.25">
      <c r="A52" s="302" t="s">
        <v>11</v>
      </c>
      <c r="B52" s="178" t="s">
        <v>12</v>
      </c>
      <c r="C52" s="175" t="s">
        <v>1832</v>
      </c>
      <c r="D52" s="174" t="s">
        <v>217</v>
      </c>
      <c r="E52" s="175"/>
      <c r="F52" s="178" t="s">
        <v>1831</v>
      </c>
      <c r="G52" s="178" t="s">
        <v>1832</v>
      </c>
      <c r="H52" s="380" t="s">
        <v>1892</v>
      </c>
      <c r="I52" s="214">
        <v>24913</v>
      </c>
      <c r="J52" s="470" t="s">
        <v>154</v>
      </c>
      <c r="K52" s="242">
        <v>0.5</v>
      </c>
      <c r="L52" s="13">
        <f>22022-17963</f>
        <v>4059</v>
      </c>
      <c r="M52" s="182"/>
      <c r="N52" s="182"/>
      <c r="O52" s="101">
        <f t="shared" si="0"/>
        <v>4059</v>
      </c>
    </row>
    <row r="53" spans="1:15" ht="29.25">
      <c r="A53" s="302" t="s">
        <v>11</v>
      </c>
      <c r="B53" s="178" t="s">
        <v>12</v>
      </c>
      <c r="C53" s="175" t="s">
        <v>1832</v>
      </c>
      <c r="D53" s="175" t="s">
        <v>1067</v>
      </c>
      <c r="E53" s="175" t="s">
        <v>686</v>
      </c>
      <c r="F53" s="178" t="s">
        <v>1831</v>
      </c>
      <c r="G53" s="178" t="s">
        <v>1832</v>
      </c>
      <c r="H53" s="380" t="s">
        <v>1893</v>
      </c>
      <c r="I53" s="214">
        <v>8513812</v>
      </c>
      <c r="J53" s="470" t="s">
        <v>154</v>
      </c>
      <c r="K53" s="242">
        <v>6</v>
      </c>
      <c r="L53" s="13">
        <f>139336-122987</f>
        <v>16349</v>
      </c>
      <c r="M53" s="182"/>
      <c r="N53" s="182"/>
      <c r="O53" s="101">
        <f t="shared" si="0"/>
        <v>16349</v>
      </c>
    </row>
    <row r="54" spans="1:15" ht="29.25">
      <c r="A54" s="302" t="s">
        <v>11</v>
      </c>
      <c r="B54" s="178" t="s">
        <v>12</v>
      </c>
      <c r="C54" s="175" t="s">
        <v>1832</v>
      </c>
      <c r="D54" s="175"/>
      <c r="E54" s="175" t="s">
        <v>878</v>
      </c>
      <c r="F54" s="178" t="s">
        <v>1831</v>
      </c>
      <c r="G54" s="178" t="s">
        <v>1832</v>
      </c>
      <c r="H54" s="380" t="s">
        <v>1894</v>
      </c>
      <c r="I54" s="214">
        <v>19949022</v>
      </c>
      <c r="J54" s="470" t="s">
        <v>154</v>
      </c>
      <c r="K54" s="242">
        <v>2</v>
      </c>
      <c r="L54" s="13">
        <f>93199-82044</f>
        <v>11155</v>
      </c>
      <c r="M54" s="182"/>
      <c r="N54" s="182"/>
      <c r="O54" s="101">
        <f t="shared" si="0"/>
        <v>11155</v>
      </c>
    </row>
    <row r="55" spans="1:15" ht="29.25">
      <c r="A55" s="302" t="s">
        <v>11</v>
      </c>
      <c r="B55" s="178" t="s">
        <v>12</v>
      </c>
      <c r="C55" s="175" t="s">
        <v>1832</v>
      </c>
      <c r="D55" s="175"/>
      <c r="E55" s="175" t="s">
        <v>319</v>
      </c>
      <c r="F55" s="178" t="s">
        <v>1831</v>
      </c>
      <c r="G55" s="178" t="s">
        <v>1832</v>
      </c>
      <c r="H55" s="380" t="s">
        <v>1895</v>
      </c>
      <c r="I55" s="214">
        <v>12712607</v>
      </c>
      <c r="J55" s="470" t="s">
        <v>154</v>
      </c>
      <c r="K55" s="242">
        <v>6</v>
      </c>
      <c r="L55" s="13">
        <f>152125-140559</f>
        <v>11566</v>
      </c>
      <c r="M55" s="182"/>
      <c r="N55" s="182"/>
      <c r="O55" s="101">
        <f t="shared" si="0"/>
        <v>11566</v>
      </c>
    </row>
    <row r="56" spans="1:15" ht="29.25">
      <c r="A56" s="302" t="s">
        <v>11</v>
      </c>
      <c r="B56" s="178" t="s">
        <v>12</v>
      </c>
      <c r="C56" s="175" t="s">
        <v>1832</v>
      </c>
      <c r="D56" s="175" t="s">
        <v>1896</v>
      </c>
      <c r="E56" s="175"/>
      <c r="F56" s="178" t="s">
        <v>1831</v>
      </c>
      <c r="G56" s="178" t="s">
        <v>1832</v>
      </c>
      <c r="H56" s="380" t="s">
        <v>1897</v>
      </c>
      <c r="I56" s="214">
        <v>19574156</v>
      </c>
      <c r="J56" s="470" t="s">
        <v>154</v>
      </c>
      <c r="K56" s="242">
        <v>1</v>
      </c>
      <c r="L56" s="13">
        <f>6179-5292</f>
        <v>887</v>
      </c>
      <c r="M56" s="182"/>
      <c r="N56" s="182"/>
      <c r="O56" s="101">
        <f t="shared" si="0"/>
        <v>887</v>
      </c>
    </row>
    <row r="57" spans="1:15" ht="29.25">
      <c r="A57" s="302" t="s">
        <v>11</v>
      </c>
      <c r="B57" s="178" t="s">
        <v>12</v>
      </c>
      <c r="C57" s="175" t="s">
        <v>1832</v>
      </c>
      <c r="D57" s="175"/>
      <c r="E57" s="175"/>
      <c r="F57" s="178" t="s">
        <v>1831</v>
      </c>
      <c r="G57" s="178" t="s">
        <v>1832</v>
      </c>
      <c r="H57" s="380" t="s">
        <v>1898</v>
      </c>
      <c r="I57" s="214">
        <v>8010935</v>
      </c>
      <c r="J57" s="470" t="s">
        <v>154</v>
      </c>
      <c r="K57" s="242">
        <v>4</v>
      </c>
      <c r="L57" s="13">
        <f>147760-129835</f>
        <v>17925</v>
      </c>
      <c r="M57" s="182"/>
      <c r="N57" s="182"/>
      <c r="O57" s="101">
        <f t="shared" si="0"/>
        <v>17925</v>
      </c>
    </row>
    <row r="58" spans="1:15" ht="29.25">
      <c r="A58" s="302" t="s">
        <v>11</v>
      </c>
      <c r="B58" s="178" t="s">
        <v>12</v>
      </c>
      <c r="C58" s="175" t="s">
        <v>1832</v>
      </c>
      <c r="D58" s="175"/>
      <c r="E58" s="175" t="s">
        <v>354</v>
      </c>
      <c r="F58" s="178" t="s">
        <v>1831</v>
      </c>
      <c r="G58" s="178" t="s">
        <v>1832</v>
      </c>
      <c r="H58" s="380" t="s">
        <v>1899</v>
      </c>
      <c r="I58" s="214">
        <v>83426876</v>
      </c>
      <c r="J58" s="470" t="s">
        <v>154</v>
      </c>
      <c r="K58" s="242">
        <v>3</v>
      </c>
      <c r="L58" s="13">
        <f>30929-15086</f>
        <v>15843</v>
      </c>
      <c r="M58" s="182"/>
      <c r="N58" s="182"/>
      <c r="O58" s="101">
        <f t="shared" si="0"/>
        <v>15843</v>
      </c>
    </row>
    <row r="59" spans="1:15" ht="29.25">
      <c r="A59" s="302" t="s">
        <v>11</v>
      </c>
      <c r="B59" s="178" t="s">
        <v>12</v>
      </c>
      <c r="C59" s="175" t="s">
        <v>1900</v>
      </c>
      <c r="D59" s="175"/>
      <c r="E59" s="175" t="s">
        <v>878</v>
      </c>
      <c r="F59" s="178" t="s">
        <v>1831</v>
      </c>
      <c r="G59" s="178" t="s">
        <v>1832</v>
      </c>
      <c r="H59" s="380" t="s">
        <v>1901</v>
      </c>
      <c r="I59" s="214">
        <v>1481169</v>
      </c>
      <c r="J59" s="470" t="s">
        <v>154</v>
      </c>
      <c r="K59" s="242">
        <v>2</v>
      </c>
      <c r="L59" s="13">
        <f>9145-5434</f>
        <v>3711</v>
      </c>
      <c r="M59" s="182"/>
      <c r="N59" s="182"/>
      <c r="O59" s="101">
        <f t="shared" si="0"/>
        <v>3711</v>
      </c>
    </row>
    <row r="60" spans="1:15" ht="29.25">
      <c r="A60" s="302" t="s">
        <v>11</v>
      </c>
      <c r="B60" s="178" t="s">
        <v>12</v>
      </c>
      <c r="C60" s="175" t="s">
        <v>1900</v>
      </c>
      <c r="D60" s="175"/>
      <c r="E60" s="175" t="s">
        <v>878</v>
      </c>
      <c r="F60" s="178" t="s">
        <v>1831</v>
      </c>
      <c r="G60" s="178" t="s">
        <v>1832</v>
      </c>
      <c r="H60" s="380" t="s">
        <v>1902</v>
      </c>
      <c r="I60" s="215">
        <v>23154198</v>
      </c>
      <c r="J60" s="470" t="s">
        <v>154</v>
      </c>
      <c r="K60" s="636">
        <v>2</v>
      </c>
      <c r="L60" s="13">
        <f>42566-38137</f>
        <v>4429</v>
      </c>
      <c r="M60" s="182"/>
      <c r="N60" s="182"/>
      <c r="O60" s="101">
        <f t="shared" si="0"/>
        <v>4429</v>
      </c>
    </row>
    <row r="61" spans="1:15" ht="29.25">
      <c r="A61" s="302" t="s">
        <v>11</v>
      </c>
      <c r="B61" s="178" t="s">
        <v>12</v>
      </c>
      <c r="C61" s="175" t="s">
        <v>1900</v>
      </c>
      <c r="D61" s="175"/>
      <c r="E61" s="175" t="s">
        <v>878</v>
      </c>
      <c r="F61" s="178" t="s">
        <v>1831</v>
      </c>
      <c r="G61" s="178" t="s">
        <v>1832</v>
      </c>
      <c r="H61" s="380" t="s">
        <v>1903</v>
      </c>
      <c r="I61" s="214">
        <v>18697789</v>
      </c>
      <c r="J61" s="470" t="s">
        <v>154</v>
      </c>
      <c r="K61" s="242">
        <v>2</v>
      </c>
      <c r="L61" s="13">
        <f>5375-5375</f>
        <v>0</v>
      </c>
      <c r="M61" s="182"/>
      <c r="N61" s="182"/>
      <c r="O61" s="101">
        <f t="shared" si="0"/>
        <v>0</v>
      </c>
    </row>
    <row r="62" spans="1:15" ht="29.25">
      <c r="A62" s="302" t="s">
        <v>11</v>
      </c>
      <c r="B62" s="178" t="s">
        <v>12</v>
      </c>
      <c r="C62" s="175" t="s">
        <v>1904</v>
      </c>
      <c r="D62" s="175"/>
      <c r="E62" s="175"/>
      <c r="F62" s="178" t="s">
        <v>1831</v>
      </c>
      <c r="G62" s="178" t="s">
        <v>1832</v>
      </c>
      <c r="H62" s="380" t="s">
        <v>1905</v>
      </c>
      <c r="I62" s="214">
        <v>25679908</v>
      </c>
      <c r="J62" s="470" t="s">
        <v>154</v>
      </c>
      <c r="K62" s="242">
        <v>2</v>
      </c>
      <c r="L62" s="13">
        <f>16835-13604</f>
        <v>3231</v>
      </c>
      <c r="M62" s="182"/>
      <c r="N62" s="182"/>
      <c r="O62" s="101">
        <f t="shared" si="0"/>
        <v>3231</v>
      </c>
    </row>
    <row r="63" spans="1:15" ht="29.25">
      <c r="A63" s="302" t="s">
        <v>11</v>
      </c>
      <c r="B63" s="178" t="s">
        <v>12</v>
      </c>
      <c r="C63" s="175" t="s">
        <v>1904</v>
      </c>
      <c r="D63" s="175"/>
      <c r="E63" s="175">
        <v>20</v>
      </c>
      <c r="F63" s="178" t="s">
        <v>1831</v>
      </c>
      <c r="G63" s="178" t="s">
        <v>1832</v>
      </c>
      <c r="H63" s="380" t="s">
        <v>1906</v>
      </c>
      <c r="I63" s="214">
        <v>19570685</v>
      </c>
      <c r="J63" s="470" t="s">
        <v>154</v>
      </c>
      <c r="K63" s="242">
        <v>2</v>
      </c>
      <c r="L63" s="13">
        <f>53548-50125</f>
        <v>3423</v>
      </c>
      <c r="M63" s="182"/>
      <c r="N63" s="182"/>
      <c r="O63" s="101">
        <f t="shared" si="0"/>
        <v>3423</v>
      </c>
    </row>
    <row r="64" spans="1:15" ht="29.25">
      <c r="A64" s="302" t="s">
        <v>11</v>
      </c>
      <c r="B64" s="178" t="s">
        <v>12</v>
      </c>
      <c r="C64" s="175" t="s">
        <v>1907</v>
      </c>
      <c r="D64" s="174"/>
      <c r="E64" s="175"/>
      <c r="F64" s="178" t="s">
        <v>1831</v>
      </c>
      <c r="G64" s="178" t="s">
        <v>1832</v>
      </c>
      <c r="H64" s="380" t="s">
        <v>1908</v>
      </c>
      <c r="I64" s="215">
        <v>25466920</v>
      </c>
      <c r="J64" s="470" t="s">
        <v>154</v>
      </c>
      <c r="K64" s="242">
        <v>2</v>
      </c>
      <c r="L64" s="13">
        <f>94268-85414</f>
        <v>8854</v>
      </c>
      <c r="M64" s="182"/>
      <c r="N64" s="182"/>
      <c r="O64" s="101">
        <f t="shared" si="0"/>
        <v>8854</v>
      </c>
    </row>
    <row r="65" spans="1:15" ht="29.25">
      <c r="A65" s="302" t="s">
        <v>11</v>
      </c>
      <c r="B65" s="178" t="s">
        <v>12</v>
      </c>
      <c r="C65" s="175" t="s">
        <v>1909</v>
      </c>
      <c r="D65" s="174"/>
      <c r="E65" s="175"/>
      <c r="F65" s="178" t="s">
        <v>1831</v>
      </c>
      <c r="G65" s="178" t="s">
        <v>1832</v>
      </c>
      <c r="H65" s="380" t="s">
        <v>1910</v>
      </c>
      <c r="I65" s="214">
        <v>25937431</v>
      </c>
      <c r="J65" s="470" t="s">
        <v>154</v>
      </c>
      <c r="K65" s="242">
        <v>2</v>
      </c>
      <c r="L65" s="13">
        <f>38399-35048</f>
        <v>3351</v>
      </c>
      <c r="M65" s="182"/>
      <c r="N65" s="182"/>
      <c r="O65" s="101">
        <f t="shared" si="0"/>
        <v>3351</v>
      </c>
    </row>
    <row r="66" spans="1:15" ht="29.25">
      <c r="A66" s="302" t="s">
        <v>11</v>
      </c>
      <c r="B66" s="178" t="s">
        <v>12</v>
      </c>
      <c r="C66" s="175" t="s">
        <v>1911</v>
      </c>
      <c r="D66" s="174"/>
      <c r="E66" s="175"/>
      <c r="F66" s="178" t="s">
        <v>1831</v>
      </c>
      <c r="G66" s="178" t="s">
        <v>1832</v>
      </c>
      <c r="H66" s="380" t="s">
        <v>1912</v>
      </c>
      <c r="I66" s="214">
        <v>23455101</v>
      </c>
      <c r="J66" s="470" t="s">
        <v>154</v>
      </c>
      <c r="K66" s="242">
        <v>1</v>
      </c>
      <c r="L66" s="13">
        <f>8720-7442</f>
        <v>1278</v>
      </c>
      <c r="M66" s="182"/>
      <c r="N66" s="182"/>
      <c r="O66" s="101">
        <f t="shared" si="0"/>
        <v>1278</v>
      </c>
    </row>
    <row r="67" spans="1:15" ht="29.25">
      <c r="A67" s="302" t="s">
        <v>11</v>
      </c>
      <c r="B67" s="178" t="s">
        <v>12</v>
      </c>
      <c r="C67" s="175" t="s">
        <v>1913</v>
      </c>
      <c r="D67" s="174"/>
      <c r="E67" s="175"/>
      <c r="F67" s="178" t="s">
        <v>1831</v>
      </c>
      <c r="G67" s="178" t="s">
        <v>1832</v>
      </c>
      <c r="H67" s="380" t="s">
        <v>1914</v>
      </c>
      <c r="I67" s="214">
        <v>16948188</v>
      </c>
      <c r="J67" s="470" t="s">
        <v>154</v>
      </c>
      <c r="K67" s="242">
        <v>1</v>
      </c>
      <c r="L67" s="13">
        <f>29913-23747</f>
        <v>6166</v>
      </c>
      <c r="M67" s="182"/>
      <c r="N67" s="182"/>
      <c r="O67" s="101">
        <f t="shared" si="0"/>
        <v>6166</v>
      </c>
    </row>
    <row r="68" spans="1:15" ht="29.25">
      <c r="A68" s="302" t="s">
        <v>11</v>
      </c>
      <c r="B68" s="178" t="s">
        <v>12</v>
      </c>
      <c r="C68" s="175" t="s">
        <v>1915</v>
      </c>
      <c r="D68" s="174"/>
      <c r="E68" s="175"/>
      <c r="F68" s="178" t="s">
        <v>1831</v>
      </c>
      <c r="G68" s="178" t="s">
        <v>1832</v>
      </c>
      <c r="H68" s="380" t="s">
        <v>1916</v>
      </c>
      <c r="I68" s="214">
        <v>11205206</v>
      </c>
      <c r="J68" s="470" t="s">
        <v>154</v>
      </c>
      <c r="K68" s="242">
        <v>1</v>
      </c>
      <c r="L68" s="13">
        <f>15516-12567</f>
        <v>2949</v>
      </c>
      <c r="M68" s="182"/>
      <c r="N68" s="182"/>
      <c r="O68" s="101">
        <f t="shared" si="0"/>
        <v>2949</v>
      </c>
    </row>
    <row r="69" spans="1:15" ht="29.25">
      <c r="A69" s="302" t="s">
        <v>11</v>
      </c>
      <c r="B69" s="178" t="s">
        <v>12</v>
      </c>
      <c r="C69" s="175" t="s">
        <v>1917</v>
      </c>
      <c r="D69" s="174"/>
      <c r="E69" s="175"/>
      <c r="F69" s="178" t="s">
        <v>1831</v>
      </c>
      <c r="G69" s="178" t="s">
        <v>1832</v>
      </c>
      <c r="H69" s="380" t="s">
        <v>1918</v>
      </c>
      <c r="I69" s="214">
        <v>70542277</v>
      </c>
      <c r="J69" s="470" t="s">
        <v>154</v>
      </c>
      <c r="K69" s="242">
        <v>7</v>
      </c>
      <c r="L69" s="13">
        <f>57591-45341</f>
        <v>12250</v>
      </c>
      <c r="M69" s="182"/>
      <c r="N69" s="182"/>
      <c r="O69" s="101">
        <f t="shared" si="0"/>
        <v>12250</v>
      </c>
    </row>
    <row r="70" spans="1:15" ht="29.25">
      <c r="A70" s="302" t="s">
        <v>11</v>
      </c>
      <c r="B70" s="178" t="s">
        <v>12</v>
      </c>
      <c r="C70" s="175" t="s">
        <v>1915</v>
      </c>
      <c r="D70" s="174"/>
      <c r="E70" s="175"/>
      <c r="F70" s="178" t="s">
        <v>1831</v>
      </c>
      <c r="G70" s="178" t="s">
        <v>1832</v>
      </c>
      <c r="H70" s="380" t="s">
        <v>1919</v>
      </c>
      <c r="I70" s="214">
        <v>23422128</v>
      </c>
      <c r="J70" s="470" t="s">
        <v>154</v>
      </c>
      <c r="K70" s="242">
        <v>0.6</v>
      </c>
      <c r="L70" s="13">
        <f>5198-4528</f>
        <v>670</v>
      </c>
      <c r="M70" s="182"/>
      <c r="N70" s="182"/>
      <c r="O70" s="101">
        <f t="shared" si="0"/>
        <v>670</v>
      </c>
    </row>
    <row r="71" spans="1:15" ht="29.25">
      <c r="A71" s="302" t="s">
        <v>11</v>
      </c>
      <c r="B71" s="178" t="s">
        <v>12</v>
      </c>
      <c r="C71" s="175" t="s">
        <v>1920</v>
      </c>
      <c r="D71" s="174"/>
      <c r="E71" s="175">
        <v>2</v>
      </c>
      <c r="F71" s="178" t="s">
        <v>1831</v>
      </c>
      <c r="G71" s="178" t="s">
        <v>1832</v>
      </c>
      <c r="H71" s="380" t="s">
        <v>1921</v>
      </c>
      <c r="I71" s="214">
        <v>1567799</v>
      </c>
      <c r="J71" s="470" t="s">
        <v>154</v>
      </c>
      <c r="K71" s="242">
        <v>1.5</v>
      </c>
      <c r="L71" s="13">
        <f>10552-6709</f>
        <v>3843</v>
      </c>
      <c r="M71" s="182"/>
      <c r="N71" s="182"/>
      <c r="O71" s="101">
        <f t="shared" si="0"/>
        <v>3843</v>
      </c>
    </row>
    <row r="72" spans="1:15" ht="29.25">
      <c r="A72" s="302" t="s">
        <v>11</v>
      </c>
      <c r="B72" s="178" t="s">
        <v>12</v>
      </c>
      <c r="C72" s="175" t="s">
        <v>1922</v>
      </c>
      <c r="D72" s="174"/>
      <c r="E72" s="175"/>
      <c r="F72" s="178" t="s">
        <v>1831</v>
      </c>
      <c r="G72" s="178" t="s">
        <v>1832</v>
      </c>
      <c r="H72" s="380" t="s">
        <v>1923</v>
      </c>
      <c r="I72" s="214">
        <v>90904580</v>
      </c>
      <c r="J72" s="470" t="s">
        <v>154</v>
      </c>
      <c r="K72" s="242">
        <v>1.5</v>
      </c>
      <c r="L72" s="13">
        <f>7415-891</f>
        <v>6524</v>
      </c>
      <c r="M72" s="182"/>
      <c r="N72" s="182"/>
      <c r="O72" s="101">
        <f t="shared" si="0"/>
        <v>6524</v>
      </c>
    </row>
    <row r="73" spans="1:15" ht="29.25">
      <c r="A73" s="302" t="s">
        <v>11</v>
      </c>
      <c r="B73" s="178" t="s">
        <v>12</v>
      </c>
      <c r="C73" s="175" t="s">
        <v>1922</v>
      </c>
      <c r="D73" s="174"/>
      <c r="E73" s="175"/>
      <c r="F73" s="178" t="s">
        <v>1831</v>
      </c>
      <c r="G73" s="178" t="s">
        <v>1832</v>
      </c>
      <c r="H73" s="380" t="s">
        <v>1924</v>
      </c>
      <c r="I73" s="214">
        <v>20549791</v>
      </c>
      <c r="J73" s="470" t="s">
        <v>154</v>
      </c>
      <c r="K73" s="242">
        <v>1.5</v>
      </c>
      <c r="L73" s="13">
        <f>37251-33604</f>
        <v>3647</v>
      </c>
      <c r="M73" s="182"/>
      <c r="N73" s="182"/>
      <c r="O73" s="101">
        <f t="shared" si="0"/>
        <v>3647</v>
      </c>
    </row>
    <row r="74" spans="1:15" ht="29.25">
      <c r="A74" s="302" t="s">
        <v>11</v>
      </c>
      <c r="B74" s="175" t="s">
        <v>12</v>
      </c>
      <c r="C74" s="175" t="s">
        <v>1920</v>
      </c>
      <c r="D74" s="174"/>
      <c r="E74" s="175" t="s">
        <v>146</v>
      </c>
      <c r="F74" s="178" t="s">
        <v>1831</v>
      </c>
      <c r="G74" s="178" t="s">
        <v>1832</v>
      </c>
      <c r="H74" s="380" t="s">
        <v>1925</v>
      </c>
      <c r="I74" s="214">
        <v>1567787</v>
      </c>
      <c r="J74" s="470" t="s">
        <v>154</v>
      </c>
      <c r="K74" s="242">
        <v>1.5</v>
      </c>
      <c r="L74" s="13">
        <f>11181-7430</f>
        <v>3751</v>
      </c>
      <c r="M74" s="182"/>
      <c r="N74" s="182"/>
      <c r="O74" s="101">
        <f t="shared" si="0"/>
        <v>3751</v>
      </c>
    </row>
    <row r="75" spans="1:15" ht="29.25">
      <c r="A75" s="274" t="s">
        <v>11</v>
      </c>
      <c r="B75" s="178" t="s">
        <v>12</v>
      </c>
      <c r="C75" s="186" t="s">
        <v>1926</v>
      </c>
      <c r="D75" s="52"/>
      <c r="E75" s="52"/>
      <c r="F75" s="178" t="s">
        <v>1831</v>
      </c>
      <c r="G75" s="178" t="s">
        <v>1832</v>
      </c>
      <c r="H75" s="380" t="s">
        <v>1927</v>
      </c>
      <c r="I75" s="52">
        <v>104027</v>
      </c>
      <c r="J75" s="470" t="s">
        <v>154</v>
      </c>
      <c r="K75" s="242">
        <v>2</v>
      </c>
      <c r="L75" s="13">
        <f>6656-5322</f>
        <v>1334</v>
      </c>
      <c r="M75" s="182"/>
      <c r="N75" s="182"/>
      <c r="O75" s="101">
        <f t="shared" si="0"/>
        <v>1334</v>
      </c>
    </row>
    <row r="76" spans="1:15" ht="29.25">
      <c r="A76" s="400" t="s">
        <v>11</v>
      </c>
      <c r="B76" s="354" t="s">
        <v>12</v>
      </c>
      <c r="C76" s="79" t="s">
        <v>1926</v>
      </c>
      <c r="D76" s="56"/>
      <c r="E76" s="56" t="s">
        <v>354</v>
      </c>
      <c r="F76" s="178" t="s">
        <v>1831</v>
      </c>
      <c r="G76" s="178" t="s">
        <v>1832</v>
      </c>
      <c r="H76" s="380" t="s">
        <v>1928</v>
      </c>
      <c r="I76" s="56">
        <v>1481166</v>
      </c>
      <c r="J76" s="470" t="s">
        <v>154</v>
      </c>
      <c r="K76" s="242">
        <v>1</v>
      </c>
      <c r="L76" s="13">
        <f>7823-5427</f>
        <v>2396</v>
      </c>
      <c r="M76" s="182"/>
      <c r="N76" s="182"/>
      <c r="O76" s="101">
        <f t="shared" si="0"/>
        <v>2396</v>
      </c>
    </row>
    <row r="77" spans="1:15" s="50" customFormat="1" ht="29.25">
      <c r="A77" s="275" t="s">
        <v>11</v>
      </c>
      <c r="B77" s="605" t="s">
        <v>12</v>
      </c>
      <c r="C77" s="189" t="s">
        <v>1926</v>
      </c>
      <c r="D77" s="56"/>
      <c r="E77" s="55"/>
      <c r="F77" s="178" t="s">
        <v>1831</v>
      </c>
      <c r="G77" s="178" t="s">
        <v>1832</v>
      </c>
      <c r="H77" s="380" t="s">
        <v>1929</v>
      </c>
      <c r="I77" s="55">
        <v>24918460</v>
      </c>
      <c r="J77" s="470" t="s">
        <v>154</v>
      </c>
      <c r="K77" s="272">
        <v>2</v>
      </c>
      <c r="L77" s="13">
        <f>79461-72918</f>
        <v>6543</v>
      </c>
      <c r="M77" s="182"/>
      <c r="N77" s="182"/>
      <c r="O77" s="101">
        <f t="shared" si="0"/>
        <v>6543</v>
      </c>
    </row>
    <row r="78" spans="1:15" s="50" customFormat="1" ht="30" thickBot="1">
      <c r="A78" s="302" t="s">
        <v>11</v>
      </c>
      <c r="B78" s="605" t="s">
        <v>12</v>
      </c>
      <c r="C78" s="175" t="s">
        <v>1911</v>
      </c>
      <c r="D78" s="175"/>
      <c r="E78" s="175"/>
      <c r="F78" s="178" t="s">
        <v>1831</v>
      </c>
      <c r="G78" s="178" t="s">
        <v>1832</v>
      </c>
      <c r="H78" s="380" t="s">
        <v>2093</v>
      </c>
      <c r="I78" s="214">
        <v>21008642</v>
      </c>
      <c r="J78" s="4" t="s">
        <v>152</v>
      </c>
      <c r="K78" s="242">
        <v>0.3</v>
      </c>
      <c r="L78" s="13">
        <f>13254-12311</f>
        <v>943</v>
      </c>
      <c r="M78" s="182"/>
      <c r="N78" s="182"/>
      <c r="O78" s="101">
        <f>L78</f>
        <v>943</v>
      </c>
    </row>
    <row r="79" spans="2:15" ht="43.5" customHeight="1">
      <c r="B79" s="606" t="s">
        <v>155</v>
      </c>
      <c r="C79" s="607" t="s">
        <v>1833</v>
      </c>
      <c r="D79" s="608"/>
      <c r="E79" s="602"/>
      <c r="F79" s="290"/>
      <c r="G79" s="672" t="s">
        <v>2097</v>
      </c>
      <c r="H79" s="596" t="s">
        <v>1833</v>
      </c>
      <c r="L79" s="20"/>
      <c r="M79" s="20"/>
      <c r="N79" s="53" t="s">
        <v>156</v>
      </c>
      <c r="O79" s="353">
        <f>SUM(O18:O78)</f>
        <v>310816</v>
      </c>
    </row>
    <row r="80" spans="2:16" ht="15">
      <c r="B80" s="293"/>
      <c r="C80" s="294" t="s">
        <v>1834</v>
      </c>
      <c r="D80" s="594"/>
      <c r="E80" s="602"/>
      <c r="F80" s="290"/>
      <c r="G80" s="603"/>
      <c r="H80" s="597" t="s">
        <v>1834</v>
      </c>
      <c r="M80" s="20"/>
      <c r="N80" s="20"/>
      <c r="O80" s="20"/>
      <c r="P80" s="20"/>
    </row>
    <row r="81" spans="2:16" ht="15.75" thickBot="1">
      <c r="B81" s="293"/>
      <c r="C81" s="294" t="s">
        <v>1972</v>
      </c>
      <c r="D81" s="594"/>
      <c r="E81" s="602"/>
      <c r="F81" s="290"/>
      <c r="G81" s="604"/>
      <c r="H81" s="599" t="s">
        <v>1972</v>
      </c>
      <c r="M81" s="20"/>
      <c r="N81" s="20"/>
      <c r="O81" s="20"/>
      <c r="P81" s="20"/>
    </row>
    <row r="82" spans="2:16" ht="15">
      <c r="B82" s="592" t="s">
        <v>1670</v>
      </c>
      <c r="C82" s="294">
        <v>8212394019</v>
      </c>
      <c r="D82" s="594"/>
      <c r="E82" s="602"/>
      <c r="F82" s="290"/>
      <c r="G82" s="278"/>
      <c r="H82" s="294"/>
      <c r="M82" s="20"/>
      <c r="N82" s="20"/>
      <c r="O82" s="20"/>
      <c r="P82" s="20"/>
    </row>
    <row r="83" spans="2:16" ht="15.75" thickBot="1">
      <c r="B83" s="600" t="s">
        <v>1674</v>
      </c>
      <c r="C83" s="528" t="s">
        <v>1835</v>
      </c>
      <c r="D83" s="601"/>
      <c r="E83" s="602"/>
      <c r="F83" s="602"/>
      <c r="G83" s="602"/>
      <c r="H83" s="602"/>
      <c r="M83" s="20"/>
      <c r="N83" s="20"/>
      <c r="O83" s="20"/>
      <c r="P83" s="20"/>
    </row>
    <row r="84" spans="2:16" ht="15.75" thickBot="1">
      <c r="B84" s="632"/>
      <c r="C84" s="294"/>
      <c r="D84" s="559"/>
      <c r="E84" s="602"/>
      <c r="F84" s="602"/>
      <c r="G84" s="602"/>
      <c r="H84" s="602"/>
      <c r="M84" s="20"/>
      <c r="N84" s="20"/>
      <c r="O84" s="20"/>
      <c r="P84" s="20"/>
    </row>
    <row r="85" spans="1:20" ht="39" customHeight="1">
      <c r="A85" s="703" t="s">
        <v>0</v>
      </c>
      <c r="B85" s="697" t="s">
        <v>1</v>
      </c>
      <c r="C85" s="697" t="s">
        <v>2</v>
      </c>
      <c r="D85" s="697" t="s">
        <v>3</v>
      </c>
      <c r="E85" s="697" t="s">
        <v>4</v>
      </c>
      <c r="F85" s="697" t="s">
        <v>5</v>
      </c>
      <c r="G85" s="697" t="s">
        <v>6</v>
      </c>
      <c r="H85" s="697" t="s">
        <v>8</v>
      </c>
      <c r="I85" s="697" t="s">
        <v>753</v>
      </c>
      <c r="J85" s="697" t="s">
        <v>157</v>
      </c>
      <c r="K85" s="754" t="s">
        <v>9</v>
      </c>
      <c r="L85" s="751" t="s">
        <v>1043</v>
      </c>
      <c r="M85" s="751"/>
      <c r="N85" s="751"/>
      <c r="O85" s="751"/>
      <c r="P85" s="751" t="s">
        <v>1044</v>
      </c>
      <c r="Q85" s="751"/>
      <c r="R85" s="751"/>
      <c r="S85" s="751"/>
      <c r="T85" s="694" t="s">
        <v>1806</v>
      </c>
    </row>
    <row r="86" spans="1:20" ht="39" customHeight="1">
      <c r="A86" s="704"/>
      <c r="B86" s="698"/>
      <c r="C86" s="698"/>
      <c r="D86" s="698"/>
      <c r="E86" s="698"/>
      <c r="F86" s="698"/>
      <c r="G86" s="698"/>
      <c r="H86" s="698"/>
      <c r="I86" s="698"/>
      <c r="J86" s="698"/>
      <c r="K86" s="755"/>
      <c r="L86" s="738" t="s">
        <v>1041</v>
      </c>
      <c r="M86" s="738" t="s">
        <v>1035</v>
      </c>
      <c r="N86" s="738" t="s">
        <v>1036</v>
      </c>
      <c r="O86" s="738" t="s">
        <v>1045</v>
      </c>
      <c r="P86" s="738" t="s">
        <v>1041</v>
      </c>
      <c r="Q86" s="738" t="s">
        <v>1035</v>
      </c>
      <c r="R86" s="738" t="s">
        <v>1036</v>
      </c>
      <c r="S86" s="738" t="s">
        <v>1045</v>
      </c>
      <c r="T86" s="695"/>
    </row>
    <row r="87" spans="1:20" ht="39" customHeight="1" thickBot="1">
      <c r="A87" s="705"/>
      <c r="B87" s="699"/>
      <c r="C87" s="699"/>
      <c r="D87" s="699"/>
      <c r="E87" s="699"/>
      <c r="F87" s="699"/>
      <c r="G87" s="699"/>
      <c r="H87" s="699"/>
      <c r="I87" s="699"/>
      <c r="J87" s="699"/>
      <c r="K87" s="779"/>
      <c r="L87" s="783"/>
      <c r="M87" s="783"/>
      <c r="N87" s="783"/>
      <c r="O87" s="783"/>
      <c r="P87" s="783"/>
      <c r="Q87" s="783"/>
      <c r="R87" s="783"/>
      <c r="S87" s="783"/>
      <c r="T87" s="696"/>
    </row>
    <row r="88" spans="1:20" ht="30" thickBot="1">
      <c r="A88" s="275" t="s">
        <v>754</v>
      </c>
      <c r="B88" s="634" t="s">
        <v>12</v>
      </c>
      <c r="C88" s="633" t="s">
        <v>1873</v>
      </c>
      <c r="D88" s="635"/>
      <c r="E88" s="55"/>
      <c r="F88" s="178" t="s">
        <v>1831</v>
      </c>
      <c r="G88" s="178" t="s">
        <v>1832</v>
      </c>
      <c r="H88" s="380">
        <v>65222167</v>
      </c>
      <c r="I88" s="55">
        <v>83636792</v>
      </c>
      <c r="J88" s="470" t="s">
        <v>154</v>
      </c>
      <c r="K88" s="272">
        <v>1</v>
      </c>
      <c r="L88" s="13">
        <f>70*15</f>
        <v>1050</v>
      </c>
      <c r="M88" s="182"/>
      <c r="N88" s="182"/>
      <c r="O88" s="101">
        <f>L88</f>
        <v>1050</v>
      </c>
      <c r="P88" s="13">
        <f>O88</f>
        <v>1050</v>
      </c>
      <c r="Q88" s="182"/>
      <c r="R88" s="182"/>
      <c r="S88" s="101">
        <f>P88</f>
        <v>1050</v>
      </c>
      <c r="T88" s="633" t="s">
        <v>1985</v>
      </c>
    </row>
    <row r="89" spans="2:19" ht="30">
      <c r="B89" s="606" t="s">
        <v>155</v>
      </c>
      <c r="C89" s="607" t="s">
        <v>1833</v>
      </c>
      <c r="D89" s="608"/>
      <c r="E89" s="602"/>
      <c r="F89" s="290"/>
      <c r="G89" s="672" t="s">
        <v>2097</v>
      </c>
      <c r="H89" s="596" t="s">
        <v>1833</v>
      </c>
      <c r="M89" s="20"/>
      <c r="N89" s="20"/>
      <c r="O89" s="20"/>
      <c r="P89" s="20"/>
      <c r="R89" s="53" t="s">
        <v>156</v>
      </c>
      <c r="S89" s="353">
        <f>SUM(S28:S88)</f>
        <v>1050</v>
      </c>
    </row>
    <row r="90" spans="2:16" ht="15">
      <c r="B90" s="293"/>
      <c r="C90" s="294" t="s">
        <v>1834</v>
      </c>
      <c r="D90" s="594"/>
      <c r="E90" s="602"/>
      <c r="F90" s="290"/>
      <c r="G90" s="603"/>
      <c r="H90" s="597" t="s">
        <v>1834</v>
      </c>
      <c r="M90" s="20"/>
      <c r="N90" s="20"/>
      <c r="O90" s="20"/>
      <c r="P90" s="20"/>
    </row>
    <row r="91" spans="2:16" ht="15.75" thickBot="1">
      <c r="B91" s="293"/>
      <c r="C91" s="294" t="s">
        <v>1972</v>
      </c>
      <c r="D91" s="594"/>
      <c r="E91" s="602"/>
      <c r="F91" s="290"/>
      <c r="G91" s="604"/>
      <c r="H91" s="599" t="s">
        <v>1972</v>
      </c>
      <c r="M91" s="20"/>
      <c r="N91" s="20"/>
      <c r="O91" s="20"/>
      <c r="P91" s="20"/>
    </row>
    <row r="92" spans="2:16" ht="15">
      <c r="B92" s="592" t="s">
        <v>1670</v>
      </c>
      <c r="C92" s="294">
        <v>8212394019</v>
      </c>
      <c r="D92" s="594"/>
      <c r="E92" s="602"/>
      <c r="F92" s="290"/>
      <c r="G92" s="278"/>
      <c r="H92" s="294"/>
      <c r="M92" s="20"/>
      <c r="N92" s="20"/>
      <c r="O92" s="20"/>
      <c r="P92" s="20"/>
    </row>
    <row r="93" spans="2:16" ht="15.75" thickBot="1">
      <c r="B93" s="600" t="s">
        <v>1674</v>
      </c>
      <c r="C93" s="528" t="s">
        <v>1835</v>
      </c>
      <c r="D93" s="601"/>
      <c r="E93" s="602"/>
      <c r="F93" s="602"/>
      <c r="G93" s="602"/>
      <c r="H93" s="602"/>
      <c r="M93" s="20"/>
      <c r="N93" s="20"/>
      <c r="O93" s="20"/>
      <c r="P93" s="20"/>
    </row>
    <row r="94" spans="2:16" ht="14.25">
      <c r="B94" s="304"/>
      <c r="C94" s="273"/>
      <c r="D94" s="305"/>
      <c r="L94" t="s">
        <v>160</v>
      </c>
      <c r="M94" s="20">
        <f>O79+S89</f>
        <v>311866</v>
      </c>
      <c r="N94" s="20"/>
      <c r="O94" s="20"/>
      <c r="P94" s="20"/>
    </row>
    <row r="95" spans="13:16" ht="15" thickBot="1">
      <c r="M95" s="20"/>
      <c r="N95" s="20"/>
      <c r="O95" s="20"/>
      <c r="P95" s="20"/>
    </row>
    <row r="96" spans="11:16" ht="48" customHeight="1">
      <c r="K96" s="711" t="s">
        <v>157</v>
      </c>
      <c r="L96" s="706" t="s">
        <v>1034</v>
      </c>
      <c r="M96" s="707"/>
      <c r="N96" s="708"/>
      <c r="O96" s="743" t="s">
        <v>158</v>
      </c>
      <c r="P96" s="20"/>
    </row>
    <row r="97" spans="11:15" ht="23.25" customHeight="1" thickBot="1">
      <c r="K97" s="713"/>
      <c r="L97" s="128" t="s">
        <v>159</v>
      </c>
      <c r="M97" s="128" t="s">
        <v>1035</v>
      </c>
      <c r="N97" s="128" t="s">
        <v>1036</v>
      </c>
      <c r="O97" s="744"/>
    </row>
    <row r="98" spans="11:15" ht="23.25" customHeight="1" thickBot="1">
      <c r="K98" s="517" t="s">
        <v>154</v>
      </c>
      <c r="L98" s="17">
        <f>SUM(O18:O77,S89)</f>
        <v>310923</v>
      </c>
      <c r="M98" s="518"/>
      <c r="N98" s="519"/>
      <c r="O98" s="670">
        <v>61</v>
      </c>
    </row>
    <row r="99" spans="11:15" ht="23.25" customHeight="1" thickBot="1">
      <c r="K99" s="517" t="s">
        <v>152</v>
      </c>
      <c r="L99" s="17">
        <f>O78</f>
        <v>943</v>
      </c>
      <c r="M99" s="518"/>
      <c r="N99" s="519"/>
      <c r="O99" s="671">
        <v>1</v>
      </c>
    </row>
    <row r="100" spans="11:15" ht="27" customHeight="1" thickBot="1">
      <c r="K100" s="641" t="s">
        <v>160</v>
      </c>
      <c r="L100" s="514">
        <f>SUM(L98:L99)</f>
        <v>311866</v>
      </c>
      <c r="M100" s="515">
        <f>SUM(M98:M98)</f>
        <v>0</v>
      </c>
      <c r="N100" s="516">
        <f>SUM(N98:N98)</f>
        <v>0</v>
      </c>
      <c r="O100" s="345">
        <f>SUM(O98:O99)</f>
        <v>62</v>
      </c>
    </row>
    <row r="101" spans="12:15" ht="27" customHeight="1" thickBot="1">
      <c r="L101" s="20" t="s">
        <v>161</v>
      </c>
      <c r="M101" s="338">
        <f>L100</f>
        <v>311866</v>
      </c>
      <c r="N101" s="2"/>
      <c r="O101" s="2"/>
    </row>
  </sheetData>
  <sheetProtection/>
  <mergeCells count="41">
    <mergeCell ref="P85:S85"/>
    <mergeCell ref="T85:T87"/>
    <mergeCell ref="L86:L87"/>
    <mergeCell ref="M86:M87"/>
    <mergeCell ref="N86:N87"/>
    <mergeCell ref="O86:O87"/>
    <mergeCell ref="P86:P87"/>
    <mergeCell ref="Q86:Q87"/>
    <mergeCell ref="R86:R87"/>
    <mergeCell ref="S86:S87"/>
    <mergeCell ref="G85:G87"/>
    <mergeCell ref="H85:H87"/>
    <mergeCell ref="I85:I87"/>
    <mergeCell ref="J85:J87"/>
    <mergeCell ref="K85:K87"/>
    <mergeCell ref="L85:O85"/>
    <mergeCell ref="A85:A87"/>
    <mergeCell ref="B85:B87"/>
    <mergeCell ref="C85:C87"/>
    <mergeCell ref="D85:D87"/>
    <mergeCell ref="E85:E87"/>
    <mergeCell ref="F85:F87"/>
    <mergeCell ref="B1:K1"/>
    <mergeCell ref="B3:J3"/>
    <mergeCell ref="B5:J5"/>
    <mergeCell ref="A15:A17"/>
    <mergeCell ref="B15:B17"/>
    <mergeCell ref="C15:C17"/>
    <mergeCell ref="D15:D17"/>
    <mergeCell ref="E15:E17"/>
    <mergeCell ref="F15:F17"/>
    <mergeCell ref="G15:G17"/>
    <mergeCell ref="K96:K97"/>
    <mergeCell ref="L96:N96"/>
    <mergeCell ref="O96:O97"/>
    <mergeCell ref="H15:H17"/>
    <mergeCell ref="I15:I17"/>
    <mergeCell ref="J15:J17"/>
    <mergeCell ref="K15:K17"/>
    <mergeCell ref="L15:O15"/>
    <mergeCell ref="L16:O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3"/>
  <sheetViews>
    <sheetView zoomScale="80" zoomScaleNormal="80" zoomScalePageLayoutView="0" workbookViewId="0" topLeftCell="A133">
      <selection activeCell="B8" sqref="B8:B9"/>
    </sheetView>
  </sheetViews>
  <sheetFormatPr defaultColWidth="8.796875" defaultRowHeight="14.25"/>
  <cols>
    <col min="1" max="1" width="12.19921875" style="1" customWidth="1"/>
    <col min="2" max="2" width="16.19921875" style="0" customWidth="1"/>
    <col min="3" max="3" width="14.19921875" style="0" customWidth="1"/>
    <col min="4" max="4" width="15.59765625" style="0" customWidth="1"/>
    <col min="5" max="5" width="9.8984375" style="0" customWidth="1"/>
    <col min="6" max="6" width="11.5" style="0" customWidth="1"/>
    <col min="7" max="7" width="18" style="0" customWidth="1"/>
    <col min="8" max="8" width="26.3984375" style="0" customWidth="1"/>
    <col min="9" max="9" width="26.09765625" style="0" customWidth="1"/>
    <col min="10" max="10" width="14.69921875" style="0" customWidth="1"/>
    <col min="11" max="11" width="10.09765625" style="0" customWidth="1"/>
    <col min="12" max="12" width="13.8984375" style="0" customWidth="1"/>
    <col min="13" max="13" width="14.59765625" style="0" customWidth="1"/>
    <col min="14" max="14" width="15.3984375" style="0" customWidth="1"/>
    <col min="15" max="15" width="15.69921875" style="0" customWidth="1"/>
    <col min="16" max="16" width="18.09765625" style="0" customWidth="1"/>
    <col min="17" max="17" width="17.3984375" style="0" customWidth="1"/>
    <col min="18" max="18" width="16.3984375" style="0" customWidth="1"/>
    <col min="19" max="19" width="15.69921875" style="0" customWidth="1"/>
    <col min="20" max="20" width="24.69921875" style="0" customWidth="1"/>
    <col min="21" max="21" width="22.69921875" style="0" customWidth="1"/>
  </cols>
  <sheetData>
    <row r="1" spans="1:15" ht="18">
      <c r="A1"/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  <c r="M1" s="1"/>
      <c r="O1" s="2"/>
    </row>
    <row r="2" spans="1:15" ht="15">
      <c r="A2"/>
      <c r="B2" s="220"/>
      <c r="C2" s="220"/>
      <c r="D2" s="220"/>
      <c r="E2" s="220"/>
      <c r="F2" s="220"/>
      <c r="G2" s="220"/>
      <c r="H2" s="221"/>
      <c r="I2" s="222"/>
      <c r="J2" s="220"/>
      <c r="K2" s="220"/>
      <c r="M2" s="1"/>
      <c r="O2" s="2"/>
    </row>
    <row r="3" spans="1:15" ht="27.75" customHeight="1">
      <c r="A3"/>
      <c r="B3" s="733" t="s">
        <v>1057</v>
      </c>
      <c r="C3" s="734"/>
      <c r="D3" s="734"/>
      <c r="E3" s="734"/>
      <c r="F3" s="734"/>
      <c r="G3" s="734"/>
      <c r="H3" s="734"/>
      <c r="I3" s="734"/>
      <c r="J3" s="735"/>
      <c r="K3" s="220"/>
      <c r="M3" s="1"/>
      <c r="O3" s="2"/>
    </row>
    <row r="4" spans="1:15" ht="20.25">
      <c r="A4"/>
      <c r="B4" s="221"/>
      <c r="C4" s="221"/>
      <c r="D4" s="221"/>
      <c r="E4" s="221"/>
      <c r="F4" s="221"/>
      <c r="G4" s="221"/>
      <c r="H4" s="221"/>
      <c r="I4" s="222"/>
      <c r="J4" s="220"/>
      <c r="K4" s="229"/>
      <c r="L4" s="3"/>
      <c r="M4" s="1"/>
      <c r="O4" s="2"/>
    </row>
    <row r="5" spans="1:15" ht="20.25">
      <c r="A5"/>
      <c r="B5" s="736" t="s">
        <v>1059</v>
      </c>
      <c r="C5" s="736"/>
      <c r="D5" s="736"/>
      <c r="E5" s="736"/>
      <c r="F5" s="736"/>
      <c r="G5" s="736"/>
      <c r="H5" s="736"/>
      <c r="I5" s="736"/>
      <c r="J5" s="736"/>
      <c r="K5" s="229"/>
      <c r="L5" s="3"/>
      <c r="M5" s="1"/>
      <c r="O5" s="2"/>
    </row>
    <row r="6" spans="1:15" ht="20.25">
      <c r="A6"/>
      <c r="B6" s="221"/>
      <c r="C6" s="221"/>
      <c r="D6" s="221"/>
      <c r="E6" s="221"/>
      <c r="F6" s="221"/>
      <c r="G6" s="221"/>
      <c r="H6" s="736" t="s">
        <v>1058</v>
      </c>
      <c r="I6" s="736"/>
      <c r="J6" s="736"/>
      <c r="K6" s="229"/>
      <c r="L6" s="3"/>
      <c r="M6" s="1"/>
      <c r="O6" s="2"/>
    </row>
    <row r="7" spans="1:15" ht="20.25">
      <c r="A7"/>
      <c r="B7" s="221"/>
      <c r="C7" s="221"/>
      <c r="D7" s="221"/>
      <c r="E7" s="221"/>
      <c r="F7" s="221"/>
      <c r="G7" s="221"/>
      <c r="H7" s="736" t="s">
        <v>1060</v>
      </c>
      <c r="I7" s="736"/>
      <c r="J7" s="736"/>
      <c r="K7" s="229"/>
      <c r="L7" s="3"/>
      <c r="M7" s="1"/>
      <c r="O7" s="2"/>
    </row>
    <row r="8" spans="1:15" ht="20.25">
      <c r="A8"/>
      <c r="B8" s="502" t="s">
        <v>967</v>
      </c>
      <c r="C8" s="220"/>
      <c r="D8" s="221"/>
      <c r="E8" s="221"/>
      <c r="F8" s="221"/>
      <c r="G8" s="220"/>
      <c r="H8" s="221"/>
      <c r="I8" s="222"/>
      <c r="J8" s="220"/>
      <c r="K8" s="229"/>
      <c r="L8" s="3"/>
      <c r="M8" s="1"/>
      <c r="O8" s="2"/>
    </row>
    <row r="9" spans="1:15" ht="15.75">
      <c r="A9"/>
      <c r="B9" s="502" t="s">
        <v>2098</v>
      </c>
      <c r="C9" s="220"/>
      <c r="D9" s="221"/>
      <c r="E9" s="221"/>
      <c r="F9" s="221"/>
      <c r="G9" s="220"/>
      <c r="H9" s="221"/>
      <c r="I9" s="222"/>
      <c r="J9" s="220"/>
      <c r="K9" s="220"/>
      <c r="M9" s="1"/>
      <c r="O9" s="2"/>
    </row>
    <row r="10" spans="1:15" ht="15.75">
      <c r="A10"/>
      <c r="B10" s="224" t="s">
        <v>2086</v>
      </c>
      <c r="C10" s="220"/>
      <c r="D10" s="225"/>
      <c r="E10" s="221"/>
      <c r="F10" s="221"/>
      <c r="G10" s="220"/>
      <c r="H10" s="221"/>
      <c r="I10" s="222"/>
      <c r="J10" s="220"/>
      <c r="K10" s="220"/>
      <c r="M10" s="1"/>
      <c r="O10" s="2"/>
    </row>
    <row r="11" spans="1:15" ht="15.75">
      <c r="A11"/>
      <c r="B11" s="224" t="s">
        <v>1663</v>
      </c>
      <c r="C11" s="220"/>
      <c r="D11" s="225"/>
      <c r="E11" s="221"/>
      <c r="F11" s="221"/>
      <c r="G11" s="220"/>
      <c r="H11" s="221"/>
      <c r="I11" s="222"/>
      <c r="J11" s="220"/>
      <c r="K11" s="220"/>
      <c r="M11" s="1"/>
      <c r="O11" s="2"/>
    </row>
    <row r="12" spans="1:15" ht="15">
      <c r="A12"/>
      <c r="B12" s="220" t="s">
        <v>1046</v>
      </c>
      <c r="C12" s="220"/>
      <c r="D12" s="220"/>
      <c r="E12" s="220"/>
      <c r="F12" s="220"/>
      <c r="G12" s="220"/>
      <c r="H12" s="221"/>
      <c r="I12" s="222"/>
      <c r="J12" s="220"/>
      <c r="K12" s="220"/>
      <c r="M12" s="1"/>
      <c r="O12" s="2"/>
    </row>
    <row r="13" spans="1:15" ht="15.75">
      <c r="A13"/>
      <c r="B13" s="226" t="s">
        <v>1030</v>
      </c>
      <c r="C13" s="227" t="s">
        <v>1031</v>
      </c>
      <c r="D13" s="225"/>
      <c r="E13" s="225"/>
      <c r="F13" s="225"/>
      <c r="G13" s="225"/>
      <c r="H13" s="228"/>
      <c r="I13" s="220"/>
      <c r="J13" s="220"/>
      <c r="K13" s="220"/>
      <c r="M13" s="1"/>
      <c r="O13" s="2"/>
    </row>
    <row r="14" spans="1:15" ht="15.75">
      <c r="A14"/>
      <c r="B14" s="226" t="s">
        <v>1032</v>
      </c>
      <c r="C14" s="223" t="s">
        <v>1033</v>
      </c>
      <c r="D14" s="225"/>
      <c r="E14" s="225"/>
      <c r="F14" s="225"/>
      <c r="G14" s="225"/>
      <c r="H14" s="228"/>
      <c r="I14" s="220"/>
      <c r="J14" s="220"/>
      <c r="K14" s="220"/>
      <c r="M14" s="1"/>
      <c r="O14" s="2"/>
    </row>
    <row r="15" spans="1:15" ht="13.5" customHeight="1">
      <c r="A15"/>
      <c r="B15" s="126"/>
      <c r="C15" s="113"/>
      <c r="D15" s="31"/>
      <c r="E15" s="31"/>
      <c r="F15" s="31"/>
      <c r="G15" s="31"/>
      <c r="H15" s="127"/>
      <c r="I15" s="114"/>
      <c r="J15" s="114"/>
      <c r="M15" s="1"/>
      <c r="O15" s="2"/>
    </row>
    <row r="16" spans="1:15" ht="14.25">
      <c r="A16" s="86"/>
      <c r="B16" s="31"/>
      <c r="C16" s="31"/>
      <c r="D16" s="732" t="s">
        <v>1061</v>
      </c>
      <c r="E16" s="732"/>
      <c r="F16" s="31"/>
      <c r="G16" s="31"/>
      <c r="H16" s="31"/>
      <c r="I16" s="31"/>
      <c r="J16" s="31"/>
      <c r="M16" s="1"/>
      <c r="O16" s="2"/>
    </row>
    <row r="17" spans="1:15" ht="15" customHeight="1" thickBot="1">
      <c r="A17" s="86"/>
      <c r="B17" s="31"/>
      <c r="C17" s="31"/>
      <c r="D17" s="732"/>
      <c r="E17" s="732"/>
      <c r="F17" s="31"/>
      <c r="G17" s="31"/>
      <c r="H17" s="31"/>
      <c r="I17" s="31"/>
      <c r="J17" s="31"/>
      <c r="M17" s="1"/>
      <c r="O17" s="2"/>
    </row>
    <row r="18" spans="1:15" ht="40.5" customHeight="1">
      <c r="A18" s="711" t="s">
        <v>0</v>
      </c>
      <c r="B18" s="714" t="s">
        <v>993</v>
      </c>
      <c r="C18" s="721" t="s">
        <v>2</v>
      </c>
      <c r="D18" s="721" t="s">
        <v>3</v>
      </c>
      <c r="E18" s="697" t="s">
        <v>1038</v>
      </c>
      <c r="F18" s="697" t="s">
        <v>5</v>
      </c>
      <c r="G18" s="721" t="s">
        <v>6</v>
      </c>
      <c r="H18" s="697" t="s">
        <v>7</v>
      </c>
      <c r="I18" s="697" t="s">
        <v>753</v>
      </c>
      <c r="J18" s="697" t="s">
        <v>157</v>
      </c>
      <c r="K18" s="729" t="s">
        <v>992</v>
      </c>
      <c r="L18" s="718" t="s">
        <v>1039</v>
      </c>
      <c r="M18" s="719"/>
      <c r="N18" s="719"/>
      <c r="O18" s="720"/>
    </row>
    <row r="19" spans="1:15" ht="39" customHeight="1">
      <c r="A19" s="712"/>
      <c r="B19" s="715"/>
      <c r="C19" s="722"/>
      <c r="D19" s="722"/>
      <c r="E19" s="698"/>
      <c r="F19" s="698"/>
      <c r="G19" s="722"/>
      <c r="H19" s="698"/>
      <c r="I19" s="727"/>
      <c r="J19" s="698"/>
      <c r="K19" s="730"/>
      <c r="L19" s="737" t="s">
        <v>1040</v>
      </c>
      <c r="M19" s="738"/>
      <c r="N19" s="738"/>
      <c r="O19" s="739"/>
    </row>
    <row r="20" spans="1:15" ht="33" customHeight="1" thickBot="1">
      <c r="A20" s="713"/>
      <c r="B20" s="716"/>
      <c r="C20" s="723"/>
      <c r="D20" s="723"/>
      <c r="E20" s="699"/>
      <c r="F20" s="699"/>
      <c r="G20" s="723"/>
      <c r="H20" s="699"/>
      <c r="I20" s="728"/>
      <c r="J20" s="699"/>
      <c r="K20" s="731"/>
      <c r="L20" s="134" t="s">
        <v>1041</v>
      </c>
      <c r="M20" s="135" t="s">
        <v>1035</v>
      </c>
      <c r="N20" s="135" t="s">
        <v>1036</v>
      </c>
      <c r="O20" s="136" t="s">
        <v>10</v>
      </c>
    </row>
    <row r="21" spans="1:15" ht="30.75">
      <c r="A21" s="275" t="s">
        <v>11</v>
      </c>
      <c r="B21" s="5" t="s">
        <v>12</v>
      </c>
      <c r="C21" s="6" t="s">
        <v>14</v>
      </c>
      <c r="D21" s="6"/>
      <c r="E21" s="6">
        <v>21</v>
      </c>
      <c r="F21" s="6" t="s">
        <v>13</v>
      </c>
      <c r="G21" s="6" t="s">
        <v>14</v>
      </c>
      <c r="H21" s="410" t="s">
        <v>15</v>
      </c>
      <c r="I21" s="240">
        <v>41061</v>
      </c>
      <c r="J21" s="7" t="s">
        <v>16</v>
      </c>
      <c r="K21" s="8">
        <v>1.3</v>
      </c>
      <c r="L21" s="9"/>
      <c r="M21" s="10">
        <f>10170-8784</f>
        <v>1386</v>
      </c>
      <c r="N21" s="10">
        <f>30367-25509</f>
        <v>4858</v>
      </c>
      <c r="O21" s="10">
        <f>SUM(M21:N21)</f>
        <v>6244</v>
      </c>
    </row>
    <row r="22" spans="1:15" ht="30.75">
      <c r="A22" s="275" t="s">
        <v>11</v>
      </c>
      <c r="B22" s="5" t="s">
        <v>12</v>
      </c>
      <c r="C22" s="6" t="s">
        <v>14</v>
      </c>
      <c r="D22" s="6"/>
      <c r="E22" s="6">
        <v>46</v>
      </c>
      <c r="F22" s="6" t="s">
        <v>13</v>
      </c>
      <c r="G22" s="6" t="s">
        <v>14</v>
      </c>
      <c r="H22" s="410" t="s">
        <v>17</v>
      </c>
      <c r="I22" s="240">
        <v>41434</v>
      </c>
      <c r="J22" s="7" t="s">
        <v>16</v>
      </c>
      <c r="K22" s="8">
        <v>2.2</v>
      </c>
      <c r="L22" s="9"/>
      <c r="M22" s="10">
        <f>20226-17419</f>
        <v>2807</v>
      </c>
      <c r="N22" s="10">
        <f>30083-25379</f>
        <v>4704</v>
      </c>
      <c r="O22" s="10">
        <f aca="true" t="shared" si="0" ref="O22:O85">SUM(M22:N22)</f>
        <v>7511</v>
      </c>
    </row>
    <row r="23" spans="1:15" ht="30.75">
      <c r="A23" s="275" t="s">
        <v>11</v>
      </c>
      <c r="B23" s="5" t="s">
        <v>12</v>
      </c>
      <c r="C23" s="6" t="s">
        <v>18</v>
      </c>
      <c r="D23" s="6"/>
      <c r="E23" s="6">
        <v>1</v>
      </c>
      <c r="F23" s="6" t="s">
        <v>19</v>
      </c>
      <c r="G23" s="6" t="s">
        <v>20</v>
      </c>
      <c r="H23" s="410" t="s">
        <v>21</v>
      </c>
      <c r="I23" s="240">
        <v>40405</v>
      </c>
      <c r="J23" s="7" t="s">
        <v>16</v>
      </c>
      <c r="K23" s="8">
        <v>6.6</v>
      </c>
      <c r="L23" s="9"/>
      <c r="M23" s="10">
        <f>21828-18656</f>
        <v>3172</v>
      </c>
      <c r="N23" s="10">
        <f>96336-82020</f>
        <v>14316</v>
      </c>
      <c r="O23" s="10">
        <f t="shared" si="0"/>
        <v>17488</v>
      </c>
    </row>
    <row r="24" spans="1:15" ht="30.75">
      <c r="A24" s="275" t="s">
        <v>11</v>
      </c>
      <c r="B24" s="5" t="s">
        <v>12</v>
      </c>
      <c r="C24" s="6" t="s">
        <v>18</v>
      </c>
      <c r="D24" s="6"/>
      <c r="E24" s="6"/>
      <c r="F24" s="6" t="s">
        <v>19</v>
      </c>
      <c r="G24" s="6" t="s">
        <v>20</v>
      </c>
      <c r="H24" s="410" t="s">
        <v>22</v>
      </c>
      <c r="I24" s="240">
        <v>41433</v>
      </c>
      <c r="J24" s="7" t="s">
        <v>16</v>
      </c>
      <c r="K24" s="8">
        <v>3</v>
      </c>
      <c r="L24" s="9"/>
      <c r="M24" s="10">
        <f>13879-11863</f>
        <v>2016</v>
      </c>
      <c r="N24" s="10">
        <f>44092-36538</f>
        <v>7554</v>
      </c>
      <c r="O24" s="10">
        <f t="shared" si="0"/>
        <v>9570</v>
      </c>
    </row>
    <row r="25" spans="1:15" ht="30.75">
      <c r="A25" s="275" t="s">
        <v>11</v>
      </c>
      <c r="B25" s="5" t="s">
        <v>12</v>
      </c>
      <c r="C25" s="6" t="s">
        <v>23</v>
      </c>
      <c r="D25" s="6"/>
      <c r="E25" s="6">
        <v>15</v>
      </c>
      <c r="F25" s="6" t="s">
        <v>13</v>
      </c>
      <c r="G25" s="6" t="s">
        <v>14</v>
      </c>
      <c r="H25" s="410" t="s">
        <v>24</v>
      </c>
      <c r="I25" s="240">
        <v>41435</v>
      </c>
      <c r="J25" s="7" t="s">
        <v>16</v>
      </c>
      <c r="K25" s="8">
        <v>2.2</v>
      </c>
      <c r="L25" s="9"/>
      <c r="M25" s="10">
        <f>5945-4890</f>
        <v>1055</v>
      </c>
      <c r="N25" s="10">
        <f>19539-15433</f>
        <v>4106</v>
      </c>
      <c r="O25" s="10">
        <f t="shared" si="0"/>
        <v>5161</v>
      </c>
    </row>
    <row r="26" spans="1:15" ht="30.75">
      <c r="A26" s="275" t="s">
        <v>11</v>
      </c>
      <c r="B26" s="5" t="s">
        <v>12</v>
      </c>
      <c r="C26" s="6" t="s">
        <v>14</v>
      </c>
      <c r="D26" s="6"/>
      <c r="E26" s="6" t="s">
        <v>146</v>
      </c>
      <c r="F26" s="6" t="s">
        <v>13</v>
      </c>
      <c r="G26" s="6" t="s">
        <v>14</v>
      </c>
      <c r="H26" s="410" t="s">
        <v>25</v>
      </c>
      <c r="I26" s="240">
        <v>41436</v>
      </c>
      <c r="J26" s="7" t="s">
        <v>16</v>
      </c>
      <c r="K26" s="8">
        <v>0.3</v>
      </c>
      <c r="L26" s="9"/>
      <c r="M26" s="10">
        <f>2020-1750</f>
        <v>270</v>
      </c>
      <c r="N26" s="10">
        <f>6879-5786</f>
        <v>1093</v>
      </c>
      <c r="O26" s="10">
        <f t="shared" si="0"/>
        <v>1363</v>
      </c>
    </row>
    <row r="27" spans="1:15" ht="30.75">
      <c r="A27" s="275" t="s">
        <v>11</v>
      </c>
      <c r="B27" s="5" t="s">
        <v>12</v>
      </c>
      <c r="C27" s="6" t="s">
        <v>1536</v>
      </c>
      <c r="D27" s="6"/>
      <c r="E27" s="6" t="s">
        <v>686</v>
      </c>
      <c r="F27" s="6" t="s">
        <v>13</v>
      </c>
      <c r="G27" s="6" t="s">
        <v>14</v>
      </c>
      <c r="H27" s="410" t="s">
        <v>26</v>
      </c>
      <c r="I27" s="240">
        <v>41057</v>
      </c>
      <c r="J27" s="7" t="s">
        <v>16</v>
      </c>
      <c r="K27" s="8">
        <v>2.2</v>
      </c>
      <c r="L27" s="9"/>
      <c r="M27" s="10">
        <f>7924-6887</f>
        <v>1037</v>
      </c>
      <c r="N27" s="10">
        <f>24422-20773</f>
        <v>3649</v>
      </c>
      <c r="O27" s="10">
        <f t="shared" si="0"/>
        <v>4686</v>
      </c>
    </row>
    <row r="28" spans="1:15" ht="30.75">
      <c r="A28" s="275" t="s">
        <v>11</v>
      </c>
      <c r="B28" s="5" t="s">
        <v>12</v>
      </c>
      <c r="C28" s="6" t="s">
        <v>27</v>
      </c>
      <c r="D28" s="6"/>
      <c r="E28" s="6"/>
      <c r="F28" s="6" t="s">
        <v>13</v>
      </c>
      <c r="G28" s="6" t="s">
        <v>14</v>
      </c>
      <c r="H28" s="410" t="s">
        <v>28</v>
      </c>
      <c r="I28" s="240">
        <v>41053</v>
      </c>
      <c r="J28" s="7" t="s">
        <v>16</v>
      </c>
      <c r="K28" s="8">
        <v>2.2</v>
      </c>
      <c r="L28" s="9"/>
      <c r="M28" s="10">
        <f>12721-10864</f>
        <v>1857</v>
      </c>
      <c r="N28" s="10">
        <f>40358-33579</f>
        <v>6779</v>
      </c>
      <c r="O28" s="10">
        <f t="shared" si="0"/>
        <v>8636</v>
      </c>
    </row>
    <row r="29" spans="1:15" ht="30.75">
      <c r="A29" s="275" t="s">
        <v>11</v>
      </c>
      <c r="B29" s="5" t="s">
        <v>12</v>
      </c>
      <c r="C29" s="6" t="s">
        <v>29</v>
      </c>
      <c r="D29" s="6"/>
      <c r="E29" s="6" t="s">
        <v>146</v>
      </c>
      <c r="F29" s="6" t="s">
        <v>19</v>
      </c>
      <c r="G29" s="6" t="s">
        <v>20</v>
      </c>
      <c r="H29" s="410" t="s">
        <v>30</v>
      </c>
      <c r="I29" s="240">
        <v>41196</v>
      </c>
      <c r="J29" s="7" t="s">
        <v>16</v>
      </c>
      <c r="K29" s="8">
        <v>2.2</v>
      </c>
      <c r="L29" s="9"/>
      <c r="M29" s="10">
        <f>9200-8010</f>
        <v>1190</v>
      </c>
      <c r="N29" s="10">
        <f>28335-23890</f>
        <v>4445</v>
      </c>
      <c r="O29" s="10">
        <f t="shared" si="0"/>
        <v>5635</v>
      </c>
    </row>
    <row r="30" spans="1:15" ht="30.75">
      <c r="A30" s="275" t="s">
        <v>11</v>
      </c>
      <c r="B30" s="5" t="s">
        <v>12</v>
      </c>
      <c r="C30" s="6" t="s">
        <v>29</v>
      </c>
      <c r="D30" s="6"/>
      <c r="E30" s="6" t="s">
        <v>686</v>
      </c>
      <c r="F30" s="6" t="s">
        <v>19</v>
      </c>
      <c r="G30" s="6" t="s">
        <v>20</v>
      </c>
      <c r="H30" s="410" t="s">
        <v>31</v>
      </c>
      <c r="I30" s="240">
        <v>41052</v>
      </c>
      <c r="J30" s="7" t="s">
        <v>16</v>
      </c>
      <c r="K30" s="8">
        <v>2.2</v>
      </c>
      <c r="L30" s="9"/>
      <c r="M30" s="10">
        <f>9589-8188</f>
        <v>1401</v>
      </c>
      <c r="N30" s="10">
        <f>31714-25854</f>
        <v>5860</v>
      </c>
      <c r="O30" s="10">
        <f t="shared" si="0"/>
        <v>7261</v>
      </c>
    </row>
    <row r="31" spans="1:15" ht="30.75">
      <c r="A31" s="275" t="s">
        <v>11</v>
      </c>
      <c r="B31" s="5" t="s">
        <v>12</v>
      </c>
      <c r="C31" s="6" t="s">
        <v>29</v>
      </c>
      <c r="D31" s="6"/>
      <c r="E31" s="6" t="s">
        <v>878</v>
      </c>
      <c r="F31" s="6" t="s">
        <v>19</v>
      </c>
      <c r="G31" s="6" t="s">
        <v>20</v>
      </c>
      <c r="H31" s="410" t="s">
        <v>32</v>
      </c>
      <c r="I31" s="240">
        <v>41438</v>
      </c>
      <c r="J31" s="7" t="s">
        <v>16</v>
      </c>
      <c r="K31" s="8">
        <v>2.2</v>
      </c>
      <c r="L31" s="9"/>
      <c r="M31" s="10">
        <f>4128-3612</f>
        <v>516</v>
      </c>
      <c r="N31" s="10">
        <f>12694-10746</f>
        <v>1948</v>
      </c>
      <c r="O31" s="10">
        <f t="shared" si="0"/>
        <v>2464</v>
      </c>
    </row>
    <row r="32" spans="1:15" ht="30.75">
      <c r="A32" s="275" t="s">
        <v>11</v>
      </c>
      <c r="B32" s="5" t="s">
        <v>12</v>
      </c>
      <c r="C32" s="6" t="s">
        <v>33</v>
      </c>
      <c r="D32" s="6"/>
      <c r="E32" s="6"/>
      <c r="F32" s="6" t="s">
        <v>13</v>
      </c>
      <c r="G32" s="6" t="s">
        <v>14</v>
      </c>
      <c r="H32" s="410" t="s">
        <v>34</v>
      </c>
      <c r="I32" s="240">
        <v>41054</v>
      </c>
      <c r="J32" s="7" t="s">
        <v>16</v>
      </c>
      <c r="K32" s="8">
        <v>0.8</v>
      </c>
      <c r="L32" s="9"/>
      <c r="M32" s="10">
        <f>5801-4929</f>
        <v>872</v>
      </c>
      <c r="N32" s="10">
        <f>18130-14967</f>
        <v>3163</v>
      </c>
      <c r="O32" s="10">
        <f t="shared" si="0"/>
        <v>4035</v>
      </c>
    </row>
    <row r="33" spans="1:15" ht="30.75">
      <c r="A33" s="275" t="s">
        <v>11</v>
      </c>
      <c r="B33" s="5" t="s">
        <v>12</v>
      </c>
      <c r="C33" s="6" t="s">
        <v>35</v>
      </c>
      <c r="D33" s="6"/>
      <c r="E33" s="6"/>
      <c r="F33" s="6" t="s">
        <v>13</v>
      </c>
      <c r="G33" s="6" t="s">
        <v>14</v>
      </c>
      <c r="H33" s="410" t="s">
        <v>36</v>
      </c>
      <c r="I33" s="240">
        <v>41055</v>
      </c>
      <c r="J33" s="7" t="s">
        <v>16</v>
      </c>
      <c r="K33" s="8">
        <v>2.2</v>
      </c>
      <c r="L33" s="9"/>
      <c r="M33" s="10">
        <f>13129-11470</f>
        <v>1659</v>
      </c>
      <c r="N33" s="10">
        <f>38818-32807</f>
        <v>6011</v>
      </c>
      <c r="O33" s="10">
        <f t="shared" si="0"/>
        <v>7670</v>
      </c>
    </row>
    <row r="34" spans="1:15" ht="30.75">
      <c r="A34" s="275" t="s">
        <v>11</v>
      </c>
      <c r="B34" s="5" t="s">
        <v>12</v>
      </c>
      <c r="C34" s="6" t="s">
        <v>35</v>
      </c>
      <c r="D34" s="6"/>
      <c r="E34" s="6">
        <v>5</v>
      </c>
      <c r="F34" s="6" t="s">
        <v>13</v>
      </c>
      <c r="G34" s="6" t="s">
        <v>14</v>
      </c>
      <c r="H34" s="410" t="s">
        <v>37</v>
      </c>
      <c r="I34" s="240">
        <v>41440</v>
      </c>
      <c r="J34" s="7" t="s">
        <v>16</v>
      </c>
      <c r="K34" s="8">
        <v>2.2</v>
      </c>
      <c r="L34" s="9"/>
      <c r="M34" s="10">
        <f>7347-6258</f>
        <v>1089</v>
      </c>
      <c r="N34" s="10">
        <f>20971-17564</f>
        <v>3407</v>
      </c>
      <c r="O34" s="10">
        <f t="shared" si="0"/>
        <v>4496</v>
      </c>
    </row>
    <row r="35" spans="1:15" ht="30.75">
      <c r="A35" s="275" t="s">
        <v>11</v>
      </c>
      <c r="B35" s="5" t="s">
        <v>12</v>
      </c>
      <c r="C35" s="6" t="s">
        <v>39</v>
      </c>
      <c r="D35" s="6"/>
      <c r="E35" s="6">
        <v>80</v>
      </c>
      <c r="F35" s="6" t="s">
        <v>13</v>
      </c>
      <c r="G35" s="6" t="s">
        <v>14</v>
      </c>
      <c r="H35" s="410" t="s">
        <v>38</v>
      </c>
      <c r="I35" s="240">
        <v>41439</v>
      </c>
      <c r="J35" s="7" t="s">
        <v>16</v>
      </c>
      <c r="K35" s="8">
        <v>2.2</v>
      </c>
      <c r="L35" s="9"/>
      <c r="M35" s="10">
        <f>3341-2893</f>
        <v>448</v>
      </c>
      <c r="N35" s="10">
        <f>9942-8482</f>
        <v>1460</v>
      </c>
      <c r="O35" s="10">
        <f t="shared" si="0"/>
        <v>1908</v>
      </c>
    </row>
    <row r="36" spans="1:15" ht="30.75">
      <c r="A36" s="275" t="s">
        <v>11</v>
      </c>
      <c r="B36" s="5" t="s">
        <v>12</v>
      </c>
      <c r="C36" s="6" t="s">
        <v>39</v>
      </c>
      <c r="D36" s="6"/>
      <c r="E36" s="6">
        <v>3</v>
      </c>
      <c r="F36" s="6" t="s">
        <v>13</v>
      </c>
      <c r="G36" s="6" t="s">
        <v>14</v>
      </c>
      <c r="H36" s="410" t="s">
        <v>40</v>
      </c>
      <c r="I36" s="240">
        <v>41437</v>
      </c>
      <c r="J36" s="7" t="s">
        <v>16</v>
      </c>
      <c r="K36" s="8">
        <v>2.2</v>
      </c>
      <c r="L36" s="9"/>
      <c r="M36" s="10">
        <f>7362-6384</f>
        <v>978</v>
      </c>
      <c r="N36" s="10">
        <f>22479-18909</f>
        <v>3570</v>
      </c>
      <c r="O36" s="10">
        <f t="shared" si="0"/>
        <v>4548</v>
      </c>
    </row>
    <row r="37" spans="1:15" ht="30.75">
      <c r="A37" s="275" t="s">
        <v>11</v>
      </c>
      <c r="B37" s="5" t="s">
        <v>12</v>
      </c>
      <c r="C37" s="6" t="s">
        <v>39</v>
      </c>
      <c r="D37" s="6"/>
      <c r="E37" s="6">
        <v>1</v>
      </c>
      <c r="F37" s="6" t="s">
        <v>13</v>
      </c>
      <c r="G37" s="6" t="s">
        <v>14</v>
      </c>
      <c r="H37" s="410" t="s">
        <v>41</v>
      </c>
      <c r="I37" s="240">
        <v>41432</v>
      </c>
      <c r="J37" s="7" t="s">
        <v>16</v>
      </c>
      <c r="K37" s="8">
        <v>2.2</v>
      </c>
      <c r="L37" s="9"/>
      <c r="M37" s="10">
        <f>4792-4166</f>
        <v>626</v>
      </c>
      <c r="N37" s="10">
        <f>14641-12322</f>
        <v>2319</v>
      </c>
      <c r="O37" s="10">
        <f t="shared" si="0"/>
        <v>2945</v>
      </c>
    </row>
    <row r="38" spans="1:15" ht="30.75">
      <c r="A38" s="275" t="s">
        <v>11</v>
      </c>
      <c r="B38" s="5" t="s">
        <v>12</v>
      </c>
      <c r="C38" s="6" t="s">
        <v>39</v>
      </c>
      <c r="D38" s="6"/>
      <c r="E38" s="6">
        <v>2</v>
      </c>
      <c r="F38" s="6" t="s">
        <v>13</v>
      </c>
      <c r="G38" s="6" t="s">
        <v>14</v>
      </c>
      <c r="H38" s="410" t="s">
        <v>42</v>
      </c>
      <c r="I38" s="240">
        <v>41059</v>
      </c>
      <c r="J38" s="7" t="s">
        <v>16</v>
      </c>
      <c r="K38" s="8">
        <v>2.2</v>
      </c>
      <c r="L38" s="9"/>
      <c r="M38" s="10">
        <f>3309-2859</f>
        <v>450</v>
      </c>
      <c r="N38" s="10">
        <f>9991-8416</f>
        <v>1575</v>
      </c>
      <c r="O38" s="10">
        <f t="shared" si="0"/>
        <v>2025</v>
      </c>
    </row>
    <row r="39" spans="1:15" ht="30.75">
      <c r="A39" s="275" t="s">
        <v>11</v>
      </c>
      <c r="B39" s="5" t="s">
        <v>12</v>
      </c>
      <c r="C39" s="11" t="s">
        <v>20</v>
      </c>
      <c r="D39" s="6" t="s">
        <v>43</v>
      </c>
      <c r="E39" s="6">
        <v>16</v>
      </c>
      <c r="F39" s="6" t="s">
        <v>19</v>
      </c>
      <c r="G39" s="6" t="s">
        <v>20</v>
      </c>
      <c r="H39" s="410" t="s">
        <v>44</v>
      </c>
      <c r="I39" s="240">
        <v>41027</v>
      </c>
      <c r="J39" s="7" t="s">
        <v>16</v>
      </c>
      <c r="K39" s="8">
        <v>2.5</v>
      </c>
      <c r="L39" s="9"/>
      <c r="M39" s="10">
        <f>19852-17245</f>
        <v>2607</v>
      </c>
      <c r="N39" s="10">
        <f>61442-52148</f>
        <v>9294</v>
      </c>
      <c r="O39" s="10">
        <f t="shared" si="0"/>
        <v>11901</v>
      </c>
    </row>
    <row r="40" spans="1:15" ht="30.75">
      <c r="A40" s="275" t="s">
        <v>11</v>
      </c>
      <c r="B40" s="5" t="s">
        <v>12</v>
      </c>
      <c r="C40" s="11" t="s">
        <v>20</v>
      </c>
      <c r="D40" s="6" t="s">
        <v>45</v>
      </c>
      <c r="E40" s="6">
        <v>23</v>
      </c>
      <c r="F40" s="6" t="s">
        <v>19</v>
      </c>
      <c r="G40" s="6" t="s">
        <v>20</v>
      </c>
      <c r="H40" s="410" t="s">
        <v>46</v>
      </c>
      <c r="I40" s="240">
        <v>12639</v>
      </c>
      <c r="J40" s="7" t="s">
        <v>16</v>
      </c>
      <c r="K40" s="8">
        <v>6.6</v>
      </c>
      <c r="L40" s="9"/>
      <c r="M40" s="10">
        <f>17545-14817</f>
        <v>2728</v>
      </c>
      <c r="N40" s="10">
        <f>54695-46942</f>
        <v>7753</v>
      </c>
      <c r="O40" s="10">
        <f t="shared" si="0"/>
        <v>10481</v>
      </c>
    </row>
    <row r="41" spans="1:15" ht="30.75">
      <c r="A41" s="275" t="s">
        <v>11</v>
      </c>
      <c r="B41" s="5" t="s">
        <v>12</v>
      </c>
      <c r="C41" s="11" t="s">
        <v>20</v>
      </c>
      <c r="D41" s="6" t="s">
        <v>47</v>
      </c>
      <c r="E41" s="6">
        <v>100</v>
      </c>
      <c r="F41" s="6" t="s">
        <v>19</v>
      </c>
      <c r="G41" s="6" t="s">
        <v>20</v>
      </c>
      <c r="H41" s="410" t="s">
        <v>48</v>
      </c>
      <c r="I41" s="240">
        <v>41369</v>
      </c>
      <c r="J41" s="7" t="s">
        <v>16</v>
      </c>
      <c r="K41" s="8">
        <v>2.2</v>
      </c>
      <c r="L41" s="9"/>
      <c r="M41" s="10">
        <f>7001-6004</f>
        <v>997</v>
      </c>
      <c r="N41" s="10">
        <f>21445-17870</f>
        <v>3575</v>
      </c>
      <c r="O41" s="10">
        <f t="shared" si="0"/>
        <v>4572</v>
      </c>
    </row>
    <row r="42" spans="1:15" ht="30.75">
      <c r="A42" s="275" t="s">
        <v>11</v>
      </c>
      <c r="B42" s="5" t="s">
        <v>12</v>
      </c>
      <c r="C42" s="11" t="s">
        <v>20</v>
      </c>
      <c r="D42" s="6" t="s">
        <v>47</v>
      </c>
      <c r="E42" s="6"/>
      <c r="F42" s="6" t="s">
        <v>19</v>
      </c>
      <c r="G42" s="6" t="s">
        <v>20</v>
      </c>
      <c r="H42" s="410" t="s">
        <v>49</v>
      </c>
      <c r="I42" s="240">
        <v>41371</v>
      </c>
      <c r="J42" s="7" t="s">
        <v>16</v>
      </c>
      <c r="K42" s="8">
        <v>2.2</v>
      </c>
      <c r="L42" s="9"/>
      <c r="M42" s="10">
        <f>15169-12982</f>
        <v>2187</v>
      </c>
      <c r="N42" s="10">
        <f>44949-37505</f>
        <v>7444</v>
      </c>
      <c r="O42" s="10">
        <f t="shared" si="0"/>
        <v>9631</v>
      </c>
    </row>
    <row r="43" spans="1:15" ht="30.75">
      <c r="A43" s="275" t="s">
        <v>11</v>
      </c>
      <c r="B43" s="5" t="s">
        <v>12</v>
      </c>
      <c r="C43" s="11" t="s">
        <v>20</v>
      </c>
      <c r="D43" s="6" t="s">
        <v>50</v>
      </c>
      <c r="E43" s="6">
        <v>94</v>
      </c>
      <c r="F43" s="6" t="s">
        <v>19</v>
      </c>
      <c r="G43" s="6" t="s">
        <v>20</v>
      </c>
      <c r="H43" s="410" t="s">
        <v>51</v>
      </c>
      <c r="I43" s="240">
        <v>41366</v>
      </c>
      <c r="J43" s="7" t="s">
        <v>16</v>
      </c>
      <c r="K43" s="8">
        <v>2.2</v>
      </c>
      <c r="L43" s="9"/>
      <c r="M43" s="10">
        <f>13293-11445</f>
        <v>1848</v>
      </c>
      <c r="N43" s="10">
        <f>39192-33161</f>
        <v>6031</v>
      </c>
      <c r="O43" s="10">
        <f t="shared" si="0"/>
        <v>7879</v>
      </c>
    </row>
    <row r="44" spans="1:15" ht="30.75">
      <c r="A44" s="275" t="s">
        <v>11</v>
      </c>
      <c r="B44" s="5" t="s">
        <v>12</v>
      </c>
      <c r="C44" s="6" t="s">
        <v>52</v>
      </c>
      <c r="D44" s="6"/>
      <c r="E44" s="6" t="s">
        <v>53</v>
      </c>
      <c r="F44" s="6" t="s">
        <v>19</v>
      </c>
      <c r="G44" s="6" t="s">
        <v>20</v>
      </c>
      <c r="H44" s="410" t="s">
        <v>54</v>
      </c>
      <c r="I44" s="240">
        <v>41106</v>
      </c>
      <c r="J44" s="7" t="s">
        <v>16</v>
      </c>
      <c r="K44" s="8">
        <v>2.2</v>
      </c>
      <c r="L44" s="9"/>
      <c r="M44" s="10">
        <f>6217-5300</f>
        <v>917</v>
      </c>
      <c r="N44" s="10">
        <f>18654-15437</f>
        <v>3217</v>
      </c>
      <c r="O44" s="10">
        <f t="shared" si="0"/>
        <v>4134</v>
      </c>
    </row>
    <row r="45" spans="1:15" ht="30.75">
      <c r="A45" s="275" t="s">
        <v>11</v>
      </c>
      <c r="B45" s="5" t="s">
        <v>12</v>
      </c>
      <c r="C45" s="11" t="s">
        <v>20</v>
      </c>
      <c r="D45" s="6" t="s">
        <v>47</v>
      </c>
      <c r="E45" s="6">
        <v>17</v>
      </c>
      <c r="F45" s="6" t="s">
        <v>19</v>
      </c>
      <c r="G45" s="6" t="s">
        <v>20</v>
      </c>
      <c r="H45" s="410" t="s">
        <v>55</v>
      </c>
      <c r="I45" s="240">
        <v>38243</v>
      </c>
      <c r="J45" s="7" t="s">
        <v>16</v>
      </c>
      <c r="K45" s="8">
        <v>6.6</v>
      </c>
      <c r="L45" s="9"/>
      <c r="M45" s="10">
        <f>16855-14185</f>
        <v>2670</v>
      </c>
      <c r="N45" s="10">
        <f>68666-57915</f>
        <v>10751</v>
      </c>
      <c r="O45" s="10">
        <f t="shared" si="0"/>
        <v>13421</v>
      </c>
    </row>
    <row r="46" spans="1:15" ht="30.75">
      <c r="A46" s="275" t="s">
        <v>11</v>
      </c>
      <c r="B46" s="5" t="s">
        <v>12</v>
      </c>
      <c r="C46" s="11" t="s">
        <v>20</v>
      </c>
      <c r="D46" s="6" t="s">
        <v>56</v>
      </c>
      <c r="E46" s="6"/>
      <c r="F46" s="6" t="s">
        <v>19</v>
      </c>
      <c r="G46" s="6" t="s">
        <v>20</v>
      </c>
      <c r="H46" s="410" t="s">
        <v>57</v>
      </c>
      <c r="I46" s="240">
        <v>39396</v>
      </c>
      <c r="J46" s="7" t="s">
        <v>16</v>
      </c>
      <c r="K46" s="8">
        <v>6.6</v>
      </c>
      <c r="L46" s="9"/>
      <c r="M46" s="10">
        <f>17324-14594</f>
        <v>2730</v>
      </c>
      <c r="N46" s="10">
        <f>68023-55854</f>
        <v>12169</v>
      </c>
      <c r="O46" s="10">
        <f t="shared" si="0"/>
        <v>14899</v>
      </c>
    </row>
    <row r="47" spans="1:15" ht="30.75">
      <c r="A47" s="275" t="s">
        <v>11</v>
      </c>
      <c r="B47" s="5" t="s">
        <v>12</v>
      </c>
      <c r="C47" s="11" t="s">
        <v>20</v>
      </c>
      <c r="D47" s="6" t="s">
        <v>58</v>
      </c>
      <c r="E47" s="6"/>
      <c r="F47" s="6" t="s">
        <v>19</v>
      </c>
      <c r="G47" s="6" t="s">
        <v>20</v>
      </c>
      <c r="H47" s="410" t="s">
        <v>59</v>
      </c>
      <c r="I47" s="240">
        <v>41340</v>
      </c>
      <c r="J47" s="7" t="s">
        <v>16</v>
      </c>
      <c r="K47" s="8">
        <v>1.4</v>
      </c>
      <c r="L47" s="9"/>
      <c r="M47" s="10">
        <f>11723-10159</f>
        <v>1564</v>
      </c>
      <c r="N47" s="10">
        <f>37743-31447</f>
        <v>6296</v>
      </c>
      <c r="O47" s="10">
        <f t="shared" si="0"/>
        <v>7860</v>
      </c>
    </row>
    <row r="48" spans="1:15" ht="30.75">
      <c r="A48" s="275" t="s">
        <v>11</v>
      </c>
      <c r="B48" s="5" t="s">
        <v>12</v>
      </c>
      <c r="C48" s="11" t="s">
        <v>20</v>
      </c>
      <c r="D48" s="6" t="s">
        <v>50</v>
      </c>
      <c r="E48" s="6" t="s">
        <v>1535</v>
      </c>
      <c r="F48" s="6" t="s">
        <v>19</v>
      </c>
      <c r="G48" s="6" t="s">
        <v>20</v>
      </c>
      <c r="H48" s="410" t="s">
        <v>60</v>
      </c>
      <c r="I48" s="240">
        <v>36921</v>
      </c>
      <c r="J48" s="7" t="s">
        <v>16</v>
      </c>
      <c r="K48" s="8">
        <v>6.6</v>
      </c>
      <c r="L48" s="9"/>
      <c r="M48" s="10">
        <f>48195-40244</f>
        <v>7951</v>
      </c>
      <c r="N48" s="10">
        <f>196845-163598</f>
        <v>33247</v>
      </c>
      <c r="O48" s="10">
        <f t="shared" si="0"/>
        <v>41198</v>
      </c>
    </row>
    <row r="49" spans="1:15" ht="30.75">
      <c r="A49" s="275" t="s">
        <v>11</v>
      </c>
      <c r="B49" s="5" t="s">
        <v>12</v>
      </c>
      <c r="C49" s="11" t="s">
        <v>20</v>
      </c>
      <c r="D49" s="6" t="s">
        <v>61</v>
      </c>
      <c r="E49" s="6">
        <v>33</v>
      </c>
      <c r="F49" s="6" t="s">
        <v>19</v>
      </c>
      <c r="G49" s="6" t="s">
        <v>20</v>
      </c>
      <c r="H49" s="410" t="s">
        <v>62</v>
      </c>
      <c r="I49" s="240">
        <v>41367</v>
      </c>
      <c r="J49" s="7" t="s">
        <v>16</v>
      </c>
      <c r="K49" s="8">
        <v>2.5</v>
      </c>
      <c r="L49" s="9"/>
      <c r="M49" s="10">
        <f>8554-7352</f>
        <v>1202</v>
      </c>
      <c r="N49" s="10">
        <f>26234-21929</f>
        <v>4305</v>
      </c>
      <c r="O49" s="10">
        <f t="shared" si="0"/>
        <v>5507</v>
      </c>
    </row>
    <row r="50" spans="1:15" ht="30.75">
      <c r="A50" s="275" t="s">
        <v>11</v>
      </c>
      <c r="B50" s="5" t="s">
        <v>12</v>
      </c>
      <c r="C50" s="11" t="s">
        <v>20</v>
      </c>
      <c r="D50" s="6" t="s">
        <v>63</v>
      </c>
      <c r="E50" s="6" t="s">
        <v>146</v>
      </c>
      <c r="F50" s="6" t="s">
        <v>19</v>
      </c>
      <c r="G50" s="6" t="s">
        <v>20</v>
      </c>
      <c r="H50" s="410" t="s">
        <v>64</v>
      </c>
      <c r="I50" s="240">
        <v>41364</v>
      </c>
      <c r="J50" s="7" t="s">
        <v>16</v>
      </c>
      <c r="K50" s="8">
        <v>2.2</v>
      </c>
      <c r="L50" s="9"/>
      <c r="M50" s="10">
        <f>13520-11708</f>
        <v>1812</v>
      </c>
      <c r="N50" s="10">
        <f>42730-35841</f>
        <v>6889</v>
      </c>
      <c r="O50" s="10">
        <f t="shared" si="0"/>
        <v>8701</v>
      </c>
    </row>
    <row r="51" spans="1:15" ht="30.75">
      <c r="A51" s="275" t="s">
        <v>11</v>
      </c>
      <c r="B51" s="5" t="s">
        <v>12</v>
      </c>
      <c r="C51" s="11" t="s">
        <v>20</v>
      </c>
      <c r="D51" s="6" t="s">
        <v>65</v>
      </c>
      <c r="E51" s="6"/>
      <c r="F51" s="6" t="s">
        <v>19</v>
      </c>
      <c r="G51" s="6" t="s">
        <v>20</v>
      </c>
      <c r="H51" s="410" t="s">
        <v>66</v>
      </c>
      <c r="I51" s="240">
        <v>41363</v>
      </c>
      <c r="J51" s="7" t="s">
        <v>16</v>
      </c>
      <c r="K51" s="8">
        <v>2.2</v>
      </c>
      <c r="L51" s="9"/>
      <c r="M51" s="10">
        <f>11257-9642</f>
        <v>1615</v>
      </c>
      <c r="N51" s="10">
        <f>33800-28218</f>
        <v>5582</v>
      </c>
      <c r="O51" s="10">
        <f t="shared" si="0"/>
        <v>7197</v>
      </c>
    </row>
    <row r="52" spans="1:15" ht="30.75">
      <c r="A52" s="275" t="s">
        <v>11</v>
      </c>
      <c r="B52" s="5" t="s">
        <v>12</v>
      </c>
      <c r="C52" s="11" t="s">
        <v>20</v>
      </c>
      <c r="D52" s="6" t="s">
        <v>67</v>
      </c>
      <c r="E52" s="6"/>
      <c r="F52" s="6" t="s">
        <v>19</v>
      </c>
      <c r="G52" s="6" t="s">
        <v>20</v>
      </c>
      <c r="H52" s="410" t="s">
        <v>68</v>
      </c>
      <c r="I52" s="240">
        <v>41362</v>
      </c>
      <c r="J52" s="7" t="s">
        <v>16</v>
      </c>
      <c r="K52" s="8">
        <v>2.2</v>
      </c>
      <c r="L52" s="9"/>
      <c r="M52" s="10">
        <f>7464-6246</f>
        <v>1218</v>
      </c>
      <c r="N52" s="10">
        <f>22422-18188</f>
        <v>4234</v>
      </c>
      <c r="O52" s="10">
        <f t="shared" si="0"/>
        <v>5452</v>
      </c>
    </row>
    <row r="53" spans="1:15" ht="30.75">
      <c r="A53" s="275" t="s">
        <v>11</v>
      </c>
      <c r="B53" s="5" t="s">
        <v>12</v>
      </c>
      <c r="C53" s="11" t="s">
        <v>20</v>
      </c>
      <c r="D53" s="6" t="s">
        <v>69</v>
      </c>
      <c r="E53" s="6">
        <v>3</v>
      </c>
      <c r="F53" s="6" t="s">
        <v>19</v>
      </c>
      <c r="G53" s="6" t="s">
        <v>20</v>
      </c>
      <c r="H53" s="410" t="s">
        <v>70</v>
      </c>
      <c r="I53" s="240">
        <v>41023</v>
      </c>
      <c r="J53" s="7" t="s">
        <v>16</v>
      </c>
      <c r="K53" s="8">
        <v>4</v>
      </c>
      <c r="L53" s="9"/>
      <c r="M53" s="10">
        <f>16793-14536</f>
        <v>2257</v>
      </c>
      <c r="N53" s="10">
        <f>49573-41958</f>
        <v>7615</v>
      </c>
      <c r="O53" s="10">
        <f t="shared" si="0"/>
        <v>9872</v>
      </c>
    </row>
    <row r="54" spans="1:15" ht="30.75">
      <c r="A54" s="275" t="s">
        <v>11</v>
      </c>
      <c r="B54" s="5" t="s">
        <v>12</v>
      </c>
      <c r="C54" s="11" t="s">
        <v>20</v>
      </c>
      <c r="D54" s="6" t="s">
        <v>69</v>
      </c>
      <c r="E54" s="6">
        <v>2</v>
      </c>
      <c r="F54" s="6" t="s">
        <v>19</v>
      </c>
      <c r="G54" s="6" t="s">
        <v>20</v>
      </c>
      <c r="H54" s="410" t="s">
        <v>71</v>
      </c>
      <c r="I54" s="240">
        <v>39307</v>
      </c>
      <c r="J54" s="7" t="s">
        <v>16</v>
      </c>
      <c r="K54" s="8">
        <v>6.6</v>
      </c>
      <c r="L54" s="9"/>
      <c r="M54" s="10">
        <f>12492-10504</f>
        <v>1988</v>
      </c>
      <c r="N54" s="10">
        <f>50133-42196</f>
        <v>7937</v>
      </c>
      <c r="O54" s="10">
        <f t="shared" si="0"/>
        <v>9925</v>
      </c>
    </row>
    <row r="55" spans="1:15" ht="30.75">
      <c r="A55" s="275" t="s">
        <v>11</v>
      </c>
      <c r="B55" s="5" t="s">
        <v>12</v>
      </c>
      <c r="C55" s="5" t="s">
        <v>72</v>
      </c>
      <c r="D55" s="6"/>
      <c r="E55" s="6"/>
      <c r="F55" s="6" t="s">
        <v>19</v>
      </c>
      <c r="G55" s="6" t="s">
        <v>20</v>
      </c>
      <c r="H55" s="410" t="s">
        <v>73</v>
      </c>
      <c r="I55" s="240">
        <v>41104</v>
      </c>
      <c r="J55" s="7" t="s">
        <v>16</v>
      </c>
      <c r="K55" s="8">
        <v>2.2</v>
      </c>
      <c r="L55" s="9"/>
      <c r="M55" s="10">
        <f>8814-7671</f>
        <v>1143</v>
      </c>
      <c r="N55" s="10">
        <f>26387-22456</f>
        <v>3931</v>
      </c>
      <c r="O55" s="10">
        <f t="shared" si="0"/>
        <v>5074</v>
      </c>
    </row>
    <row r="56" spans="1:15" ht="30.75">
      <c r="A56" s="275" t="s">
        <v>11</v>
      </c>
      <c r="B56" s="5" t="s">
        <v>12</v>
      </c>
      <c r="C56" s="5" t="s">
        <v>72</v>
      </c>
      <c r="D56" s="6"/>
      <c r="E56" s="6">
        <v>3</v>
      </c>
      <c r="F56" s="6" t="s">
        <v>19</v>
      </c>
      <c r="G56" s="6" t="s">
        <v>20</v>
      </c>
      <c r="H56" s="410" t="s">
        <v>74</v>
      </c>
      <c r="I56" s="240">
        <v>41111</v>
      </c>
      <c r="J56" s="7" t="s">
        <v>16</v>
      </c>
      <c r="K56" s="8">
        <v>2.2</v>
      </c>
      <c r="L56" s="9"/>
      <c r="M56" s="10">
        <f>6871-5728</f>
        <v>1143</v>
      </c>
      <c r="N56" s="10">
        <f>20711-16687</f>
        <v>4024</v>
      </c>
      <c r="O56" s="10">
        <f t="shared" si="0"/>
        <v>5167</v>
      </c>
    </row>
    <row r="57" spans="1:15" ht="30.75">
      <c r="A57" s="275" t="s">
        <v>11</v>
      </c>
      <c r="B57" s="5" t="s">
        <v>12</v>
      </c>
      <c r="C57" s="11" t="s">
        <v>20</v>
      </c>
      <c r="D57" s="6" t="s">
        <v>75</v>
      </c>
      <c r="E57" s="6">
        <v>47</v>
      </c>
      <c r="F57" s="6" t="s">
        <v>19</v>
      </c>
      <c r="G57" s="6" t="s">
        <v>20</v>
      </c>
      <c r="H57" s="410" t="s">
        <v>76</v>
      </c>
      <c r="I57" s="240">
        <v>41368</v>
      </c>
      <c r="J57" s="7" t="s">
        <v>16</v>
      </c>
      <c r="K57" s="8">
        <v>2.2</v>
      </c>
      <c r="L57" s="9"/>
      <c r="M57" s="10">
        <f>18590-16841</f>
        <v>1749</v>
      </c>
      <c r="N57" s="10">
        <f>55979-48678</f>
        <v>7301</v>
      </c>
      <c r="O57" s="10">
        <f t="shared" si="0"/>
        <v>9050</v>
      </c>
    </row>
    <row r="58" spans="1:15" ht="30.75">
      <c r="A58" s="275" t="s">
        <v>11</v>
      </c>
      <c r="B58" s="5" t="s">
        <v>12</v>
      </c>
      <c r="C58" s="11" t="s">
        <v>20</v>
      </c>
      <c r="D58" s="6" t="s">
        <v>77</v>
      </c>
      <c r="E58" s="6"/>
      <c r="F58" s="6" t="s">
        <v>19</v>
      </c>
      <c r="G58" s="6" t="s">
        <v>20</v>
      </c>
      <c r="H58" s="410" t="s">
        <v>78</v>
      </c>
      <c r="I58" s="240">
        <v>41026</v>
      </c>
      <c r="J58" s="7" t="s">
        <v>16</v>
      </c>
      <c r="K58" s="8">
        <v>0.9</v>
      </c>
      <c r="L58" s="9"/>
      <c r="M58" s="10">
        <f>30530-26442</f>
        <v>4088</v>
      </c>
      <c r="N58" s="10">
        <f>93747-79012</f>
        <v>14735</v>
      </c>
      <c r="O58" s="10">
        <f t="shared" si="0"/>
        <v>18823</v>
      </c>
    </row>
    <row r="59" spans="1:15" ht="30.75">
      <c r="A59" s="275" t="s">
        <v>11</v>
      </c>
      <c r="B59" s="5" t="s">
        <v>12</v>
      </c>
      <c r="C59" s="11" t="s">
        <v>20</v>
      </c>
      <c r="D59" s="6" t="s">
        <v>79</v>
      </c>
      <c r="E59" s="6">
        <v>6</v>
      </c>
      <c r="F59" s="6" t="s">
        <v>19</v>
      </c>
      <c r="G59" s="6" t="s">
        <v>20</v>
      </c>
      <c r="H59" s="410" t="s">
        <v>80</v>
      </c>
      <c r="I59" s="240">
        <v>41029</v>
      </c>
      <c r="J59" s="7" t="s">
        <v>16</v>
      </c>
      <c r="K59" s="8">
        <v>2.2</v>
      </c>
      <c r="L59" s="9"/>
      <c r="M59" s="10">
        <f>8854-7744</f>
        <v>1110</v>
      </c>
      <c r="N59" s="10">
        <f>28205-23954</f>
        <v>4251</v>
      </c>
      <c r="O59" s="10">
        <f t="shared" si="0"/>
        <v>5361</v>
      </c>
    </row>
    <row r="60" spans="1:15" ht="30.75">
      <c r="A60" s="275" t="s">
        <v>11</v>
      </c>
      <c r="B60" s="5" t="s">
        <v>12</v>
      </c>
      <c r="C60" s="11" t="s">
        <v>20</v>
      </c>
      <c r="D60" s="6" t="s">
        <v>81</v>
      </c>
      <c r="E60" s="6">
        <v>21</v>
      </c>
      <c r="F60" s="6" t="s">
        <v>19</v>
      </c>
      <c r="G60" s="6" t="s">
        <v>20</v>
      </c>
      <c r="H60" s="410" t="s">
        <v>82</v>
      </c>
      <c r="I60" s="240">
        <v>41025</v>
      </c>
      <c r="J60" s="7" t="s">
        <v>16</v>
      </c>
      <c r="K60" s="8">
        <v>3</v>
      </c>
      <c r="L60" s="9"/>
      <c r="M60" s="10">
        <f>20842-17799</f>
        <v>3043</v>
      </c>
      <c r="N60" s="10">
        <f>66540-54947</f>
        <v>11593</v>
      </c>
      <c r="O60" s="10">
        <f t="shared" si="0"/>
        <v>14636</v>
      </c>
    </row>
    <row r="61" spans="1:15" ht="30.75">
      <c r="A61" s="275" t="s">
        <v>11</v>
      </c>
      <c r="B61" s="5" t="s">
        <v>12</v>
      </c>
      <c r="C61" s="11" t="s">
        <v>20</v>
      </c>
      <c r="D61" s="6" t="s">
        <v>83</v>
      </c>
      <c r="E61" s="6">
        <v>60</v>
      </c>
      <c r="F61" s="6" t="s">
        <v>19</v>
      </c>
      <c r="G61" s="6" t="s">
        <v>20</v>
      </c>
      <c r="H61" s="410" t="s">
        <v>84</v>
      </c>
      <c r="I61" s="240">
        <v>41030</v>
      </c>
      <c r="J61" s="7" t="s">
        <v>16</v>
      </c>
      <c r="K61" s="8">
        <v>3.5</v>
      </c>
      <c r="L61" s="9"/>
      <c r="M61" s="10">
        <f>11148-9472</f>
        <v>1676</v>
      </c>
      <c r="N61" s="10">
        <f>35819-29632</f>
        <v>6187</v>
      </c>
      <c r="O61" s="10">
        <f t="shared" si="0"/>
        <v>7863</v>
      </c>
    </row>
    <row r="62" spans="1:15" ht="30.75">
      <c r="A62" s="275" t="s">
        <v>11</v>
      </c>
      <c r="B62" s="5" t="s">
        <v>12</v>
      </c>
      <c r="C62" s="11" t="s">
        <v>20</v>
      </c>
      <c r="D62" s="6" t="s">
        <v>85</v>
      </c>
      <c r="E62" s="6">
        <v>15</v>
      </c>
      <c r="F62" s="6" t="s">
        <v>19</v>
      </c>
      <c r="G62" s="6" t="s">
        <v>20</v>
      </c>
      <c r="H62" s="410" t="s">
        <v>86</v>
      </c>
      <c r="I62" s="240">
        <v>41022</v>
      </c>
      <c r="J62" s="7" t="s">
        <v>16</v>
      </c>
      <c r="K62" s="8">
        <v>2.5</v>
      </c>
      <c r="L62" s="9"/>
      <c r="M62" s="10">
        <f>12584-10095</f>
        <v>2489</v>
      </c>
      <c r="N62" s="10">
        <f>37807-29068</f>
        <v>8739</v>
      </c>
      <c r="O62" s="10">
        <f t="shared" si="0"/>
        <v>11228</v>
      </c>
    </row>
    <row r="63" spans="1:15" ht="30.75">
      <c r="A63" s="275" t="s">
        <v>11</v>
      </c>
      <c r="B63" s="5" t="s">
        <v>12</v>
      </c>
      <c r="C63" s="11" t="s">
        <v>20</v>
      </c>
      <c r="D63" s="6" t="s">
        <v>87</v>
      </c>
      <c r="E63" s="6">
        <v>9</v>
      </c>
      <c r="F63" s="6" t="s">
        <v>19</v>
      </c>
      <c r="G63" s="6" t="s">
        <v>20</v>
      </c>
      <c r="H63" s="410" t="s">
        <v>88</v>
      </c>
      <c r="I63" s="240">
        <v>41028</v>
      </c>
      <c r="J63" s="7" t="s">
        <v>16</v>
      </c>
      <c r="K63" s="8">
        <v>2.5</v>
      </c>
      <c r="L63" s="9"/>
      <c r="M63" s="10">
        <f>9080-9079</f>
        <v>1</v>
      </c>
      <c r="N63" s="10">
        <f>28758-28755</f>
        <v>3</v>
      </c>
      <c r="O63" s="10">
        <f t="shared" si="0"/>
        <v>4</v>
      </c>
    </row>
    <row r="64" spans="1:15" ht="30.75">
      <c r="A64" s="275" t="s">
        <v>11</v>
      </c>
      <c r="B64" s="5" t="s">
        <v>12</v>
      </c>
      <c r="C64" s="11" t="s">
        <v>20</v>
      </c>
      <c r="D64" s="6" t="s">
        <v>89</v>
      </c>
      <c r="E64" s="6">
        <v>2</v>
      </c>
      <c r="F64" s="6" t="s">
        <v>19</v>
      </c>
      <c r="G64" s="6" t="s">
        <v>20</v>
      </c>
      <c r="H64" s="410" t="s">
        <v>90</v>
      </c>
      <c r="I64" s="240">
        <v>41031</v>
      </c>
      <c r="J64" s="7" t="s">
        <v>16</v>
      </c>
      <c r="K64" s="8">
        <v>4</v>
      </c>
      <c r="L64" s="9"/>
      <c r="M64" s="10">
        <f>29006-24489</f>
        <v>4517</v>
      </c>
      <c r="N64" s="10">
        <f>90715-73891</f>
        <v>16824</v>
      </c>
      <c r="O64" s="10">
        <f t="shared" si="0"/>
        <v>21341</v>
      </c>
    </row>
    <row r="65" spans="1:15" ht="30.75">
      <c r="A65" s="275" t="s">
        <v>11</v>
      </c>
      <c r="B65" s="5" t="s">
        <v>12</v>
      </c>
      <c r="C65" s="11" t="s">
        <v>20</v>
      </c>
      <c r="D65" s="6" t="s">
        <v>91</v>
      </c>
      <c r="E65" s="6">
        <v>6</v>
      </c>
      <c r="F65" s="6" t="s">
        <v>19</v>
      </c>
      <c r="G65" s="6" t="s">
        <v>20</v>
      </c>
      <c r="H65" s="410" t="s">
        <v>92</v>
      </c>
      <c r="I65" s="240">
        <v>41562</v>
      </c>
      <c r="J65" s="7" t="s">
        <v>16</v>
      </c>
      <c r="K65" s="8">
        <v>3.3</v>
      </c>
      <c r="L65" s="9"/>
      <c r="M65" s="10">
        <f>24906-21590</f>
        <v>3316</v>
      </c>
      <c r="N65" s="10">
        <f>77749-65596</f>
        <v>12153</v>
      </c>
      <c r="O65" s="10">
        <f t="shared" si="0"/>
        <v>15469</v>
      </c>
    </row>
    <row r="66" spans="1:15" ht="30.75">
      <c r="A66" s="275" t="s">
        <v>11</v>
      </c>
      <c r="B66" s="5" t="s">
        <v>12</v>
      </c>
      <c r="C66" s="11" t="s">
        <v>20</v>
      </c>
      <c r="D66" s="6" t="s">
        <v>63</v>
      </c>
      <c r="E66" s="6" t="s">
        <v>686</v>
      </c>
      <c r="F66" s="6" t="s">
        <v>19</v>
      </c>
      <c r="G66" s="6" t="s">
        <v>20</v>
      </c>
      <c r="H66" s="410" t="s">
        <v>93</v>
      </c>
      <c r="I66" s="240">
        <v>36918</v>
      </c>
      <c r="J66" s="7" t="s">
        <v>16</v>
      </c>
      <c r="K66" s="8">
        <v>3.3</v>
      </c>
      <c r="L66" s="9"/>
      <c r="M66" s="10">
        <f>28043-24188</f>
        <v>3855</v>
      </c>
      <c r="N66" s="10">
        <f>113564-97435</f>
        <v>16129</v>
      </c>
      <c r="O66" s="10">
        <f t="shared" si="0"/>
        <v>19984</v>
      </c>
    </row>
    <row r="67" spans="1:15" ht="30.75">
      <c r="A67" s="275" t="s">
        <v>11</v>
      </c>
      <c r="B67" s="5" t="s">
        <v>12</v>
      </c>
      <c r="C67" s="11" t="s">
        <v>20</v>
      </c>
      <c r="D67" s="6" t="s">
        <v>94</v>
      </c>
      <c r="E67" s="6"/>
      <c r="F67" s="6" t="s">
        <v>19</v>
      </c>
      <c r="G67" s="6" t="s">
        <v>20</v>
      </c>
      <c r="H67" s="410" t="s">
        <v>95</v>
      </c>
      <c r="I67" s="240">
        <v>41365</v>
      </c>
      <c r="J67" s="7" t="s">
        <v>16</v>
      </c>
      <c r="K67" s="8">
        <v>3.8</v>
      </c>
      <c r="L67" s="9"/>
      <c r="M67" s="10">
        <f>14241-12430</f>
        <v>1811</v>
      </c>
      <c r="N67" s="10">
        <f>39788-33617</f>
        <v>6171</v>
      </c>
      <c r="O67" s="10">
        <f t="shared" si="0"/>
        <v>7982</v>
      </c>
    </row>
    <row r="68" spans="1:15" ht="30.75">
      <c r="A68" s="275" t="s">
        <v>11</v>
      </c>
      <c r="B68" s="5" t="s">
        <v>12</v>
      </c>
      <c r="C68" s="11" t="s">
        <v>20</v>
      </c>
      <c r="D68" s="6" t="s">
        <v>1500</v>
      </c>
      <c r="E68" s="6" t="s">
        <v>686</v>
      </c>
      <c r="F68" s="6" t="s">
        <v>19</v>
      </c>
      <c r="G68" s="6" t="s">
        <v>20</v>
      </c>
      <c r="H68" s="410" t="s">
        <v>96</v>
      </c>
      <c r="I68" s="240">
        <v>41370</v>
      </c>
      <c r="J68" s="7" t="s">
        <v>16</v>
      </c>
      <c r="K68" s="8">
        <v>2.2</v>
      </c>
      <c r="L68" s="9"/>
      <c r="M68" s="10">
        <f>4062-3506</f>
        <v>556</v>
      </c>
      <c r="N68" s="10">
        <f>12209-10312</f>
        <v>1897</v>
      </c>
      <c r="O68" s="10">
        <f t="shared" si="0"/>
        <v>2453</v>
      </c>
    </row>
    <row r="69" spans="1:15" ht="30.75">
      <c r="A69" s="275" t="s">
        <v>11</v>
      </c>
      <c r="B69" s="5" t="s">
        <v>12</v>
      </c>
      <c r="C69" s="11" t="s">
        <v>20</v>
      </c>
      <c r="D69" s="6" t="s">
        <v>1500</v>
      </c>
      <c r="E69" s="6" t="s">
        <v>146</v>
      </c>
      <c r="F69" s="6" t="s">
        <v>19</v>
      </c>
      <c r="G69" s="6" t="s">
        <v>20</v>
      </c>
      <c r="H69" s="410" t="s">
        <v>97</v>
      </c>
      <c r="I69" s="240">
        <v>41335</v>
      </c>
      <c r="J69" s="7" t="s">
        <v>16</v>
      </c>
      <c r="K69" s="8">
        <v>2.5</v>
      </c>
      <c r="L69" s="9"/>
      <c r="M69" s="10">
        <f>20740-17803</f>
        <v>2937</v>
      </c>
      <c r="N69" s="10">
        <f>62120-52084</f>
        <v>10036</v>
      </c>
      <c r="O69" s="10">
        <f t="shared" si="0"/>
        <v>12973</v>
      </c>
    </row>
    <row r="70" spans="1:15" ht="30.75">
      <c r="A70" s="275" t="s">
        <v>11</v>
      </c>
      <c r="B70" s="5" t="s">
        <v>12</v>
      </c>
      <c r="C70" s="6" t="s">
        <v>98</v>
      </c>
      <c r="D70" s="6"/>
      <c r="E70" s="6">
        <v>16</v>
      </c>
      <c r="F70" s="6" t="s">
        <v>19</v>
      </c>
      <c r="G70" s="6" t="s">
        <v>20</v>
      </c>
      <c r="H70" s="410" t="s">
        <v>99</v>
      </c>
      <c r="I70" s="240">
        <v>41192</v>
      </c>
      <c r="J70" s="7" t="s">
        <v>16</v>
      </c>
      <c r="K70" s="8">
        <v>1</v>
      </c>
      <c r="L70" s="9"/>
      <c r="M70" s="10">
        <f>6997-6997</f>
        <v>0</v>
      </c>
      <c r="N70" s="10">
        <f>22095-22095</f>
        <v>0</v>
      </c>
      <c r="O70" s="10">
        <f t="shared" si="0"/>
        <v>0</v>
      </c>
    </row>
    <row r="71" spans="1:15" ht="30.75">
      <c r="A71" s="275" t="s">
        <v>11</v>
      </c>
      <c r="B71" s="5" t="s">
        <v>12</v>
      </c>
      <c r="C71" s="6" t="s">
        <v>100</v>
      </c>
      <c r="D71" s="6"/>
      <c r="E71" s="6" t="s">
        <v>146</v>
      </c>
      <c r="F71" s="6" t="s">
        <v>19</v>
      </c>
      <c r="G71" s="6" t="s">
        <v>20</v>
      </c>
      <c r="H71" s="410" t="s">
        <v>101</v>
      </c>
      <c r="I71" s="240">
        <v>41334</v>
      </c>
      <c r="J71" s="7" t="s">
        <v>16</v>
      </c>
      <c r="K71" s="8">
        <v>0.3</v>
      </c>
      <c r="L71" s="9"/>
      <c r="M71" s="10">
        <f>2152-1849</f>
        <v>303</v>
      </c>
      <c r="N71" s="10">
        <f>6654-5495</f>
        <v>1159</v>
      </c>
      <c r="O71" s="10">
        <f t="shared" si="0"/>
        <v>1462</v>
      </c>
    </row>
    <row r="72" spans="1:15" ht="30.75">
      <c r="A72" s="275" t="s">
        <v>11</v>
      </c>
      <c r="B72" s="5" t="s">
        <v>12</v>
      </c>
      <c r="C72" s="6" t="s">
        <v>102</v>
      </c>
      <c r="D72" s="6"/>
      <c r="E72" s="6">
        <v>3</v>
      </c>
      <c r="F72" s="6" t="s">
        <v>19</v>
      </c>
      <c r="G72" s="6" t="s">
        <v>20</v>
      </c>
      <c r="H72" s="410" t="s">
        <v>103</v>
      </c>
      <c r="I72" s="240">
        <v>41102</v>
      </c>
      <c r="J72" s="7" t="s">
        <v>16</v>
      </c>
      <c r="K72" s="8">
        <v>3</v>
      </c>
      <c r="L72" s="9"/>
      <c r="M72" s="10">
        <f>10030-8695</f>
        <v>1335</v>
      </c>
      <c r="N72" s="10">
        <f>30405-25662</f>
        <v>4743</v>
      </c>
      <c r="O72" s="10">
        <f t="shared" si="0"/>
        <v>6078</v>
      </c>
    </row>
    <row r="73" spans="1:15" ht="30.75">
      <c r="A73" s="275" t="s">
        <v>11</v>
      </c>
      <c r="B73" s="5" t="s">
        <v>12</v>
      </c>
      <c r="C73" s="6" t="s">
        <v>98</v>
      </c>
      <c r="D73" s="6"/>
      <c r="E73" s="6" t="s">
        <v>104</v>
      </c>
      <c r="F73" s="6" t="s">
        <v>19</v>
      </c>
      <c r="G73" s="6" t="s">
        <v>20</v>
      </c>
      <c r="H73" s="410" t="s">
        <v>105</v>
      </c>
      <c r="I73" s="240">
        <v>41193</v>
      </c>
      <c r="J73" s="7" t="s">
        <v>16</v>
      </c>
      <c r="K73" s="8">
        <v>1</v>
      </c>
      <c r="L73" s="9"/>
      <c r="M73" s="10">
        <f>10375-8982</f>
        <v>1393</v>
      </c>
      <c r="N73" s="10">
        <f>32495-27302</f>
        <v>5193</v>
      </c>
      <c r="O73" s="10">
        <f t="shared" si="0"/>
        <v>6586</v>
      </c>
    </row>
    <row r="74" spans="1:15" ht="30.75">
      <c r="A74" s="275" t="s">
        <v>11</v>
      </c>
      <c r="B74" s="5" t="s">
        <v>12</v>
      </c>
      <c r="C74" s="6" t="s">
        <v>106</v>
      </c>
      <c r="D74" s="6"/>
      <c r="E74" s="6">
        <v>41</v>
      </c>
      <c r="F74" s="6" t="s">
        <v>19</v>
      </c>
      <c r="G74" s="6" t="s">
        <v>20</v>
      </c>
      <c r="H74" s="410" t="s">
        <v>107</v>
      </c>
      <c r="I74" s="240">
        <v>40407</v>
      </c>
      <c r="J74" s="7" t="s">
        <v>16</v>
      </c>
      <c r="K74" s="8">
        <v>6.6</v>
      </c>
      <c r="L74" s="9"/>
      <c r="M74" s="10">
        <f>25079-21413</f>
        <v>3666</v>
      </c>
      <c r="N74" s="10">
        <f>103437-88243</f>
        <v>15194</v>
      </c>
      <c r="O74" s="10">
        <f t="shared" si="0"/>
        <v>18860</v>
      </c>
    </row>
    <row r="75" spans="1:15" ht="30.75">
      <c r="A75" s="275" t="s">
        <v>11</v>
      </c>
      <c r="B75" s="5" t="s">
        <v>12</v>
      </c>
      <c r="C75" s="6" t="s">
        <v>106</v>
      </c>
      <c r="D75" s="6"/>
      <c r="E75" s="6">
        <v>92</v>
      </c>
      <c r="F75" s="6" t="s">
        <v>19</v>
      </c>
      <c r="G75" s="6" t="s">
        <v>20</v>
      </c>
      <c r="H75" s="410" t="s">
        <v>108</v>
      </c>
      <c r="I75" s="240">
        <v>40484</v>
      </c>
      <c r="J75" s="7" t="s">
        <v>16</v>
      </c>
      <c r="K75" s="8">
        <v>6.6</v>
      </c>
      <c r="L75" s="9"/>
      <c r="M75" s="10">
        <f>12154-10333</f>
        <v>1821</v>
      </c>
      <c r="N75" s="10">
        <f>50636-42893</f>
        <v>7743</v>
      </c>
      <c r="O75" s="10">
        <f t="shared" si="0"/>
        <v>9564</v>
      </c>
    </row>
    <row r="76" spans="1:15" ht="30.75">
      <c r="A76" s="275" t="s">
        <v>11</v>
      </c>
      <c r="B76" s="5" t="s">
        <v>12</v>
      </c>
      <c r="C76" s="6" t="s">
        <v>106</v>
      </c>
      <c r="D76" s="6"/>
      <c r="E76" s="6">
        <v>99</v>
      </c>
      <c r="F76" s="6" t="s">
        <v>19</v>
      </c>
      <c r="G76" s="6" t="s">
        <v>20</v>
      </c>
      <c r="H76" s="410" t="s">
        <v>109</v>
      </c>
      <c r="I76" s="240">
        <v>41199</v>
      </c>
      <c r="J76" s="7" t="s">
        <v>16</v>
      </c>
      <c r="K76" s="8">
        <v>2.2</v>
      </c>
      <c r="L76" s="9"/>
      <c r="M76" s="10">
        <f>3817-3310</f>
        <v>507</v>
      </c>
      <c r="N76" s="10">
        <f>11333-9561</f>
        <v>1772</v>
      </c>
      <c r="O76" s="10">
        <f t="shared" si="0"/>
        <v>2279</v>
      </c>
    </row>
    <row r="77" spans="1:15" ht="30.75">
      <c r="A77" s="275" t="s">
        <v>11</v>
      </c>
      <c r="B77" s="5" t="s">
        <v>12</v>
      </c>
      <c r="C77" s="6" t="s">
        <v>110</v>
      </c>
      <c r="D77" s="6"/>
      <c r="E77" s="6" t="s">
        <v>146</v>
      </c>
      <c r="F77" s="6" t="s">
        <v>19</v>
      </c>
      <c r="G77" s="6" t="s">
        <v>20</v>
      </c>
      <c r="H77" s="410" t="s">
        <v>111</v>
      </c>
      <c r="I77" s="240">
        <v>41341</v>
      </c>
      <c r="J77" s="7" t="s">
        <v>16</v>
      </c>
      <c r="K77" s="8">
        <v>0.9</v>
      </c>
      <c r="L77" s="9"/>
      <c r="M77" s="10">
        <f>12178-10675</f>
        <v>1503</v>
      </c>
      <c r="N77" s="10">
        <f>39009-33072</f>
        <v>5937</v>
      </c>
      <c r="O77" s="10">
        <f t="shared" si="0"/>
        <v>7440</v>
      </c>
    </row>
    <row r="78" spans="1:15" ht="30.75">
      <c r="A78" s="275" t="s">
        <v>11</v>
      </c>
      <c r="B78" s="5" t="s">
        <v>12</v>
      </c>
      <c r="C78" s="6" t="s">
        <v>110</v>
      </c>
      <c r="D78" s="6"/>
      <c r="E78" s="6" t="s">
        <v>686</v>
      </c>
      <c r="F78" s="6" t="s">
        <v>19</v>
      </c>
      <c r="G78" s="6" t="s">
        <v>20</v>
      </c>
      <c r="H78" s="410" t="s">
        <v>112</v>
      </c>
      <c r="I78" s="240">
        <v>41339</v>
      </c>
      <c r="J78" s="7" t="s">
        <v>16</v>
      </c>
      <c r="K78" s="8">
        <v>0.9</v>
      </c>
      <c r="L78" s="9"/>
      <c r="M78" s="10">
        <f>8068-6949</f>
        <v>1119</v>
      </c>
      <c r="N78" s="10">
        <f>23786-20022</f>
        <v>3764</v>
      </c>
      <c r="O78" s="10">
        <f t="shared" si="0"/>
        <v>4883</v>
      </c>
    </row>
    <row r="79" spans="1:15" ht="30.75">
      <c r="A79" s="275" t="s">
        <v>11</v>
      </c>
      <c r="B79" s="5" t="s">
        <v>12</v>
      </c>
      <c r="C79" s="6" t="s">
        <v>113</v>
      </c>
      <c r="D79" s="6"/>
      <c r="E79" s="6">
        <v>160</v>
      </c>
      <c r="F79" s="6" t="s">
        <v>19</v>
      </c>
      <c r="G79" s="6" t="s">
        <v>20</v>
      </c>
      <c r="H79" s="410" t="s">
        <v>114</v>
      </c>
      <c r="I79" s="240">
        <v>70526302</v>
      </c>
      <c r="J79" s="7" t="s">
        <v>16</v>
      </c>
      <c r="K79" s="8">
        <v>3.3</v>
      </c>
      <c r="L79" s="9"/>
      <c r="M79" s="10">
        <f>15197-12988</f>
        <v>2209</v>
      </c>
      <c r="N79" s="10">
        <f>68438-57538</f>
        <v>10900</v>
      </c>
      <c r="O79" s="10">
        <f t="shared" si="0"/>
        <v>13109</v>
      </c>
    </row>
    <row r="80" spans="1:15" ht="30.75">
      <c r="A80" s="275" t="s">
        <v>11</v>
      </c>
      <c r="B80" s="5" t="s">
        <v>12</v>
      </c>
      <c r="C80" s="6" t="s">
        <v>113</v>
      </c>
      <c r="D80" s="6"/>
      <c r="E80" s="6">
        <v>90</v>
      </c>
      <c r="F80" s="6" t="s">
        <v>19</v>
      </c>
      <c r="G80" s="6" t="s">
        <v>20</v>
      </c>
      <c r="H80" s="410" t="s">
        <v>115</v>
      </c>
      <c r="I80" s="240">
        <v>38240</v>
      </c>
      <c r="J80" s="7" t="s">
        <v>16</v>
      </c>
      <c r="K80" s="8">
        <v>2.9</v>
      </c>
      <c r="L80" s="9"/>
      <c r="M80" s="10">
        <f>10703-9080</f>
        <v>1623</v>
      </c>
      <c r="N80" s="10">
        <f>44330-37567</f>
        <v>6763</v>
      </c>
      <c r="O80" s="10">
        <f t="shared" si="0"/>
        <v>8386</v>
      </c>
    </row>
    <row r="81" spans="1:15" ht="30.75">
      <c r="A81" s="275" t="s">
        <v>11</v>
      </c>
      <c r="B81" s="5" t="s">
        <v>12</v>
      </c>
      <c r="C81" s="6" t="s">
        <v>113</v>
      </c>
      <c r="D81" s="6"/>
      <c r="E81" s="6">
        <v>139</v>
      </c>
      <c r="F81" s="6" t="s">
        <v>19</v>
      </c>
      <c r="G81" s="6" t="s">
        <v>20</v>
      </c>
      <c r="H81" s="410" t="s">
        <v>116</v>
      </c>
      <c r="I81" s="240">
        <v>39312</v>
      </c>
      <c r="J81" s="7" t="s">
        <v>16</v>
      </c>
      <c r="K81" s="8">
        <v>2.2</v>
      </c>
      <c r="L81" s="9"/>
      <c r="M81" s="10">
        <f>9668-8220</f>
        <v>1448</v>
      </c>
      <c r="N81" s="10">
        <f>39981-34057</f>
        <v>5924</v>
      </c>
      <c r="O81" s="10">
        <f t="shared" si="0"/>
        <v>7372</v>
      </c>
    </row>
    <row r="82" spans="1:15" ht="30.75">
      <c r="A82" s="275" t="s">
        <v>11</v>
      </c>
      <c r="B82" s="5" t="s">
        <v>12</v>
      </c>
      <c r="C82" s="6" t="s">
        <v>113</v>
      </c>
      <c r="D82" s="6" t="s">
        <v>117</v>
      </c>
      <c r="E82" s="6">
        <v>90</v>
      </c>
      <c r="F82" s="6" t="s">
        <v>19</v>
      </c>
      <c r="G82" s="6" t="s">
        <v>20</v>
      </c>
      <c r="H82" s="410" t="s">
        <v>118</v>
      </c>
      <c r="I82" s="240">
        <v>38238</v>
      </c>
      <c r="J82" s="7" t="s">
        <v>16</v>
      </c>
      <c r="K82" s="8">
        <v>2.3</v>
      </c>
      <c r="L82" s="9"/>
      <c r="M82" s="10">
        <f>14429-12220</f>
        <v>2209</v>
      </c>
      <c r="N82" s="10">
        <f>58517-49683</f>
        <v>8834</v>
      </c>
      <c r="O82" s="10">
        <f t="shared" si="0"/>
        <v>11043</v>
      </c>
    </row>
    <row r="83" spans="1:15" ht="30.75">
      <c r="A83" s="275" t="s">
        <v>11</v>
      </c>
      <c r="B83" s="5" t="s">
        <v>12</v>
      </c>
      <c r="C83" s="6" t="s">
        <v>113</v>
      </c>
      <c r="D83" s="6"/>
      <c r="E83" s="6">
        <v>34</v>
      </c>
      <c r="F83" s="6" t="s">
        <v>19</v>
      </c>
      <c r="G83" s="6" t="s">
        <v>20</v>
      </c>
      <c r="H83" s="410" t="s">
        <v>119</v>
      </c>
      <c r="I83" s="240">
        <v>36923</v>
      </c>
      <c r="J83" s="7" t="s">
        <v>16</v>
      </c>
      <c r="K83" s="8">
        <v>2.4</v>
      </c>
      <c r="L83" s="9"/>
      <c r="M83" s="10">
        <f>12004-10247</f>
        <v>1757</v>
      </c>
      <c r="N83" s="10">
        <f>48921-41492</f>
        <v>7429</v>
      </c>
      <c r="O83" s="10">
        <f t="shared" si="0"/>
        <v>9186</v>
      </c>
    </row>
    <row r="84" spans="1:15" ht="30.75">
      <c r="A84" s="275" t="s">
        <v>11</v>
      </c>
      <c r="B84" s="5" t="s">
        <v>12</v>
      </c>
      <c r="C84" s="6" t="s">
        <v>120</v>
      </c>
      <c r="D84" s="6"/>
      <c r="E84" s="6">
        <v>11</v>
      </c>
      <c r="F84" s="6" t="s">
        <v>19</v>
      </c>
      <c r="G84" s="6" t="s">
        <v>20</v>
      </c>
      <c r="H84" s="410" t="s">
        <v>121</v>
      </c>
      <c r="I84" s="240">
        <v>41332</v>
      </c>
      <c r="J84" s="7" t="s">
        <v>16</v>
      </c>
      <c r="K84" s="8">
        <v>2.2</v>
      </c>
      <c r="L84" s="9"/>
      <c r="M84" s="10">
        <f>14041-12165</f>
        <v>1876</v>
      </c>
      <c r="N84" s="10">
        <f>42600-36084</f>
        <v>6516</v>
      </c>
      <c r="O84" s="10">
        <f t="shared" si="0"/>
        <v>8392</v>
      </c>
    </row>
    <row r="85" spans="1:15" ht="30.75">
      <c r="A85" s="275" t="s">
        <v>11</v>
      </c>
      <c r="B85" s="5" t="s">
        <v>12</v>
      </c>
      <c r="C85" s="6" t="s">
        <v>122</v>
      </c>
      <c r="D85" s="6"/>
      <c r="E85" s="6"/>
      <c r="F85" s="6" t="s">
        <v>19</v>
      </c>
      <c r="G85" s="6" t="s">
        <v>20</v>
      </c>
      <c r="H85" s="410" t="s">
        <v>123</v>
      </c>
      <c r="I85" s="240">
        <v>41338</v>
      </c>
      <c r="J85" s="7" t="s">
        <v>16</v>
      </c>
      <c r="K85" s="8">
        <v>2.2</v>
      </c>
      <c r="L85" s="9"/>
      <c r="M85" s="10">
        <f>4699-4026</f>
        <v>673</v>
      </c>
      <c r="N85" s="10">
        <f>12952-10972</f>
        <v>1980</v>
      </c>
      <c r="O85" s="10">
        <f t="shared" si="0"/>
        <v>2653</v>
      </c>
    </row>
    <row r="86" spans="1:15" ht="30.75">
      <c r="A86" s="275" t="s">
        <v>11</v>
      </c>
      <c r="B86" s="5" t="s">
        <v>12</v>
      </c>
      <c r="C86" s="6" t="s">
        <v>124</v>
      </c>
      <c r="D86" s="6"/>
      <c r="E86" s="6">
        <v>6</v>
      </c>
      <c r="F86" s="6" t="s">
        <v>19</v>
      </c>
      <c r="G86" s="6" t="s">
        <v>20</v>
      </c>
      <c r="H86" s="410" t="s">
        <v>125</v>
      </c>
      <c r="I86" s="240">
        <v>41058</v>
      </c>
      <c r="J86" s="7" t="s">
        <v>16</v>
      </c>
      <c r="K86" s="8">
        <v>1</v>
      </c>
      <c r="L86" s="9"/>
      <c r="M86" s="10">
        <f>8071-6998</f>
        <v>1073</v>
      </c>
      <c r="N86" s="10">
        <f>23857-20185</f>
        <v>3672</v>
      </c>
      <c r="O86" s="10">
        <f aca="true" t="shared" si="1" ref="O86:O106">SUM(M86:N86)</f>
        <v>4745</v>
      </c>
    </row>
    <row r="87" spans="1:15" ht="30.75">
      <c r="A87" s="275" t="s">
        <v>11</v>
      </c>
      <c r="B87" s="5" t="s">
        <v>12</v>
      </c>
      <c r="C87" s="6" t="s">
        <v>124</v>
      </c>
      <c r="D87" s="6"/>
      <c r="E87" s="6">
        <v>38</v>
      </c>
      <c r="F87" s="6" t="s">
        <v>19</v>
      </c>
      <c r="G87" s="6" t="s">
        <v>20</v>
      </c>
      <c r="H87" s="410" t="s">
        <v>126</v>
      </c>
      <c r="I87" s="240">
        <v>41060</v>
      </c>
      <c r="J87" s="7" t="s">
        <v>16</v>
      </c>
      <c r="K87" s="8">
        <v>2.2</v>
      </c>
      <c r="L87" s="9"/>
      <c r="M87" s="10">
        <f>6282-5484</f>
        <v>798</v>
      </c>
      <c r="N87" s="10">
        <f>19342-16481</f>
        <v>2861</v>
      </c>
      <c r="O87" s="10">
        <f t="shared" si="1"/>
        <v>3659</v>
      </c>
    </row>
    <row r="88" spans="1:15" ht="30.75">
      <c r="A88" s="275" t="s">
        <v>11</v>
      </c>
      <c r="B88" s="5" t="s">
        <v>12</v>
      </c>
      <c r="C88" s="218" t="s">
        <v>124</v>
      </c>
      <c r="D88" s="6" t="s">
        <v>1528</v>
      </c>
      <c r="E88" s="6"/>
      <c r="F88" s="6" t="s">
        <v>19</v>
      </c>
      <c r="G88" s="6" t="s">
        <v>20</v>
      </c>
      <c r="H88" s="410" t="s">
        <v>127</v>
      </c>
      <c r="I88" s="240">
        <v>41024</v>
      </c>
      <c r="J88" s="7" t="s">
        <v>16</v>
      </c>
      <c r="K88" s="8">
        <v>2.2</v>
      </c>
      <c r="L88" s="9"/>
      <c r="M88" s="10">
        <f>2020-1756</f>
        <v>264</v>
      </c>
      <c r="N88" s="10">
        <f>6437-5375</f>
        <v>1062</v>
      </c>
      <c r="O88" s="10">
        <f t="shared" si="1"/>
        <v>1326</v>
      </c>
    </row>
    <row r="89" spans="1:15" ht="30.75">
      <c r="A89" s="275" t="s">
        <v>11</v>
      </c>
      <c r="B89" s="5" t="s">
        <v>12</v>
      </c>
      <c r="C89" s="6" t="s">
        <v>128</v>
      </c>
      <c r="D89" s="6"/>
      <c r="E89" s="6">
        <v>14</v>
      </c>
      <c r="F89" s="6" t="s">
        <v>19</v>
      </c>
      <c r="G89" s="6" t="s">
        <v>20</v>
      </c>
      <c r="H89" s="410" t="s">
        <v>129</v>
      </c>
      <c r="I89" s="240">
        <v>41198</v>
      </c>
      <c r="J89" s="7" t="s">
        <v>16</v>
      </c>
      <c r="K89" s="8">
        <v>3.5</v>
      </c>
      <c r="L89" s="9"/>
      <c r="M89" s="10">
        <f>12955-11286</f>
        <v>1669</v>
      </c>
      <c r="N89" s="10">
        <f>40706-34351</f>
        <v>6355</v>
      </c>
      <c r="O89" s="10">
        <f t="shared" si="1"/>
        <v>8024</v>
      </c>
    </row>
    <row r="90" spans="1:15" ht="30.75">
      <c r="A90" s="275" t="s">
        <v>11</v>
      </c>
      <c r="B90" s="5" t="s">
        <v>12</v>
      </c>
      <c r="C90" s="6" t="s">
        <v>100</v>
      </c>
      <c r="D90" s="6"/>
      <c r="E90" s="6" t="s">
        <v>686</v>
      </c>
      <c r="F90" s="6" t="s">
        <v>19</v>
      </c>
      <c r="G90" s="6" t="s">
        <v>20</v>
      </c>
      <c r="H90" s="410" t="s">
        <v>130</v>
      </c>
      <c r="I90" s="240">
        <v>39305</v>
      </c>
      <c r="J90" s="7" t="s">
        <v>16</v>
      </c>
      <c r="K90" s="8">
        <v>6.6</v>
      </c>
      <c r="L90" s="9"/>
      <c r="M90" s="10">
        <f>5465-4682</f>
        <v>783</v>
      </c>
      <c r="N90" s="10">
        <f>21731-18592</f>
        <v>3139</v>
      </c>
      <c r="O90" s="10">
        <f t="shared" si="1"/>
        <v>3922</v>
      </c>
    </row>
    <row r="91" spans="1:15" ht="30.75">
      <c r="A91" s="275" t="s">
        <v>11</v>
      </c>
      <c r="B91" s="5" t="s">
        <v>12</v>
      </c>
      <c r="C91" s="6" t="s">
        <v>100</v>
      </c>
      <c r="D91" s="6"/>
      <c r="E91" s="6" t="s">
        <v>878</v>
      </c>
      <c r="F91" s="6" t="s">
        <v>19</v>
      </c>
      <c r="G91" s="6" t="s">
        <v>20</v>
      </c>
      <c r="H91" s="410" t="s">
        <v>131</v>
      </c>
      <c r="I91" s="240">
        <v>36915</v>
      </c>
      <c r="J91" s="7" t="s">
        <v>16</v>
      </c>
      <c r="K91" s="8">
        <v>2.4</v>
      </c>
      <c r="L91" s="9"/>
      <c r="M91" s="10">
        <f>10773-8908</f>
        <v>1865</v>
      </c>
      <c r="N91" s="10">
        <f>44418-36835</f>
        <v>7583</v>
      </c>
      <c r="O91" s="10">
        <f t="shared" si="1"/>
        <v>9448</v>
      </c>
    </row>
    <row r="92" spans="1:15" ht="30.75">
      <c r="A92" s="275" t="s">
        <v>11</v>
      </c>
      <c r="B92" s="5" t="s">
        <v>12</v>
      </c>
      <c r="C92" s="6" t="s">
        <v>100</v>
      </c>
      <c r="D92" s="6"/>
      <c r="E92" s="6" t="s">
        <v>319</v>
      </c>
      <c r="F92" s="6" t="s">
        <v>19</v>
      </c>
      <c r="G92" s="6" t="s">
        <v>20</v>
      </c>
      <c r="H92" s="410" t="s">
        <v>132</v>
      </c>
      <c r="I92" s="240">
        <v>36917</v>
      </c>
      <c r="J92" s="7" t="s">
        <v>16</v>
      </c>
      <c r="K92" s="8">
        <v>6.6</v>
      </c>
      <c r="L92" s="9"/>
      <c r="M92" s="10">
        <f>9604-8049</f>
        <v>1555</v>
      </c>
      <c r="N92" s="10">
        <f>39495-33125</f>
        <v>6370</v>
      </c>
      <c r="O92" s="10">
        <f t="shared" si="1"/>
        <v>7925</v>
      </c>
    </row>
    <row r="93" spans="1:15" ht="30.75">
      <c r="A93" s="275" t="s">
        <v>11</v>
      </c>
      <c r="B93" s="5" t="s">
        <v>12</v>
      </c>
      <c r="C93" s="6" t="s">
        <v>133</v>
      </c>
      <c r="D93" s="6"/>
      <c r="E93" s="6"/>
      <c r="F93" s="6" t="s">
        <v>19</v>
      </c>
      <c r="G93" s="6" t="s">
        <v>20</v>
      </c>
      <c r="H93" s="410" t="s">
        <v>134</v>
      </c>
      <c r="I93" s="240">
        <v>41105</v>
      </c>
      <c r="J93" s="7" t="s">
        <v>16</v>
      </c>
      <c r="K93" s="8">
        <v>2.2</v>
      </c>
      <c r="L93" s="9"/>
      <c r="M93" s="10">
        <f>5453-4734</f>
        <v>719</v>
      </c>
      <c r="N93" s="10">
        <f>16830-14270</f>
        <v>2560</v>
      </c>
      <c r="O93" s="10">
        <f t="shared" si="1"/>
        <v>3279</v>
      </c>
    </row>
    <row r="94" spans="1:15" ht="30.75">
      <c r="A94" s="275" t="s">
        <v>11</v>
      </c>
      <c r="B94" s="5" t="s">
        <v>12</v>
      </c>
      <c r="C94" s="6" t="s">
        <v>133</v>
      </c>
      <c r="D94" s="6"/>
      <c r="E94" s="6">
        <v>41</v>
      </c>
      <c r="F94" s="6" t="s">
        <v>19</v>
      </c>
      <c r="G94" s="6" t="s">
        <v>20</v>
      </c>
      <c r="H94" s="410" t="s">
        <v>135</v>
      </c>
      <c r="I94" s="240">
        <v>41108</v>
      </c>
      <c r="J94" s="7" t="s">
        <v>16</v>
      </c>
      <c r="K94" s="8">
        <v>2.2</v>
      </c>
      <c r="L94" s="9"/>
      <c r="M94" s="10">
        <f>6620-5770</f>
        <v>850</v>
      </c>
      <c r="N94" s="10">
        <f>20884-17716</f>
        <v>3168</v>
      </c>
      <c r="O94" s="10">
        <f t="shared" si="1"/>
        <v>4018</v>
      </c>
    </row>
    <row r="95" spans="1:15" ht="30.75">
      <c r="A95" s="275" t="s">
        <v>11</v>
      </c>
      <c r="B95" s="5" t="s">
        <v>12</v>
      </c>
      <c r="C95" s="6" t="s">
        <v>133</v>
      </c>
      <c r="D95" s="6"/>
      <c r="E95" s="6">
        <v>63</v>
      </c>
      <c r="F95" s="6" t="s">
        <v>19</v>
      </c>
      <c r="G95" s="6" t="s">
        <v>20</v>
      </c>
      <c r="H95" s="410" t="s">
        <v>136</v>
      </c>
      <c r="I95" s="240">
        <v>41110</v>
      </c>
      <c r="J95" s="7" t="s">
        <v>16</v>
      </c>
      <c r="K95" s="8">
        <v>2.2</v>
      </c>
      <c r="L95" s="9"/>
      <c r="M95" s="10">
        <f>7157-6230</f>
        <v>927</v>
      </c>
      <c r="N95" s="10">
        <f>23023-19430</f>
        <v>3593</v>
      </c>
      <c r="O95" s="10">
        <f t="shared" si="1"/>
        <v>4520</v>
      </c>
    </row>
    <row r="96" spans="1:15" ht="30.75">
      <c r="A96" s="275" t="s">
        <v>11</v>
      </c>
      <c r="B96" s="5" t="s">
        <v>12</v>
      </c>
      <c r="C96" s="6" t="s">
        <v>20</v>
      </c>
      <c r="D96" s="6" t="s">
        <v>137</v>
      </c>
      <c r="E96" s="6">
        <v>44</v>
      </c>
      <c r="F96" s="6" t="s">
        <v>19</v>
      </c>
      <c r="G96" s="6" t="s">
        <v>20</v>
      </c>
      <c r="H96" s="410" t="s">
        <v>138</v>
      </c>
      <c r="I96" s="240">
        <v>41107</v>
      </c>
      <c r="J96" s="7" t="s">
        <v>16</v>
      </c>
      <c r="K96" s="8">
        <v>2.2</v>
      </c>
      <c r="L96" s="9"/>
      <c r="M96" s="10">
        <f>3035-2655</f>
        <v>380</v>
      </c>
      <c r="N96" s="10">
        <f>8753-7371</f>
        <v>1382</v>
      </c>
      <c r="O96" s="10">
        <f t="shared" si="1"/>
        <v>1762</v>
      </c>
    </row>
    <row r="97" spans="1:15" ht="30.75">
      <c r="A97" s="275" t="s">
        <v>11</v>
      </c>
      <c r="B97" s="5" t="s">
        <v>12</v>
      </c>
      <c r="C97" s="6" t="s">
        <v>20</v>
      </c>
      <c r="D97" s="6" t="s">
        <v>139</v>
      </c>
      <c r="E97" s="6">
        <v>2</v>
      </c>
      <c r="F97" s="6" t="s">
        <v>19</v>
      </c>
      <c r="G97" s="6" t="s">
        <v>20</v>
      </c>
      <c r="H97" s="410" t="s">
        <v>140</v>
      </c>
      <c r="I97" s="240">
        <v>41441</v>
      </c>
      <c r="J97" s="7" t="s">
        <v>16</v>
      </c>
      <c r="K97" s="8">
        <v>2.2</v>
      </c>
      <c r="L97" s="9"/>
      <c r="M97" s="10">
        <f>6446-5453</f>
        <v>993</v>
      </c>
      <c r="N97" s="10">
        <f>19528-16211</f>
        <v>3317</v>
      </c>
      <c r="O97" s="10">
        <f t="shared" si="1"/>
        <v>4310</v>
      </c>
    </row>
    <row r="98" spans="1:15" ht="30.75">
      <c r="A98" s="275" t="s">
        <v>11</v>
      </c>
      <c r="B98" s="5" t="s">
        <v>12</v>
      </c>
      <c r="C98" s="6" t="s">
        <v>20</v>
      </c>
      <c r="D98" s="6" t="s">
        <v>139</v>
      </c>
      <c r="E98" s="6">
        <v>61</v>
      </c>
      <c r="F98" s="6" t="s">
        <v>19</v>
      </c>
      <c r="G98" s="6" t="s">
        <v>20</v>
      </c>
      <c r="H98" s="410" t="s">
        <v>141</v>
      </c>
      <c r="I98" s="240">
        <v>41109</v>
      </c>
      <c r="J98" s="7" t="s">
        <v>16</v>
      </c>
      <c r="K98" s="8">
        <v>1.3</v>
      </c>
      <c r="L98" s="9"/>
      <c r="M98" s="10">
        <f>11875-8356</f>
        <v>3519</v>
      </c>
      <c r="N98" s="10">
        <f>35118-23439</f>
        <v>11679</v>
      </c>
      <c r="O98" s="10">
        <f t="shared" si="1"/>
        <v>15198</v>
      </c>
    </row>
    <row r="99" spans="1:15" ht="30.75">
      <c r="A99" s="275" t="s">
        <v>11</v>
      </c>
      <c r="B99" s="5" t="s">
        <v>12</v>
      </c>
      <c r="C99" s="6" t="s">
        <v>142</v>
      </c>
      <c r="D99" s="6"/>
      <c r="E99" s="6">
        <v>19</v>
      </c>
      <c r="F99" s="6" t="s">
        <v>19</v>
      </c>
      <c r="G99" s="6" t="s">
        <v>20</v>
      </c>
      <c r="H99" s="410" t="s">
        <v>143</v>
      </c>
      <c r="I99" s="240">
        <v>41337</v>
      </c>
      <c r="J99" s="7" t="s">
        <v>16</v>
      </c>
      <c r="K99" s="8">
        <v>1.2</v>
      </c>
      <c r="L99" s="9"/>
      <c r="M99" s="10">
        <f>5477-4741</f>
        <v>736</v>
      </c>
      <c r="N99" s="10">
        <f>16763-14066</f>
        <v>2697</v>
      </c>
      <c r="O99" s="10">
        <f t="shared" si="1"/>
        <v>3433</v>
      </c>
    </row>
    <row r="100" spans="1:15" ht="30.75">
      <c r="A100" s="275" t="s">
        <v>11</v>
      </c>
      <c r="B100" s="5" t="s">
        <v>12</v>
      </c>
      <c r="C100" s="6" t="s">
        <v>142</v>
      </c>
      <c r="D100" s="6"/>
      <c r="E100" s="6">
        <v>55</v>
      </c>
      <c r="F100" s="6" t="s">
        <v>19</v>
      </c>
      <c r="G100" s="6" t="s">
        <v>20</v>
      </c>
      <c r="H100" s="410" t="s">
        <v>144</v>
      </c>
      <c r="I100" s="240">
        <v>41333</v>
      </c>
      <c r="J100" s="7" t="s">
        <v>16</v>
      </c>
      <c r="K100" s="8">
        <v>2.2</v>
      </c>
      <c r="L100" s="9"/>
      <c r="M100" s="10">
        <f>9981-8702</f>
        <v>1279</v>
      </c>
      <c r="N100" s="10">
        <f>30188-25533</f>
        <v>4655</v>
      </c>
      <c r="O100" s="10">
        <f t="shared" si="1"/>
        <v>5934</v>
      </c>
    </row>
    <row r="101" spans="1:15" ht="30.75">
      <c r="A101" s="275" t="s">
        <v>11</v>
      </c>
      <c r="B101" s="5" t="s">
        <v>12</v>
      </c>
      <c r="C101" s="6" t="s">
        <v>142</v>
      </c>
      <c r="D101" s="6"/>
      <c r="E101" s="6">
        <v>91</v>
      </c>
      <c r="F101" s="6" t="s">
        <v>19</v>
      </c>
      <c r="G101" s="6" t="s">
        <v>20</v>
      </c>
      <c r="H101" s="410" t="s">
        <v>145</v>
      </c>
      <c r="I101" s="240">
        <v>41336</v>
      </c>
      <c r="J101" s="7" t="s">
        <v>16</v>
      </c>
      <c r="K101" s="8">
        <v>2.2</v>
      </c>
      <c r="L101" s="9"/>
      <c r="M101" s="10">
        <f>3919-3379</f>
        <v>540</v>
      </c>
      <c r="N101" s="10">
        <f>11618-9749</f>
        <v>1869</v>
      </c>
      <c r="O101" s="10">
        <f t="shared" si="1"/>
        <v>2409</v>
      </c>
    </row>
    <row r="102" spans="1:15" ht="30.75">
      <c r="A102" s="275" t="s">
        <v>11</v>
      </c>
      <c r="B102" s="5" t="s">
        <v>12</v>
      </c>
      <c r="C102" s="6" t="s">
        <v>106</v>
      </c>
      <c r="D102" s="6"/>
      <c r="E102" s="6" t="s">
        <v>146</v>
      </c>
      <c r="F102" s="6" t="s">
        <v>19</v>
      </c>
      <c r="G102" s="6" t="s">
        <v>20</v>
      </c>
      <c r="H102" s="410" t="s">
        <v>147</v>
      </c>
      <c r="I102" s="240">
        <v>70526225</v>
      </c>
      <c r="J102" s="7" t="s">
        <v>16</v>
      </c>
      <c r="K102" s="8">
        <v>11</v>
      </c>
      <c r="L102" s="9"/>
      <c r="M102" s="10">
        <f>1246-1118</f>
        <v>128</v>
      </c>
      <c r="N102" s="10">
        <f>3618-3132</f>
        <v>486</v>
      </c>
      <c r="O102" s="10">
        <f t="shared" si="1"/>
        <v>614</v>
      </c>
    </row>
    <row r="103" spans="1:15" ht="30.75">
      <c r="A103" s="275" t="s">
        <v>11</v>
      </c>
      <c r="B103" s="5" t="s">
        <v>12</v>
      </c>
      <c r="C103" s="6" t="s">
        <v>20</v>
      </c>
      <c r="D103" s="6"/>
      <c r="E103" s="6"/>
      <c r="F103" s="6" t="s">
        <v>19</v>
      </c>
      <c r="G103" s="6" t="s">
        <v>20</v>
      </c>
      <c r="H103" s="410" t="s">
        <v>148</v>
      </c>
      <c r="I103" s="240">
        <v>41056</v>
      </c>
      <c r="J103" s="7" t="s">
        <v>16</v>
      </c>
      <c r="K103" s="8">
        <v>2.2</v>
      </c>
      <c r="L103" s="9"/>
      <c r="M103" s="10">
        <f>5876-5074</f>
        <v>802</v>
      </c>
      <c r="N103" s="10">
        <f>18515-15621</f>
        <v>2894</v>
      </c>
      <c r="O103" s="10">
        <f t="shared" si="1"/>
        <v>3696</v>
      </c>
    </row>
    <row r="104" spans="1:15" ht="30.75">
      <c r="A104" s="275" t="s">
        <v>11</v>
      </c>
      <c r="B104" s="5" t="s">
        <v>12</v>
      </c>
      <c r="C104" s="6" t="s">
        <v>20</v>
      </c>
      <c r="D104" s="6" t="s">
        <v>149</v>
      </c>
      <c r="E104" s="6"/>
      <c r="F104" s="6" t="s">
        <v>19</v>
      </c>
      <c r="G104" s="6" t="s">
        <v>20</v>
      </c>
      <c r="H104" s="410" t="s">
        <v>150</v>
      </c>
      <c r="I104" s="240">
        <v>40411</v>
      </c>
      <c r="J104" s="7" t="s">
        <v>16</v>
      </c>
      <c r="K104" s="8">
        <v>6.6</v>
      </c>
      <c r="L104" s="9"/>
      <c r="M104" s="10">
        <f>34256-29697</f>
        <v>4559</v>
      </c>
      <c r="N104" s="10">
        <f>151857-131099</f>
        <v>20758</v>
      </c>
      <c r="O104" s="10">
        <f t="shared" si="1"/>
        <v>25317</v>
      </c>
    </row>
    <row r="105" spans="1:15" ht="30.75">
      <c r="A105" s="275" t="s">
        <v>11</v>
      </c>
      <c r="B105" s="5" t="s">
        <v>12</v>
      </c>
      <c r="C105" s="6" t="s">
        <v>20</v>
      </c>
      <c r="D105" s="6"/>
      <c r="E105" s="6"/>
      <c r="F105" s="6" t="s">
        <v>19</v>
      </c>
      <c r="G105" s="6" t="s">
        <v>20</v>
      </c>
      <c r="H105" s="456" t="s">
        <v>151</v>
      </c>
      <c r="I105" s="240">
        <v>70618870</v>
      </c>
      <c r="J105" s="7" t="s">
        <v>16</v>
      </c>
      <c r="K105" s="8">
        <v>5</v>
      </c>
      <c r="L105" s="12"/>
      <c r="M105" s="112">
        <f>21047-18664</f>
        <v>2383</v>
      </c>
      <c r="N105" s="112">
        <f>99465-81906</f>
        <v>17559</v>
      </c>
      <c r="O105" s="10">
        <f t="shared" si="1"/>
        <v>19942</v>
      </c>
    </row>
    <row r="106" spans="1:15" ht="30.75">
      <c r="A106" s="275" t="s">
        <v>11</v>
      </c>
      <c r="B106" s="5" t="s">
        <v>12</v>
      </c>
      <c r="C106" s="6" t="s">
        <v>18</v>
      </c>
      <c r="D106" s="6"/>
      <c r="E106" s="6"/>
      <c r="F106" s="6" t="s">
        <v>19</v>
      </c>
      <c r="G106" s="6" t="s">
        <v>20</v>
      </c>
      <c r="H106" s="456" t="s">
        <v>153</v>
      </c>
      <c r="I106" s="240">
        <v>41779</v>
      </c>
      <c r="J106" s="7" t="s">
        <v>16</v>
      </c>
      <c r="K106" s="8">
        <v>0.5</v>
      </c>
      <c r="L106" s="12"/>
      <c r="M106" s="112">
        <f>6271-5404</f>
        <v>867</v>
      </c>
      <c r="N106" s="112">
        <f>9805-8224</f>
        <v>1581</v>
      </c>
      <c r="O106" s="10">
        <f t="shared" si="1"/>
        <v>2448</v>
      </c>
    </row>
    <row r="107" spans="1:15" ht="30.75">
      <c r="A107" s="275" t="s">
        <v>11</v>
      </c>
      <c r="B107" s="5" t="s">
        <v>12</v>
      </c>
      <c r="C107" s="6" t="s">
        <v>20</v>
      </c>
      <c r="D107" s="6" t="s">
        <v>87</v>
      </c>
      <c r="E107" s="6"/>
      <c r="F107" s="6" t="s">
        <v>19</v>
      </c>
      <c r="G107" s="6" t="s">
        <v>20</v>
      </c>
      <c r="H107" s="456" t="s">
        <v>1531</v>
      </c>
      <c r="I107" s="240">
        <v>218246</v>
      </c>
      <c r="J107" s="187" t="s">
        <v>152</v>
      </c>
      <c r="K107" s="8">
        <v>13</v>
      </c>
      <c r="L107" s="10">
        <f>59199-40832</f>
        <v>18367</v>
      </c>
      <c r="M107" s="12"/>
      <c r="N107" s="12"/>
      <c r="O107" s="10">
        <f>L107</f>
        <v>18367</v>
      </c>
    </row>
    <row r="108" spans="1:15" ht="30.75">
      <c r="A108" s="275" t="s">
        <v>11</v>
      </c>
      <c r="B108" s="5" t="s">
        <v>12</v>
      </c>
      <c r="C108" s="5" t="s">
        <v>1532</v>
      </c>
      <c r="D108" s="6" t="s">
        <v>1533</v>
      </c>
      <c r="E108" s="6"/>
      <c r="F108" s="6" t="s">
        <v>19</v>
      </c>
      <c r="G108" s="6" t="s">
        <v>20</v>
      </c>
      <c r="H108" s="456" t="s">
        <v>1534</v>
      </c>
      <c r="I108" s="240">
        <v>101528</v>
      </c>
      <c r="J108" s="7" t="s">
        <v>16</v>
      </c>
      <c r="K108" s="8">
        <v>0.5</v>
      </c>
      <c r="L108" s="12"/>
      <c r="M108" s="112">
        <f>1909-1633</f>
        <v>276</v>
      </c>
      <c r="N108" s="112">
        <f>7978-6800</f>
        <v>1178</v>
      </c>
      <c r="O108" s="10">
        <f>SUM(M108:N108)</f>
        <v>1454</v>
      </c>
    </row>
    <row r="109" spans="1:15" ht="30.75">
      <c r="A109" s="275" t="s">
        <v>11</v>
      </c>
      <c r="B109" s="416" t="s">
        <v>162</v>
      </c>
      <c r="C109" s="416" t="s">
        <v>1529</v>
      </c>
      <c r="D109" s="107" t="s">
        <v>87</v>
      </c>
      <c r="E109" s="108"/>
      <c r="F109" s="109" t="s">
        <v>19</v>
      </c>
      <c r="G109" s="109" t="s">
        <v>20</v>
      </c>
      <c r="H109" s="457" t="s">
        <v>1530</v>
      </c>
      <c r="I109" s="107">
        <v>35045</v>
      </c>
      <c r="J109" s="188" t="s">
        <v>152</v>
      </c>
      <c r="K109" s="110">
        <v>1</v>
      </c>
      <c r="L109" s="111">
        <f>15587-12919</f>
        <v>2668</v>
      </c>
      <c r="M109" s="12"/>
      <c r="N109" s="12"/>
      <c r="O109" s="112">
        <f>L109</f>
        <v>2668</v>
      </c>
    </row>
    <row r="110" spans="1:15" ht="29.25">
      <c r="A110" s="654" t="s">
        <v>11</v>
      </c>
      <c r="B110" s="184" t="s">
        <v>1075</v>
      </c>
      <c r="C110" s="184" t="s">
        <v>1076</v>
      </c>
      <c r="D110" s="184"/>
      <c r="E110" s="185"/>
      <c r="F110" s="186" t="s">
        <v>19</v>
      </c>
      <c r="G110" s="186" t="s">
        <v>20</v>
      </c>
      <c r="H110" s="455" t="s">
        <v>1676</v>
      </c>
      <c r="I110" s="206">
        <v>29122</v>
      </c>
      <c r="J110" s="419" t="s">
        <v>152</v>
      </c>
      <c r="K110" s="320">
        <v>1.5</v>
      </c>
      <c r="L110" s="321">
        <f>21481-18056</f>
        <v>3425</v>
      </c>
      <c r="M110" s="322"/>
      <c r="N110" s="322"/>
      <c r="O110" s="13">
        <f>L110</f>
        <v>3425</v>
      </c>
    </row>
    <row r="111" spans="1:15" ht="29.25">
      <c r="A111" s="275" t="s">
        <v>11</v>
      </c>
      <c r="B111" s="184" t="s">
        <v>12</v>
      </c>
      <c r="C111" s="61" t="s">
        <v>14</v>
      </c>
      <c r="D111" s="61" t="s">
        <v>94</v>
      </c>
      <c r="E111" s="55"/>
      <c r="F111" s="79" t="s">
        <v>13</v>
      </c>
      <c r="G111" s="55" t="s">
        <v>14</v>
      </c>
      <c r="H111" s="455" t="s">
        <v>1799</v>
      </c>
      <c r="I111" s="55">
        <v>1494759</v>
      </c>
      <c r="J111" s="208" t="s">
        <v>152</v>
      </c>
      <c r="K111" s="242">
        <v>3</v>
      </c>
      <c r="L111" s="30">
        <f>8737-5770</f>
        <v>2967</v>
      </c>
      <c r="M111" s="45"/>
      <c r="N111" s="45"/>
      <c r="O111" s="30">
        <f>L111</f>
        <v>2967</v>
      </c>
    </row>
    <row r="112" spans="1:15" ht="29.25">
      <c r="A112" s="654" t="s">
        <v>11</v>
      </c>
      <c r="B112" s="185" t="s">
        <v>12</v>
      </c>
      <c r="C112" s="198" t="s">
        <v>110</v>
      </c>
      <c r="D112" s="209"/>
      <c r="E112" s="52"/>
      <c r="F112" s="186" t="s">
        <v>19</v>
      </c>
      <c r="G112" s="186" t="s">
        <v>20</v>
      </c>
      <c r="H112" s="455" t="s">
        <v>1800</v>
      </c>
      <c r="I112" s="52">
        <v>1494748</v>
      </c>
      <c r="J112" s="209" t="s">
        <v>152</v>
      </c>
      <c r="K112" s="267">
        <v>3</v>
      </c>
      <c r="L112" s="26">
        <f>3115-2058</f>
        <v>1057</v>
      </c>
      <c r="M112" s="54"/>
      <c r="N112" s="54"/>
      <c r="O112" s="26">
        <f>L112</f>
        <v>1057</v>
      </c>
    </row>
    <row r="113" spans="1:15" ht="18.75" thickBot="1">
      <c r="A113" s="275" t="s">
        <v>11</v>
      </c>
      <c r="B113" s="166" t="s">
        <v>964</v>
      </c>
      <c r="C113" s="166" t="s">
        <v>18</v>
      </c>
      <c r="D113" s="55"/>
      <c r="E113" s="55"/>
      <c r="F113" s="79" t="s">
        <v>19</v>
      </c>
      <c r="G113" s="55" t="s">
        <v>20</v>
      </c>
      <c r="H113" s="455" t="s">
        <v>1813</v>
      </c>
      <c r="I113" s="55">
        <v>90022525</v>
      </c>
      <c r="J113" s="208" t="s">
        <v>152</v>
      </c>
      <c r="K113" s="391">
        <v>1</v>
      </c>
      <c r="L113" s="55">
        <f>4530-2480</f>
        <v>2050</v>
      </c>
      <c r="M113" s="45"/>
      <c r="N113" s="45"/>
      <c r="O113" s="55">
        <f>L113</f>
        <v>2050</v>
      </c>
    </row>
    <row r="114" spans="2:15" ht="37.5" customHeight="1">
      <c r="B114" s="522" t="s">
        <v>155</v>
      </c>
      <c r="C114" s="523" t="s">
        <v>964</v>
      </c>
      <c r="D114" s="524"/>
      <c r="G114" s="672" t="s">
        <v>2097</v>
      </c>
      <c r="H114" s="530" t="s">
        <v>964</v>
      </c>
      <c r="N114" s="13" t="s">
        <v>156</v>
      </c>
      <c r="O114" s="281">
        <f>SUM(O21:O113)</f>
        <v>718894</v>
      </c>
    </row>
    <row r="115" spans="2:16" ht="18.75" customHeight="1">
      <c r="B115" s="525"/>
      <c r="C115" s="412" t="s">
        <v>1961</v>
      </c>
      <c r="D115" s="526"/>
      <c r="G115" s="104"/>
      <c r="H115" s="531" t="s">
        <v>1961</v>
      </c>
      <c r="M115" s="2"/>
      <c r="N115" s="2"/>
      <c r="O115" s="217"/>
      <c r="P115" s="237"/>
    </row>
    <row r="116" spans="2:16" ht="18.75" customHeight="1" thickBot="1">
      <c r="B116" s="104"/>
      <c r="C116" s="290" t="s">
        <v>966</v>
      </c>
      <c r="D116" s="526"/>
      <c r="G116" s="532"/>
      <c r="H116" s="529" t="s">
        <v>966</v>
      </c>
      <c r="O116" s="217"/>
      <c r="P116" s="237"/>
    </row>
    <row r="117" spans="2:16" ht="18.75" customHeight="1">
      <c r="B117" s="293" t="s">
        <v>1670</v>
      </c>
      <c r="C117" s="294">
        <v>8222147185</v>
      </c>
      <c r="D117" s="526"/>
      <c r="O117" s="217"/>
      <c r="P117" s="237"/>
    </row>
    <row r="118" spans="2:16" ht="18.75" customHeight="1" thickBot="1">
      <c r="B118" s="527" t="s">
        <v>1674</v>
      </c>
      <c r="C118" s="528" t="s">
        <v>1675</v>
      </c>
      <c r="D118" s="529"/>
      <c r="O118" s="217"/>
      <c r="P118" s="237"/>
    </row>
    <row r="119" spans="2:16" ht="18.75" customHeight="1">
      <c r="B119" s="278"/>
      <c r="C119" s="68"/>
      <c r="D119" s="68"/>
      <c r="O119" s="217"/>
      <c r="P119" s="237"/>
    </row>
    <row r="120" spans="15:16" ht="14.25">
      <c r="O120" s="217"/>
      <c r="P120" s="217"/>
    </row>
    <row r="121" spans="4:5" ht="14.25">
      <c r="D121" s="717" t="s">
        <v>963</v>
      </c>
      <c r="E121" s="717"/>
    </row>
    <row r="122" spans="4:5" ht="15" thickBot="1">
      <c r="D122" s="717"/>
      <c r="E122" s="717"/>
    </row>
    <row r="123" spans="1:20" ht="45" customHeight="1">
      <c r="A123" s="711" t="s">
        <v>0</v>
      </c>
      <c r="B123" s="714" t="s">
        <v>993</v>
      </c>
      <c r="C123" s="721" t="s">
        <v>2</v>
      </c>
      <c r="D123" s="721" t="s">
        <v>3</v>
      </c>
      <c r="E123" s="697" t="s">
        <v>1038</v>
      </c>
      <c r="F123" s="697" t="s">
        <v>5</v>
      </c>
      <c r="G123" s="721" t="s">
        <v>6</v>
      </c>
      <c r="H123" s="697" t="s">
        <v>7</v>
      </c>
      <c r="I123" s="691" t="s">
        <v>753</v>
      </c>
      <c r="J123" s="697" t="s">
        <v>157</v>
      </c>
      <c r="K123" s="729" t="s">
        <v>992</v>
      </c>
      <c r="L123" s="718" t="s">
        <v>1039</v>
      </c>
      <c r="M123" s="719"/>
      <c r="N123" s="719"/>
      <c r="O123" s="720"/>
      <c r="P123" s="168"/>
      <c r="Q123" s="168"/>
      <c r="R123" s="168"/>
      <c r="S123" s="169"/>
      <c r="T123" s="169"/>
    </row>
    <row r="124" spans="1:20" ht="36" customHeight="1">
      <c r="A124" s="712"/>
      <c r="B124" s="715"/>
      <c r="C124" s="722"/>
      <c r="D124" s="722"/>
      <c r="E124" s="698"/>
      <c r="F124" s="698"/>
      <c r="G124" s="722"/>
      <c r="H124" s="698"/>
      <c r="I124" s="692"/>
      <c r="J124" s="698"/>
      <c r="K124" s="730"/>
      <c r="L124" s="737" t="s">
        <v>1040</v>
      </c>
      <c r="M124" s="738"/>
      <c r="N124" s="738"/>
      <c r="O124" s="739"/>
      <c r="P124" s="168"/>
      <c r="Q124" s="168"/>
      <c r="R124" s="168"/>
      <c r="S124" s="169"/>
      <c r="T124" s="169"/>
    </row>
    <row r="125" spans="1:20" ht="25.5" customHeight="1" thickBot="1">
      <c r="A125" s="713"/>
      <c r="B125" s="716"/>
      <c r="C125" s="723"/>
      <c r="D125" s="723"/>
      <c r="E125" s="699"/>
      <c r="F125" s="699"/>
      <c r="G125" s="723"/>
      <c r="H125" s="699"/>
      <c r="I125" s="693"/>
      <c r="J125" s="699"/>
      <c r="K125" s="731"/>
      <c r="L125" s="134" t="s">
        <v>1041</v>
      </c>
      <c r="M125" s="135" t="s">
        <v>1035</v>
      </c>
      <c r="N125" s="135" t="s">
        <v>1036</v>
      </c>
      <c r="O125" s="136" t="s">
        <v>10</v>
      </c>
      <c r="P125" s="168"/>
      <c r="Q125" s="168"/>
      <c r="R125" s="168"/>
      <c r="S125" s="169"/>
      <c r="T125" s="169"/>
    </row>
    <row r="126" spans="1:20" ht="44.25" thickBot="1">
      <c r="A126" s="274" t="s">
        <v>11</v>
      </c>
      <c r="B126" s="418" t="s">
        <v>1802</v>
      </c>
      <c r="C126" s="189" t="s">
        <v>20</v>
      </c>
      <c r="D126" s="189" t="s">
        <v>169</v>
      </c>
      <c r="E126" s="186"/>
      <c r="F126" s="186" t="s">
        <v>19</v>
      </c>
      <c r="G126" s="186" t="s">
        <v>20</v>
      </c>
      <c r="H126" s="455" t="s">
        <v>1801</v>
      </c>
      <c r="I126" s="417">
        <v>88040750</v>
      </c>
      <c r="J126" s="191" t="s">
        <v>152</v>
      </c>
      <c r="K126" s="190">
        <v>2</v>
      </c>
      <c r="L126" s="53">
        <f>9469-7549</f>
        <v>1920</v>
      </c>
      <c r="M126" s="54"/>
      <c r="N126" s="54"/>
      <c r="O126" s="53">
        <f>L126</f>
        <v>1920</v>
      </c>
      <c r="P126" s="154"/>
      <c r="Q126" s="154"/>
      <c r="R126" s="154"/>
      <c r="S126" s="167"/>
      <c r="T126" s="167"/>
    </row>
    <row r="127" spans="2:21" ht="30.75" customHeight="1">
      <c r="B127" s="74" t="s">
        <v>155</v>
      </c>
      <c r="C127" s="65" t="s">
        <v>964</v>
      </c>
      <c r="D127" s="34"/>
      <c r="G127" s="672" t="s">
        <v>2097</v>
      </c>
      <c r="H127" s="530" t="s">
        <v>964</v>
      </c>
      <c r="L127" s="2"/>
      <c r="M127" s="2"/>
      <c r="N127" s="13" t="s">
        <v>156</v>
      </c>
      <c r="O127" s="281">
        <f>O126</f>
        <v>1920</v>
      </c>
      <c r="Q127" s="154"/>
      <c r="R127" s="154"/>
      <c r="S127" s="154"/>
      <c r="T127" s="31"/>
      <c r="U127" s="31"/>
    </row>
    <row r="128" spans="2:21" ht="15">
      <c r="B128" s="36"/>
      <c r="C128" s="68" t="s">
        <v>965</v>
      </c>
      <c r="D128" s="38"/>
      <c r="G128" s="104"/>
      <c r="H128" s="531" t="s">
        <v>1961</v>
      </c>
      <c r="I128" s="216"/>
      <c r="L128" s="2"/>
      <c r="M128" s="2"/>
      <c r="N128" s="2"/>
      <c r="O128" s="2"/>
      <c r="P128" s="154"/>
      <c r="Q128" s="154"/>
      <c r="R128" s="154"/>
      <c r="S128" s="154"/>
      <c r="T128" s="31"/>
      <c r="U128" s="31"/>
    </row>
    <row r="129" spans="2:21" ht="14.25" customHeight="1" thickBot="1">
      <c r="B129" s="36"/>
      <c r="C129" s="68" t="s">
        <v>966</v>
      </c>
      <c r="D129" s="38"/>
      <c r="G129" s="532"/>
      <c r="H129" s="529" t="s">
        <v>966</v>
      </c>
      <c r="L129" s="2"/>
      <c r="M129" s="2"/>
      <c r="N129" s="2"/>
      <c r="O129" s="2"/>
      <c r="P129" s="154"/>
      <c r="Q129" s="154"/>
      <c r="R129" s="154"/>
      <c r="S129" s="154"/>
      <c r="T129" s="31"/>
      <c r="U129" s="31"/>
    </row>
    <row r="130" spans="2:4" ht="15.75" thickBot="1">
      <c r="B130" s="238" t="s">
        <v>1974</v>
      </c>
      <c r="C130" s="71" t="s">
        <v>1973</v>
      </c>
      <c r="D130" s="41"/>
    </row>
    <row r="131" spans="2:4" ht="15">
      <c r="B131" s="68"/>
      <c r="C131" s="68"/>
      <c r="D131" s="68"/>
    </row>
    <row r="132" spans="1:4" ht="15">
      <c r="A132" s="465"/>
      <c r="B132" s="68"/>
      <c r="C132" s="68"/>
      <c r="D132" s="68"/>
    </row>
    <row r="133" spans="1:4" ht="15.75" thickBot="1">
      <c r="A133" s="465"/>
      <c r="B133" s="68"/>
      <c r="C133" s="68"/>
      <c r="D133" s="68"/>
    </row>
    <row r="134" spans="1:21" ht="45" customHeight="1">
      <c r="A134" s="703" t="s">
        <v>0</v>
      </c>
      <c r="B134" s="697" t="s">
        <v>1</v>
      </c>
      <c r="C134" s="697" t="s">
        <v>2</v>
      </c>
      <c r="D134" s="697" t="s">
        <v>3</v>
      </c>
      <c r="E134" s="697" t="s">
        <v>4</v>
      </c>
      <c r="F134" s="697" t="s">
        <v>5</v>
      </c>
      <c r="G134" s="697" t="s">
        <v>6</v>
      </c>
      <c r="H134" s="697" t="s">
        <v>8</v>
      </c>
      <c r="I134" s="697" t="s">
        <v>753</v>
      </c>
      <c r="J134" s="697" t="s">
        <v>157</v>
      </c>
      <c r="K134" s="700" t="s">
        <v>9</v>
      </c>
      <c r="L134" s="688" t="s">
        <v>1043</v>
      </c>
      <c r="M134" s="689"/>
      <c r="N134" s="689"/>
      <c r="O134" s="690"/>
      <c r="P134" s="688" t="s">
        <v>1044</v>
      </c>
      <c r="Q134" s="689"/>
      <c r="R134" s="689"/>
      <c r="S134" s="690"/>
      <c r="T134" s="691" t="s">
        <v>1820</v>
      </c>
      <c r="U134" s="694" t="s">
        <v>1305</v>
      </c>
    </row>
    <row r="135" spans="1:21" ht="45" customHeight="1">
      <c r="A135" s="704"/>
      <c r="B135" s="698"/>
      <c r="C135" s="698"/>
      <c r="D135" s="698"/>
      <c r="E135" s="698"/>
      <c r="F135" s="698"/>
      <c r="G135" s="698"/>
      <c r="H135" s="698"/>
      <c r="I135" s="698"/>
      <c r="J135" s="698"/>
      <c r="K135" s="701"/>
      <c r="L135" s="686" t="s">
        <v>1041</v>
      </c>
      <c r="M135" s="686" t="s">
        <v>1035</v>
      </c>
      <c r="N135" s="686" t="s">
        <v>1036</v>
      </c>
      <c r="O135" s="686" t="s">
        <v>1045</v>
      </c>
      <c r="P135" s="686" t="s">
        <v>1041</v>
      </c>
      <c r="Q135" s="686" t="s">
        <v>1035</v>
      </c>
      <c r="R135" s="686" t="s">
        <v>1036</v>
      </c>
      <c r="S135" s="686" t="s">
        <v>1045</v>
      </c>
      <c r="T135" s="692"/>
      <c r="U135" s="695"/>
    </row>
    <row r="136" spans="1:21" ht="45" customHeight="1" thickBot="1">
      <c r="A136" s="705"/>
      <c r="B136" s="699"/>
      <c r="C136" s="699"/>
      <c r="D136" s="699"/>
      <c r="E136" s="699"/>
      <c r="F136" s="699"/>
      <c r="G136" s="699"/>
      <c r="H136" s="699"/>
      <c r="I136" s="699"/>
      <c r="J136" s="699"/>
      <c r="K136" s="702"/>
      <c r="L136" s="687"/>
      <c r="M136" s="687"/>
      <c r="N136" s="687"/>
      <c r="O136" s="687"/>
      <c r="P136" s="687"/>
      <c r="Q136" s="687"/>
      <c r="R136" s="687"/>
      <c r="S136" s="687"/>
      <c r="T136" s="693"/>
      <c r="U136" s="696"/>
    </row>
    <row r="137" spans="1:21" ht="44.25" thickBot="1">
      <c r="A137" s="275" t="s">
        <v>754</v>
      </c>
      <c r="B137" s="60" t="s">
        <v>12</v>
      </c>
      <c r="C137" s="55" t="s">
        <v>72</v>
      </c>
      <c r="D137" s="55" t="s">
        <v>75</v>
      </c>
      <c r="E137" s="46"/>
      <c r="F137" s="46" t="s">
        <v>19</v>
      </c>
      <c r="G137" s="49" t="s">
        <v>20</v>
      </c>
      <c r="H137" s="377">
        <v>53659205</v>
      </c>
      <c r="I137" s="655">
        <v>83638413</v>
      </c>
      <c r="J137" s="208" t="s">
        <v>152</v>
      </c>
      <c r="K137" s="513">
        <v>1</v>
      </c>
      <c r="L137" s="13">
        <f>570*12</f>
        <v>6840</v>
      </c>
      <c r="M137" s="45"/>
      <c r="N137" s="45"/>
      <c r="O137" s="13">
        <f>L137</f>
        <v>6840</v>
      </c>
      <c r="P137" s="53">
        <f>O137</f>
        <v>6840</v>
      </c>
      <c r="Q137" s="54"/>
      <c r="R137" s="54"/>
      <c r="S137" s="53">
        <f>P137</f>
        <v>6840</v>
      </c>
      <c r="T137" s="138" t="s">
        <v>1930</v>
      </c>
      <c r="U137" s="52" t="s">
        <v>1996</v>
      </c>
    </row>
    <row r="138" spans="1:19" ht="30">
      <c r="A138" s="465"/>
      <c r="B138" s="522" t="s">
        <v>155</v>
      </c>
      <c r="C138" s="523" t="s">
        <v>964</v>
      </c>
      <c r="D138" s="524"/>
      <c r="G138" s="672" t="s">
        <v>2097</v>
      </c>
      <c r="H138" s="530" t="s">
        <v>964</v>
      </c>
      <c r="R138" s="13" t="s">
        <v>156</v>
      </c>
      <c r="S138" s="281">
        <f>S137</f>
        <v>6840</v>
      </c>
    </row>
    <row r="139" spans="1:8" ht="15">
      <c r="A139" s="465"/>
      <c r="B139" s="525"/>
      <c r="C139" s="412" t="s">
        <v>1961</v>
      </c>
      <c r="D139" s="526"/>
      <c r="G139" s="104"/>
      <c r="H139" s="531" t="s">
        <v>1961</v>
      </c>
    </row>
    <row r="140" spans="1:8" ht="15.75" thickBot="1">
      <c r="A140" s="465"/>
      <c r="B140" s="104"/>
      <c r="C140" s="290" t="s">
        <v>966</v>
      </c>
      <c r="D140" s="526"/>
      <c r="G140" s="532"/>
      <c r="H140" s="529" t="s">
        <v>966</v>
      </c>
    </row>
    <row r="141" spans="1:4" ht="15.75" thickBot="1">
      <c r="A141" s="465"/>
      <c r="B141" s="527" t="s">
        <v>1670</v>
      </c>
      <c r="C141" s="528">
        <v>8222147185</v>
      </c>
      <c r="D141" s="529"/>
    </row>
    <row r="142" spans="1:4" ht="15">
      <c r="A142" s="465"/>
      <c r="B142" s="291"/>
      <c r="C142" s="294"/>
      <c r="D142" s="290"/>
    </row>
    <row r="143" spans="1:4" ht="15">
      <c r="A143" s="465"/>
      <c r="B143" s="291"/>
      <c r="C143" s="294"/>
      <c r="D143" s="290"/>
    </row>
    <row r="144" spans="1:10" ht="15">
      <c r="A144" s="465"/>
      <c r="B144" s="291"/>
      <c r="C144" s="294"/>
      <c r="D144" s="290"/>
      <c r="I144" s="58" t="s">
        <v>160</v>
      </c>
      <c r="J144" s="2">
        <f>O114+O127+S138</f>
        <v>727654</v>
      </c>
    </row>
    <row r="145" spans="1:4" ht="15.75" thickBot="1">
      <c r="A145" s="465"/>
      <c r="B145" s="68"/>
      <c r="C145" s="68"/>
      <c r="D145" s="68"/>
    </row>
    <row r="146" spans="7:19" ht="48.75" customHeight="1">
      <c r="G146" s="709" t="s">
        <v>157</v>
      </c>
      <c r="H146" s="706" t="s">
        <v>1034</v>
      </c>
      <c r="I146" s="707"/>
      <c r="J146" s="708"/>
      <c r="K146" s="724" t="s">
        <v>158</v>
      </c>
      <c r="Q146" s="2"/>
      <c r="R146" s="2"/>
      <c r="S146" s="2"/>
    </row>
    <row r="147" spans="7:19" ht="23.25" customHeight="1" thickBot="1">
      <c r="G147" s="710"/>
      <c r="H147" s="128" t="s">
        <v>159</v>
      </c>
      <c r="I147" s="128" t="s">
        <v>1035</v>
      </c>
      <c r="J147" s="128" t="s">
        <v>1036</v>
      </c>
      <c r="K147" s="725"/>
      <c r="Q147" s="2"/>
      <c r="R147" s="2"/>
      <c r="S147" s="2"/>
    </row>
    <row r="148" spans="7:19" ht="14.25">
      <c r="G148" s="129" t="s">
        <v>152</v>
      </c>
      <c r="H148" s="101">
        <f>O107+O109+O110+O111+O112+O126+O113+S137</f>
        <v>39294</v>
      </c>
      <c r="I148" s="158"/>
      <c r="J148" s="158"/>
      <c r="K148" s="101">
        <v>8</v>
      </c>
      <c r="Q148" s="2"/>
      <c r="R148" s="2"/>
      <c r="S148" s="2"/>
    </row>
    <row r="149" spans="7:19" ht="15" thickBot="1">
      <c r="G149" s="166" t="s">
        <v>16</v>
      </c>
      <c r="H149" s="57"/>
      <c r="I149" s="14">
        <f>SUM(M21:M106,M108)</f>
        <v>142961</v>
      </c>
      <c r="J149" s="14">
        <f>SUM(N21:N106,N108)</f>
        <v>545399</v>
      </c>
      <c r="K149" s="14">
        <v>87</v>
      </c>
      <c r="Q149" s="2"/>
      <c r="R149" s="2"/>
      <c r="S149" s="2"/>
    </row>
    <row r="150" spans="7:11" ht="15" thickBot="1">
      <c r="G150" s="132" t="s">
        <v>160</v>
      </c>
      <c r="H150" s="133">
        <f>H148</f>
        <v>39294</v>
      </c>
      <c r="I150" s="18">
        <f>I149</f>
        <v>142961</v>
      </c>
      <c r="J150" s="15">
        <f>J149</f>
        <v>545399</v>
      </c>
      <c r="K150" s="324">
        <f>SUM(K148:K149)</f>
        <v>95</v>
      </c>
    </row>
    <row r="151" spans="8:11" ht="18.75" thickBot="1">
      <c r="H151" s="20" t="s">
        <v>161</v>
      </c>
      <c r="I151" s="323">
        <f>SUM(H150:J150)</f>
        <v>727654</v>
      </c>
      <c r="J151" s="2"/>
      <c r="K151" s="2"/>
    </row>
    <row r="152" spans="12:16" ht="14.25">
      <c r="L152" s="31"/>
      <c r="M152" s="31"/>
      <c r="N152" s="154"/>
      <c r="O152" s="31"/>
      <c r="P152" s="31"/>
    </row>
    <row r="153" spans="12:16" ht="14.25">
      <c r="L153" s="31"/>
      <c r="M153" s="31"/>
      <c r="N153" s="31"/>
      <c r="O153" s="31"/>
      <c r="P153" s="31"/>
    </row>
  </sheetData>
  <sheetProtection/>
  <mergeCells count="59">
    <mergeCell ref="B123:B125"/>
    <mergeCell ref="B5:J5"/>
    <mergeCell ref="C123:C125"/>
    <mergeCell ref="D123:D125"/>
    <mergeCell ref="L18:O18"/>
    <mergeCell ref="H123:H125"/>
    <mergeCell ref="H6:J6"/>
    <mergeCell ref="H7:J7"/>
    <mergeCell ref="L19:O19"/>
    <mergeCell ref="L124:O124"/>
    <mergeCell ref="J123:J125"/>
    <mergeCell ref="D18:D20"/>
    <mergeCell ref="K123:K125"/>
    <mergeCell ref="I123:I125"/>
    <mergeCell ref="F123:F125"/>
    <mergeCell ref="E123:E125"/>
    <mergeCell ref="B1:K1"/>
    <mergeCell ref="C18:C20"/>
    <mergeCell ref="I18:I20"/>
    <mergeCell ref="J18:J20"/>
    <mergeCell ref="H18:H20"/>
    <mergeCell ref="K18:K20"/>
    <mergeCell ref="D16:E17"/>
    <mergeCell ref="E18:E20"/>
    <mergeCell ref="F18:F20"/>
    <mergeCell ref="B3:J3"/>
    <mergeCell ref="H146:J146"/>
    <mergeCell ref="G146:G147"/>
    <mergeCell ref="A18:A20"/>
    <mergeCell ref="B18:B20"/>
    <mergeCell ref="D121:E122"/>
    <mergeCell ref="L123:O123"/>
    <mergeCell ref="G18:G20"/>
    <mergeCell ref="K146:K147"/>
    <mergeCell ref="G123:G125"/>
    <mergeCell ref="A123:A125"/>
    <mergeCell ref="A134:A136"/>
    <mergeCell ref="B134:B136"/>
    <mergeCell ref="C134:C136"/>
    <mergeCell ref="D134:D136"/>
    <mergeCell ref="E134:E136"/>
    <mergeCell ref="F134:F136"/>
    <mergeCell ref="R135:R136"/>
    <mergeCell ref="G134:G136"/>
    <mergeCell ref="H134:H136"/>
    <mergeCell ref="I134:I136"/>
    <mergeCell ref="J134:J136"/>
    <mergeCell ref="K134:K136"/>
    <mergeCell ref="L134:O134"/>
    <mergeCell ref="S135:S136"/>
    <mergeCell ref="P134:S134"/>
    <mergeCell ref="T134:T136"/>
    <mergeCell ref="U134:U136"/>
    <mergeCell ref="L135:L136"/>
    <mergeCell ref="M135:M136"/>
    <mergeCell ref="N135:N136"/>
    <mergeCell ref="O135:O136"/>
    <mergeCell ref="P135:P136"/>
    <mergeCell ref="Q135:Q136"/>
  </mergeCells>
  <printOptions/>
  <pageMargins left="0.7" right="0.7" top="0.75" bottom="0.75" header="0.3" footer="0.3"/>
  <pageSetup horizontalDpi="600" verticalDpi="600" orientation="portrait" paperSize="9" r:id="rId1"/>
  <ignoredErrors>
    <ignoredError sqref="O107:O1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65"/>
  <sheetViews>
    <sheetView zoomScale="80" zoomScaleNormal="80" zoomScalePageLayoutView="0" workbookViewId="0" topLeftCell="A106">
      <selection activeCell="B7" sqref="B7:B8"/>
    </sheetView>
  </sheetViews>
  <sheetFormatPr defaultColWidth="8.796875" defaultRowHeight="14.25"/>
  <cols>
    <col min="1" max="1" width="11.09765625" style="0" customWidth="1"/>
    <col min="2" max="2" width="13.3984375" style="0" customWidth="1"/>
    <col min="3" max="3" width="17.3984375" style="0" customWidth="1"/>
    <col min="4" max="4" width="18" style="0" customWidth="1"/>
    <col min="5" max="5" width="10.59765625" style="0" customWidth="1"/>
    <col min="6" max="6" width="9.09765625" style="0" customWidth="1"/>
    <col min="7" max="7" width="17.09765625" style="0" customWidth="1"/>
    <col min="8" max="8" width="25.8984375" style="0" customWidth="1"/>
    <col min="9" max="9" width="17.19921875" style="0" customWidth="1"/>
    <col min="10" max="10" width="11.59765625" style="0" customWidth="1"/>
    <col min="11" max="11" width="11.19921875" style="0" customWidth="1"/>
    <col min="12" max="12" width="15.09765625" style="0" customWidth="1"/>
    <col min="13" max="13" width="15.69921875" style="0" customWidth="1"/>
    <col min="14" max="14" width="16.8984375" style="0" customWidth="1"/>
    <col min="15" max="15" width="16" style="0" customWidth="1"/>
    <col min="16" max="16" width="13.19921875" style="0" customWidth="1"/>
    <col min="17" max="17" width="13.5" style="0" customWidth="1"/>
    <col min="18" max="18" width="14.5" style="0" customWidth="1"/>
    <col min="19" max="19" width="13.8984375" style="0" customWidth="1"/>
    <col min="20" max="20" width="20.3984375" style="0" customWidth="1"/>
    <col min="21" max="21" width="20.09765625" style="0" customWidth="1"/>
  </cols>
  <sheetData>
    <row r="1" spans="2:11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1" ht="15">
      <c r="B2" s="220"/>
      <c r="C2" s="220"/>
      <c r="D2" s="220"/>
      <c r="E2" s="220"/>
      <c r="F2" s="220"/>
      <c r="G2" s="220"/>
      <c r="H2" s="222"/>
      <c r="I2" s="220"/>
      <c r="J2" s="220"/>
      <c r="K2" s="220"/>
    </row>
    <row r="3" spans="2:11" ht="26.25" customHeight="1">
      <c r="B3" s="740" t="s">
        <v>1056</v>
      </c>
      <c r="C3" s="741"/>
      <c r="D3" s="741"/>
      <c r="E3" s="741"/>
      <c r="F3" s="741"/>
      <c r="G3" s="741"/>
      <c r="H3" s="741"/>
      <c r="I3" s="742"/>
      <c r="J3" s="220"/>
      <c r="K3" s="220"/>
    </row>
    <row r="4" spans="2:11" ht="15">
      <c r="B4" s="221"/>
      <c r="C4" s="221"/>
      <c r="D4" s="221"/>
      <c r="E4" s="221"/>
      <c r="F4" s="221"/>
      <c r="G4" s="221"/>
      <c r="H4" s="222"/>
      <c r="I4" s="220"/>
      <c r="J4" s="220"/>
      <c r="K4" s="220"/>
    </row>
    <row r="5" spans="2:11" ht="15">
      <c r="B5" s="736" t="s">
        <v>1029</v>
      </c>
      <c r="C5" s="736"/>
      <c r="D5" s="736"/>
      <c r="E5" s="736"/>
      <c r="F5" s="736"/>
      <c r="G5" s="736"/>
      <c r="H5" s="736"/>
      <c r="I5" s="736"/>
      <c r="J5" s="220"/>
      <c r="K5" s="220"/>
    </row>
    <row r="6" spans="2:11" ht="15">
      <c r="B6" s="221"/>
      <c r="C6" s="221"/>
      <c r="D6" s="221"/>
      <c r="E6" s="221"/>
      <c r="F6" s="221"/>
      <c r="G6" s="221"/>
      <c r="H6" s="222"/>
      <c r="I6" s="220"/>
      <c r="J6" s="220"/>
      <c r="K6" s="220"/>
    </row>
    <row r="7" spans="2:11" ht="15.75">
      <c r="B7" s="502" t="s">
        <v>967</v>
      </c>
      <c r="C7" s="220"/>
      <c r="D7" s="221"/>
      <c r="E7" s="221"/>
      <c r="F7" s="221"/>
      <c r="G7" s="220"/>
      <c r="H7" s="222"/>
      <c r="I7" s="220"/>
      <c r="J7" s="220"/>
      <c r="K7" s="220"/>
    </row>
    <row r="8" spans="2:11" ht="15.75">
      <c r="B8" s="502" t="s">
        <v>2098</v>
      </c>
      <c r="C8" s="220"/>
      <c r="D8" s="221"/>
      <c r="E8" s="221"/>
      <c r="F8" s="221"/>
      <c r="G8" s="220"/>
      <c r="H8" s="222"/>
      <c r="I8" s="220"/>
      <c r="J8" s="220"/>
      <c r="K8" s="220"/>
    </row>
    <row r="9" spans="2:11" ht="15.75">
      <c r="B9" s="224" t="s">
        <v>2087</v>
      </c>
      <c r="C9" s="220"/>
      <c r="D9" s="225"/>
      <c r="E9" s="221"/>
      <c r="F9" s="221"/>
      <c r="G9" s="220"/>
      <c r="H9" s="222"/>
      <c r="I9" s="220"/>
      <c r="J9" s="220"/>
      <c r="K9" s="220"/>
    </row>
    <row r="10" spans="2:11" ht="15.75">
      <c r="B10" s="224" t="s">
        <v>1663</v>
      </c>
      <c r="C10" s="220"/>
      <c r="D10" s="225"/>
      <c r="E10" s="221"/>
      <c r="F10" s="221"/>
      <c r="G10" s="220"/>
      <c r="H10" s="222"/>
      <c r="I10" s="220"/>
      <c r="J10" s="220"/>
      <c r="K10" s="220"/>
    </row>
    <row r="11" spans="2:11" ht="15">
      <c r="B11" s="220" t="s">
        <v>1046</v>
      </c>
      <c r="C11" s="220"/>
      <c r="D11" s="220"/>
      <c r="E11" s="220"/>
      <c r="F11" s="220"/>
      <c r="G11" s="220"/>
      <c r="H11" s="222"/>
      <c r="I11" s="220"/>
      <c r="J11" s="220"/>
      <c r="K11" s="220"/>
    </row>
    <row r="12" spans="2:11" ht="15.75">
      <c r="B12" s="226"/>
      <c r="C12" s="223"/>
      <c r="D12" s="225"/>
      <c r="E12" s="225"/>
      <c r="F12" s="225"/>
      <c r="G12" s="225"/>
      <c r="H12" s="220"/>
      <c r="I12" s="220"/>
      <c r="J12" s="220"/>
      <c r="K12" s="220"/>
    </row>
    <row r="13" spans="2:11" ht="15.75">
      <c r="B13" s="226" t="s">
        <v>1032</v>
      </c>
      <c r="C13" s="223" t="s">
        <v>1033</v>
      </c>
      <c r="D13" s="225"/>
      <c r="E13" s="225"/>
      <c r="F13" s="225"/>
      <c r="G13" s="225"/>
      <c r="H13" s="624"/>
      <c r="I13" s="220"/>
      <c r="J13" s="220"/>
      <c r="K13" s="220"/>
    </row>
    <row r="14" spans="2:9" ht="21" thickBot="1">
      <c r="B14" s="126"/>
      <c r="C14" s="113"/>
      <c r="D14" s="31"/>
      <c r="E14" s="31"/>
      <c r="F14" s="31"/>
      <c r="G14" s="31"/>
      <c r="H14" s="114"/>
      <c r="I14" s="114"/>
    </row>
    <row r="15" spans="1:15" s="21" customFormat="1" ht="47.2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36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44.2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s="21" customFormat="1" ht="29.25">
      <c r="A18" s="310" t="s">
        <v>11</v>
      </c>
      <c r="B18" s="22" t="s">
        <v>162</v>
      </c>
      <c r="C18" s="22" t="s">
        <v>163</v>
      </c>
      <c r="D18" s="22" t="s">
        <v>1448</v>
      </c>
      <c r="E18" s="22">
        <v>20</v>
      </c>
      <c r="F18" s="22" t="s">
        <v>164</v>
      </c>
      <c r="G18" s="22" t="s">
        <v>163</v>
      </c>
      <c r="H18" s="390" t="s">
        <v>165</v>
      </c>
      <c r="I18" s="22">
        <v>70959463</v>
      </c>
      <c r="J18" s="265" t="s">
        <v>16</v>
      </c>
      <c r="K18" s="24">
        <v>13</v>
      </c>
      <c r="L18" s="25"/>
      <c r="M18" s="26">
        <f>50607-42567</f>
        <v>8040</v>
      </c>
      <c r="N18" s="26">
        <f>223628-185550</f>
        <v>38078</v>
      </c>
      <c r="O18" s="30">
        <f aca="true" t="shared" si="0" ref="O18:O67">M18+N18</f>
        <v>46118</v>
      </c>
    </row>
    <row r="19" spans="1:15" s="21" customFormat="1" ht="29.25">
      <c r="A19" s="309" t="s">
        <v>11</v>
      </c>
      <c r="B19" s="27" t="s">
        <v>162</v>
      </c>
      <c r="C19" s="27" t="s">
        <v>163</v>
      </c>
      <c r="D19" s="27" t="s">
        <v>1449</v>
      </c>
      <c r="E19" s="27" t="s">
        <v>166</v>
      </c>
      <c r="F19" s="27" t="s">
        <v>164</v>
      </c>
      <c r="G19" s="27" t="s">
        <v>163</v>
      </c>
      <c r="H19" s="388" t="s">
        <v>167</v>
      </c>
      <c r="I19" s="27">
        <v>70959465</v>
      </c>
      <c r="J19" s="266" t="s">
        <v>16</v>
      </c>
      <c r="K19" s="28">
        <v>9</v>
      </c>
      <c r="L19" s="29"/>
      <c r="M19" s="30">
        <f>45261-38336</f>
        <v>6925</v>
      </c>
      <c r="N19" s="30">
        <f>201058-168574</f>
        <v>32484</v>
      </c>
      <c r="O19" s="30">
        <f t="shared" si="0"/>
        <v>39409</v>
      </c>
    </row>
    <row r="20" spans="1:15" s="21" customFormat="1" ht="29.25">
      <c r="A20" s="309" t="s">
        <v>11</v>
      </c>
      <c r="B20" s="27" t="s">
        <v>162</v>
      </c>
      <c r="C20" s="27" t="s">
        <v>163</v>
      </c>
      <c r="D20" s="27" t="s">
        <v>1449</v>
      </c>
      <c r="E20" s="27"/>
      <c r="F20" s="27" t="s">
        <v>164</v>
      </c>
      <c r="G20" s="27" t="s">
        <v>163</v>
      </c>
      <c r="H20" s="388" t="s">
        <v>168</v>
      </c>
      <c r="I20" s="27">
        <v>70526274</v>
      </c>
      <c r="J20" s="266" t="s">
        <v>16</v>
      </c>
      <c r="K20" s="28">
        <v>6.6</v>
      </c>
      <c r="L20" s="29"/>
      <c r="M20" s="30">
        <f>43725-37777</f>
        <v>5948</v>
      </c>
      <c r="N20" s="30">
        <f>200227-171598</f>
        <v>28629</v>
      </c>
      <c r="O20" s="30">
        <f t="shared" si="0"/>
        <v>34577</v>
      </c>
    </row>
    <row r="21" spans="1:15" s="21" customFormat="1" ht="29.25">
      <c r="A21" s="309" t="s">
        <v>11</v>
      </c>
      <c r="B21" s="27" t="s">
        <v>162</v>
      </c>
      <c r="C21" s="27" t="s">
        <v>163</v>
      </c>
      <c r="D21" s="27" t="s">
        <v>169</v>
      </c>
      <c r="E21" s="27">
        <v>16</v>
      </c>
      <c r="F21" s="27" t="s">
        <v>164</v>
      </c>
      <c r="G21" s="27" t="s">
        <v>163</v>
      </c>
      <c r="H21" s="388" t="s">
        <v>170</v>
      </c>
      <c r="I21" s="27">
        <v>70959581</v>
      </c>
      <c r="J21" s="266" t="s">
        <v>16</v>
      </c>
      <c r="K21" s="28">
        <v>8</v>
      </c>
      <c r="L21" s="29"/>
      <c r="M21" s="30">
        <f>37669-31583</f>
        <v>6086</v>
      </c>
      <c r="N21" s="30">
        <f>165194-137353</f>
        <v>27841</v>
      </c>
      <c r="O21" s="30">
        <f t="shared" si="0"/>
        <v>33927</v>
      </c>
    </row>
    <row r="22" spans="1:15" s="21" customFormat="1" ht="29.25">
      <c r="A22" s="309" t="s">
        <v>11</v>
      </c>
      <c r="B22" s="27" t="s">
        <v>162</v>
      </c>
      <c r="C22" s="27" t="s">
        <v>163</v>
      </c>
      <c r="D22" s="27" t="s">
        <v>171</v>
      </c>
      <c r="E22" s="27">
        <v>3</v>
      </c>
      <c r="F22" s="27" t="s">
        <v>164</v>
      </c>
      <c r="G22" s="27" t="s">
        <v>163</v>
      </c>
      <c r="H22" s="388" t="s">
        <v>172</v>
      </c>
      <c r="I22" s="27">
        <v>91419332</v>
      </c>
      <c r="J22" s="266" t="s">
        <v>16</v>
      </c>
      <c r="K22" s="28">
        <v>6.6</v>
      </c>
      <c r="L22" s="29"/>
      <c r="M22" s="30">
        <f>11696-9394</f>
        <v>2302</v>
      </c>
      <c r="N22" s="30">
        <f>46857-37654</f>
        <v>9203</v>
      </c>
      <c r="O22" s="30">
        <f t="shared" si="0"/>
        <v>11505</v>
      </c>
    </row>
    <row r="23" spans="1:16" s="21" customFormat="1" ht="29.25">
      <c r="A23" s="309" t="s">
        <v>11</v>
      </c>
      <c r="B23" s="27" t="s">
        <v>162</v>
      </c>
      <c r="C23" s="27" t="s">
        <v>163</v>
      </c>
      <c r="D23" s="27" t="s">
        <v>173</v>
      </c>
      <c r="E23" s="27">
        <v>17</v>
      </c>
      <c r="F23" s="27" t="s">
        <v>164</v>
      </c>
      <c r="G23" s="27" t="s">
        <v>163</v>
      </c>
      <c r="H23" s="388" t="s">
        <v>174</v>
      </c>
      <c r="I23" s="27">
        <v>70810828</v>
      </c>
      <c r="J23" s="266" t="s">
        <v>16</v>
      </c>
      <c r="K23" s="28">
        <v>3.6</v>
      </c>
      <c r="L23" s="29"/>
      <c r="M23" s="30">
        <f>31036-26143</f>
        <v>4893</v>
      </c>
      <c r="N23" s="30">
        <f>128516-107923</f>
        <v>20593</v>
      </c>
      <c r="O23" s="30">
        <f t="shared" si="0"/>
        <v>25486</v>
      </c>
      <c r="P23" s="31"/>
    </row>
    <row r="24" spans="1:15" s="21" customFormat="1" ht="29.25">
      <c r="A24" s="309" t="s">
        <v>11</v>
      </c>
      <c r="B24" s="27" t="s">
        <v>162</v>
      </c>
      <c r="C24" s="27" t="s">
        <v>163</v>
      </c>
      <c r="D24" s="27" t="s">
        <v>87</v>
      </c>
      <c r="E24" s="27">
        <v>5</v>
      </c>
      <c r="F24" s="27" t="s">
        <v>164</v>
      </c>
      <c r="G24" s="27" t="s">
        <v>163</v>
      </c>
      <c r="H24" s="388" t="s">
        <v>175</v>
      </c>
      <c r="I24" s="27">
        <v>38686</v>
      </c>
      <c r="J24" s="266" t="s">
        <v>16</v>
      </c>
      <c r="K24" s="28">
        <v>5.5</v>
      </c>
      <c r="L24" s="29"/>
      <c r="M24" s="30">
        <f>20708-17730</f>
        <v>2978</v>
      </c>
      <c r="N24" s="30">
        <f>80546-69147</f>
        <v>11399</v>
      </c>
      <c r="O24" s="30">
        <f t="shared" si="0"/>
        <v>14377</v>
      </c>
    </row>
    <row r="25" spans="1:15" s="21" customFormat="1" ht="29.25">
      <c r="A25" s="309" t="s">
        <v>11</v>
      </c>
      <c r="B25" s="27" t="s">
        <v>162</v>
      </c>
      <c r="C25" s="27" t="s">
        <v>163</v>
      </c>
      <c r="D25" s="27" t="s">
        <v>91</v>
      </c>
      <c r="E25" s="27">
        <v>10</v>
      </c>
      <c r="F25" s="27" t="s">
        <v>164</v>
      </c>
      <c r="G25" s="27" t="s">
        <v>163</v>
      </c>
      <c r="H25" s="388" t="s">
        <v>176</v>
      </c>
      <c r="I25" s="27">
        <v>70959561</v>
      </c>
      <c r="J25" s="266" t="s">
        <v>16</v>
      </c>
      <c r="K25" s="28">
        <v>4.8</v>
      </c>
      <c r="L25" s="29"/>
      <c r="M25" s="30">
        <f>33518-28281</f>
        <v>5237</v>
      </c>
      <c r="N25" s="30">
        <f>150787-125808</f>
        <v>24979</v>
      </c>
      <c r="O25" s="30">
        <f t="shared" si="0"/>
        <v>30216</v>
      </c>
    </row>
    <row r="26" spans="1:15" s="21" customFormat="1" ht="29.25">
      <c r="A26" s="309" t="s">
        <v>11</v>
      </c>
      <c r="B26" s="27" t="s">
        <v>162</v>
      </c>
      <c r="C26" s="27" t="s">
        <v>163</v>
      </c>
      <c r="D26" s="27" t="s">
        <v>209</v>
      </c>
      <c r="E26" s="27"/>
      <c r="F26" s="27" t="s">
        <v>164</v>
      </c>
      <c r="G26" s="27" t="s">
        <v>163</v>
      </c>
      <c r="H26" s="388" t="s">
        <v>177</v>
      </c>
      <c r="I26" s="27">
        <v>70619483</v>
      </c>
      <c r="J26" s="266" t="s">
        <v>16</v>
      </c>
      <c r="K26" s="28">
        <v>10</v>
      </c>
      <c r="L26" s="29"/>
      <c r="M26" s="30">
        <f>45970-38556</f>
        <v>7414</v>
      </c>
      <c r="N26" s="30">
        <f>193565-161678</f>
        <v>31887</v>
      </c>
      <c r="O26" s="30">
        <f t="shared" si="0"/>
        <v>39301</v>
      </c>
    </row>
    <row r="27" spans="1:15" s="21" customFormat="1" ht="29.25">
      <c r="A27" s="309" t="s">
        <v>11</v>
      </c>
      <c r="B27" s="27" t="s">
        <v>162</v>
      </c>
      <c r="C27" s="27" t="s">
        <v>163</v>
      </c>
      <c r="D27" s="27" t="s">
        <v>178</v>
      </c>
      <c r="E27" s="27">
        <v>24</v>
      </c>
      <c r="F27" s="27" t="s">
        <v>164</v>
      </c>
      <c r="G27" s="27" t="s">
        <v>163</v>
      </c>
      <c r="H27" s="388" t="s">
        <v>179</v>
      </c>
      <c r="I27" s="27">
        <v>70959404</v>
      </c>
      <c r="J27" s="266" t="s">
        <v>16</v>
      </c>
      <c r="K27" s="28">
        <v>15</v>
      </c>
      <c r="L27" s="29"/>
      <c r="M27" s="30">
        <f>53424-44951</f>
        <v>8473</v>
      </c>
      <c r="N27" s="30">
        <f>248930-206357</f>
        <v>42573</v>
      </c>
      <c r="O27" s="30">
        <f t="shared" si="0"/>
        <v>51046</v>
      </c>
    </row>
    <row r="28" spans="1:15" s="21" customFormat="1" ht="29.25">
      <c r="A28" s="309" t="s">
        <v>11</v>
      </c>
      <c r="B28" s="27" t="s">
        <v>162</v>
      </c>
      <c r="C28" s="27" t="s">
        <v>163</v>
      </c>
      <c r="D28" s="27" t="s">
        <v>1450</v>
      </c>
      <c r="E28" s="27">
        <v>26</v>
      </c>
      <c r="F28" s="27" t="s">
        <v>164</v>
      </c>
      <c r="G28" s="27" t="s">
        <v>163</v>
      </c>
      <c r="H28" s="388" t="s">
        <v>180</v>
      </c>
      <c r="I28" s="27">
        <v>70959366</v>
      </c>
      <c r="J28" s="266" t="s">
        <v>16</v>
      </c>
      <c r="K28" s="28">
        <v>6.6</v>
      </c>
      <c r="L28" s="29"/>
      <c r="M28" s="30">
        <f>16822-14071</f>
        <v>2751</v>
      </c>
      <c r="N28" s="30">
        <f>76485-63888</f>
        <v>12597</v>
      </c>
      <c r="O28" s="30">
        <f t="shared" si="0"/>
        <v>15348</v>
      </c>
    </row>
    <row r="29" spans="1:15" s="21" customFormat="1" ht="29.25">
      <c r="A29" s="309" t="s">
        <v>11</v>
      </c>
      <c r="B29" s="27" t="s">
        <v>162</v>
      </c>
      <c r="C29" s="27" t="s">
        <v>163</v>
      </c>
      <c r="D29" s="27" t="s">
        <v>181</v>
      </c>
      <c r="E29" s="27">
        <v>21</v>
      </c>
      <c r="F29" s="27" t="s">
        <v>164</v>
      </c>
      <c r="G29" s="27" t="s">
        <v>163</v>
      </c>
      <c r="H29" s="388" t="s">
        <v>182</v>
      </c>
      <c r="I29" s="27">
        <v>70959590</v>
      </c>
      <c r="J29" s="266" t="s">
        <v>16</v>
      </c>
      <c r="K29" s="28">
        <v>10.5</v>
      </c>
      <c r="L29" s="29"/>
      <c r="M29" s="30">
        <f>36572-30972</f>
        <v>5600</v>
      </c>
      <c r="N29" s="30">
        <f>175483-146048</f>
        <v>29435</v>
      </c>
      <c r="O29" s="30">
        <f t="shared" si="0"/>
        <v>35035</v>
      </c>
    </row>
    <row r="30" spans="1:15" s="21" customFormat="1" ht="29.25">
      <c r="A30" s="309" t="s">
        <v>11</v>
      </c>
      <c r="B30" s="27" t="s">
        <v>162</v>
      </c>
      <c r="C30" s="27" t="s">
        <v>163</v>
      </c>
      <c r="D30" s="27" t="s">
        <v>1451</v>
      </c>
      <c r="E30" s="27"/>
      <c r="F30" s="27" t="s">
        <v>164</v>
      </c>
      <c r="G30" s="27" t="s">
        <v>163</v>
      </c>
      <c r="H30" s="388" t="s">
        <v>183</v>
      </c>
      <c r="I30" s="27">
        <v>70959405</v>
      </c>
      <c r="J30" s="266" t="s">
        <v>16</v>
      </c>
      <c r="K30" s="28">
        <v>6.6</v>
      </c>
      <c r="L30" s="29"/>
      <c r="M30" s="30">
        <f>5315-4400</f>
        <v>915</v>
      </c>
      <c r="N30" s="30">
        <f>23314-19349</f>
        <v>3965</v>
      </c>
      <c r="O30" s="30">
        <f t="shared" si="0"/>
        <v>4880</v>
      </c>
    </row>
    <row r="31" spans="1:15" s="21" customFormat="1" ht="29.25">
      <c r="A31" s="309" t="s">
        <v>11</v>
      </c>
      <c r="B31" s="27" t="s">
        <v>162</v>
      </c>
      <c r="C31" s="27" t="s">
        <v>163</v>
      </c>
      <c r="D31" s="27" t="s">
        <v>184</v>
      </c>
      <c r="E31" s="27"/>
      <c r="F31" s="27" t="s">
        <v>164</v>
      </c>
      <c r="G31" s="27" t="s">
        <v>163</v>
      </c>
      <c r="H31" s="388" t="s">
        <v>185</v>
      </c>
      <c r="I31" s="27">
        <v>70927653</v>
      </c>
      <c r="J31" s="266" t="s">
        <v>16</v>
      </c>
      <c r="K31" s="28">
        <v>6.6</v>
      </c>
      <c r="L31" s="29"/>
      <c r="M31" s="30">
        <f>16370-13522</f>
        <v>2848</v>
      </c>
      <c r="N31" s="30">
        <f>72566-59452</f>
        <v>13114</v>
      </c>
      <c r="O31" s="30">
        <f t="shared" si="0"/>
        <v>15962</v>
      </c>
    </row>
    <row r="32" spans="1:15" s="21" customFormat="1" ht="29.25">
      <c r="A32" s="309" t="s">
        <v>11</v>
      </c>
      <c r="B32" s="27" t="s">
        <v>162</v>
      </c>
      <c r="C32" s="27" t="s">
        <v>163</v>
      </c>
      <c r="D32" s="27" t="s">
        <v>186</v>
      </c>
      <c r="E32" s="27"/>
      <c r="F32" s="27" t="s">
        <v>164</v>
      </c>
      <c r="G32" s="27" t="s">
        <v>163</v>
      </c>
      <c r="H32" s="388" t="s">
        <v>187</v>
      </c>
      <c r="I32" s="27">
        <v>91297164</v>
      </c>
      <c r="J32" s="266" t="s">
        <v>16</v>
      </c>
      <c r="K32" s="28">
        <v>6.6</v>
      </c>
      <c r="L32" s="29"/>
      <c r="M32" s="30">
        <f>33992-30593</f>
        <v>3399</v>
      </c>
      <c r="N32" s="30">
        <f>97417-83098</f>
        <v>14319</v>
      </c>
      <c r="O32" s="30">
        <f t="shared" si="0"/>
        <v>17718</v>
      </c>
    </row>
    <row r="33" spans="1:15" s="21" customFormat="1" ht="29.25">
      <c r="A33" s="309" t="s">
        <v>11</v>
      </c>
      <c r="B33" s="27" t="s">
        <v>162</v>
      </c>
      <c r="C33" s="27" t="s">
        <v>163</v>
      </c>
      <c r="D33" s="27" t="s">
        <v>181</v>
      </c>
      <c r="E33" s="27">
        <v>74</v>
      </c>
      <c r="F33" s="27" t="s">
        <v>164</v>
      </c>
      <c r="G33" s="27" t="s">
        <v>163</v>
      </c>
      <c r="H33" s="388" t="s">
        <v>188</v>
      </c>
      <c r="I33" s="27">
        <v>39637</v>
      </c>
      <c r="J33" s="266" t="s">
        <v>16</v>
      </c>
      <c r="K33" s="28">
        <v>7.5</v>
      </c>
      <c r="L33" s="29"/>
      <c r="M33" s="30">
        <f>33162-28270</f>
        <v>4892</v>
      </c>
      <c r="N33" s="30">
        <f>137699-118319</f>
        <v>19380</v>
      </c>
      <c r="O33" s="30">
        <f t="shared" si="0"/>
        <v>24272</v>
      </c>
    </row>
    <row r="34" spans="1:15" s="21" customFormat="1" ht="29.25">
      <c r="A34" s="309" t="s">
        <v>11</v>
      </c>
      <c r="B34" s="27" t="s">
        <v>162</v>
      </c>
      <c r="C34" s="27" t="s">
        <v>163</v>
      </c>
      <c r="D34" s="27" t="s">
        <v>189</v>
      </c>
      <c r="E34" s="27">
        <v>21</v>
      </c>
      <c r="F34" s="27" t="s">
        <v>164</v>
      </c>
      <c r="G34" s="27" t="s">
        <v>163</v>
      </c>
      <c r="H34" s="388" t="s">
        <v>190</v>
      </c>
      <c r="I34" s="27">
        <v>70959398</v>
      </c>
      <c r="J34" s="266" t="s">
        <v>16</v>
      </c>
      <c r="K34" s="28">
        <v>7</v>
      </c>
      <c r="L34" s="29"/>
      <c r="M34" s="30">
        <f>28591-23602</f>
        <v>4989</v>
      </c>
      <c r="N34" s="30">
        <f>124874-102307</f>
        <v>22567</v>
      </c>
      <c r="O34" s="30">
        <f t="shared" si="0"/>
        <v>27556</v>
      </c>
    </row>
    <row r="35" spans="1:15" s="21" customFormat="1" ht="29.25">
      <c r="A35" s="309" t="s">
        <v>11</v>
      </c>
      <c r="B35" s="27" t="s">
        <v>162</v>
      </c>
      <c r="C35" s="27" t="s">
        <v>163</v>
      </c>
      <c r="D35" s="27" t="s">
        <v>191</v>
      </c>
      <c r="E35" s="27">
        <v>50</v>
      </c>
      <c r="F35" s="27" t="s">
        <v>164</v>
      </c>
      <c r="G35" s="27" t="s">
        <v>163</v>
      </c>
      <c r="H35" s="388" t="s">
        <v>192</v>
      </c>
      <c r="I35" s="27">
        <v>70959420</v>
      </c>
      <c r="J35" s="266" t="s">
        <v>16</v>
      </c>
      <c r="K35" s="28">
        <v>8.5</v>
      </c>
      <c r="L35" s="29"/>
      <c r="M35" s="30">
        <f>28364-23400</f>
        <v>4964</v>
      </c>
      <c r="N35" s="30">
        <f>125312-103209</f>
        <v>22103</v>
      </c>
      <c r="O35" s="30">
        <f t="shared" si="0"/>
        <v>27067</v>
      </c>
    </row>
    <row r="36" spans="1:15" s="21" customFormat="1" ht="29.25">
      <c r="A36" s="309" t="s">
        <v>11</v>
      </c>
      <c r="B36" s="27" t="s">
        <v>162</v>
      </c>
      <c r="C36" s="27" t="s">
        <v>163</v>
      </c>
      <c r="D36" s="27" t="s">
        <v>193</v>
      </c>
      <c r="E36" s="27">
        <v>9</v>
      </c>
      <c r="F36" s="27" t="s">
        <v>164</v>
      </c>
      <c r="G36" s="27" t="s">
        <v>163</v>
      </c>
      <c r="H36" s="388" t="s">
        <v>194</v>
      </c>
      <c r="I36" s="27">
        <v>91470248</v>
      </c>
      <c r="J36" s="266" t="s">
        <v>16</v>
      </c>
      <c r="K36" s="28">
        <v>12.5</v>
      </c>
      <c r="L36" s="29"/>
      <c r="M36" s="30">
        <f>76886-63347</f>
        <v>13539</v>
      </c>
      <c r="N36" s="30">
        <f>269522-227624</f>
        <v>41898</v>
      </c>
      <c r="O36" s="30">
        <f t="shared" si="0"/>
        <v>55437</v>
      </c>
    </row>
    <row r="37" spans="1:15" s="21" customFormat="1" ht="29.25">
      <c r="A37" s="309" t="s">
        <v>11</v>
      </c>
      <c r="B37" s="27" t="s">
        <v>162</v>
      </c>
      <c r="C37" s="27" t="s">
        <v>163</v>
      </c>
      <c r="D37" s="27" t="s">
        <v>195</v>
      </c>
      <c r="E37" s="27">
        <v>7</v>
      </c>
      <c r="F37" s="27" t="s">
        <v>164</v>
      </c>
      <c r="G37" s="27" t="s">
        <v>163</v>
      </c>
      <c r="H37" s="388" t="s">
        <v>196</v>
      </c>
      <c r="I37" s="27">
        <v>70959468</v>
      </c>
      <c r="J37" s="266" t="s">
        <v>16</v>
      </c>
      <c r="K37" s="28">
        <v>9</v>
      </c>
      <c r="L37" s="29"/>
      <c r="M37" s="30">
        <f>52513-44236</f>
        <v>8277</v>
      </c>
      <c r="N37" s="30">
        <f>241939-200840</f>
        <v>41099</v>
      </c>
      <c r="O37" s="30">
        <f t="shared" si="0"/>
        <v>49376</v>
      </c>
    </row>
    <row r="38" spans="1:15" s="21" customFormat="1" ht="29.25">
      <c r="A38" s="309" t="s">
        <v>11</v>
      </c>
      <c r="B38" s="27" t="s">
        <v>162</v>
      </c>
      <c r="C38" s="27" t="s">
        <v>163</v>
      </c>
      <c r="D38" s="27" t="s">
        <v>197</v>
      </c>
      <c r="E38" s="27"/>
      <c r="F38" s="27" t="s">
        <v>164</v>
      </c>
      <c r="G38" s="27" t="s">
        <v>163</v>
      </c>
      <c r="H38" s="388" t="s">
        <v>198</v>
      </c>
      <c r="I38" s="27">
        <v>879957</v>
      </c>
      <c r="J38" s="266" t="s">
        <v>16</v>
      </c>
      <c r="K38" s="28">
        <v>6.6</v>
      </c>
      <c r="L38" s="29"/>
      <c r="M38" s="30">
        <f>20052-16003</f>
        <v>4049</v>
      </c>
      <c r="N38" s="30">
        <f>86366-68458</f>
        <v>17908</v>
      </c>
      <c r="O38" s="30">
        <f t="shared" si="0"/>
        <v>21957</v>
      </c>
    </row>
    <row r="39" spans="1:15" s="21" customFormat="1" ht="29.25">
      <c r="A39" s="309" t="s">
        <v>11</v>
      </c>
      <c r="B39" s="27" t="s">
        <v>162</v>
      </c>
      <c r="C39" s="27" t="s">
        <v>163</v>
      </c>
      <c r="D39" s="27" t="s">
        <v>199</v>
      </c>
      <c r="E39" s="27">
        <v>18</v>
      </c>
      <c r="F39" s="27" t="s">
        <v>164</v>
      </c>
      <c r="G39" s="27" t="s">
        <v>163</v>
      </c>
      <c r="H39" s="388" t="s">
        <v>200</v>
      </c>
      <c r="I39" s="27">
        <v>93026058</v>
      </c>
      <c r="J39" s="266" t="s">
        <v>16</v>
      </c>
      <c r="K39" s="28">
        <v>6.6</v>
      </c>
      <c r="L39" s="29"/>
      <c r="M39" s="30">
        <f>80813-68028</f>
        <v>12785</v>
      </c>
      <c r="N39" s="30">
        <f>300549-249484</f>
        <v>51065</v>
      </c>
      <c r="O39" s="30">
        <f t="shared" si="0"/>
        <v>63850</v>
      </c>
    </row>
    <row r="40" spans="1:15" s="21" customFormat="1" ht="29.25">
      <c r="A40" s="309" t="s">
        <v>11</v>
      </c>
      <c r="B40" s="27" t="s">
        <v>162</v>
      </c>
      <c r="C40" s="27" t="s">
        <v>163</v>
      </c>
      <c r="D40" s="27" t="s">
        <v>201</v>
      </c>
      <c r="E40" s="27">
        <v>85</v>
      </c>
      <c r="F40" s="27" t="s">
        <v>164</v>
      </c>
      <c r="G40" s="27" t="s">
        <v>163</v>
      </c>
      <c r="H40" s="388" t="s">
        <v>202</v>
      </c>
      <c r="I40" s="27">
        <v>70959467</v>
      </c>
      <c r="J40" s="266" t="s">
        <v>16</v>
      </c>
      <c r="K40" s="28">
        <v>6.6</v>
      </c>
      <c r="L40" s="29"/>
      <c r="M40" s="30">
        <f>20609-17161</f>
        <v>3448</v>
      </c>
      <c r="N40" s="30">
        <f>94813-78489</f>
        <v>16324</v>
      </c>
      <c r="O40" s="30">
        <f t="shared" si="0"/>
        <v>19772</v>
      </c>
    </row>
    <row r="41" spans="1:15" s="21" customFormat="1" ht="29.25">
      <c r="A41" s="309" t="s">
        <v>11</v>
      </c>
      <c r="B41" s="27" t="s">
        <v>162</v>
      </c>
      <c r="C41" s="27" t="s">
        <v>163</v>
      </c>
      <c r="D41" s="27" t="s">
        <v>203</v>
      </c>
      <c r="E41" s="27">
        <v>11</v>
      </c>
      <c r="F41" s="27" t="s">
        <v>164</v>
      </c>
      <c r="G41" s="27" t="s">
        <v>163</v>
      </c>
      <c r="H41" s="388" t="s">
        <v>204</v>
      </c>
      <c r="I41" s="27">
        <v>69732</v>
      </c>
      <c r="J41" s="266" t="s">
        <v>16</v>
      </c>
      <c r="K41" s="28">
        <v>10.5</v>
      </c>
      <c r="L41" s="29"/>
      <c r="M41" s="30">
        <f>66407-60767</f>
        <v>5640</v>
      </c>
      <c r="N41" s="30">
        <f>297286-273368</f>
        <v>23918</v>
      </c>
      <c r="O41" s="30">
        <f t="shared" si="0"/>
        <v>29558</v>
      </c>
    </row>
    <row r="42" spans="1:15" s="21" customFormat="1" ht="29.25">
      <c r="A42" s="309" t="s">
        <v>11</v>
      </c>
      <c r="B42" s="27" t="s">
        <v>162</v>
      </c>
      <c r="C42" s="27" t="s">
        <v>163</v>
      </c>
      <c r="D42" s="27" t="s">
        <v>205</v>
      </c>
      <c r="E42" s="27"/>
      <c r="F42" s="27" t="s">
        <v>164</v>
      </c>
      <c r="G42" s="27" t="s">
        <v>163</v>
      </c>
      <c r="H42" s="388" t="s">
        <v>206</v>
      </c>
      <c r="I42" s="27">
        <v>117209</v>
      </c>
      <c r="J42" s="266" t="s">
        <v>16</v>
      </c>
      <c r="K42" s="28">
        <v>5</v>
      </c>
      <c r="L42" s="29"/>
      <c r="M42" s="30">
        <f>19714-15981</f>
        <v>3733</v>
      </c>
      <c r="N42" s="30">
        <f>75196-61824</f>
        <v>13372</v>
      </c>
      <c r="O42" s="30">
        <f t="shared" si="0"/>
        <v>17105</v>
      </c>
    </row>
    <row r="43" spans="1:15" s="21" customFormat="1" ht="29.25">
      <c r="A43" s="309" t="s">
        <v>11</v>
      </c>
      <c r="B43" s="27" t="s">
        <v>162</v>
      </c>
      <c r="C43" s="27" t="s">
        <v>163</v>
      </c>
      <c r="D43" s="27" t="s">
        <v>1452</v>
      </c>
      <c r="E43" s="27">
        <v>46</v>
      </c>
      <c r="F43" s="27" t="s">
        <v>164</v>
      </c>
      <c r="G43" s="27" t="s">
        <v>163</v>
      </c>
      <c r="H43" s="388" t="s">
        <v>207</v>
      </c>
      <c r="I43" s="27">
        <v>318099</v>
      </c>
      <c r="J43" s="266" t="s">
        <v>16</v>
      </c>
      <c r="K43" s="28">
        <v>8</v>
      </c>
      <c r="L43" s="29"/>
      <c r="M43" s="30">
        <f>7576-5681</f>
        <v>1895</v>
      </c>
      <c r="N43" s="30">
        <f>80168-61401</f>
        <v>18767</v>
      </c>
      <c r="O43" s="30">
        <f t="shared" si="0"/>
        <v>20662</v>
      </c>
    </row>
    <row r="44" spans="1:15" s="21" customFormat="1" ht="29.25">
      <c r="A44" s="309" t="s">
        <v>11</v>
      </c>
      <c r="B44" s="27" t="s">
        <v>162</v>
      </c>
      <c r="C44" s="27" t="s">
        <v>163</v>
      </c>
      <c r="D44" s="27" t="s">
        <v>1452</v>
      </c>
      <c r="E44" s="27"/>
      <c r="F44" s="27" t="s">
        <v>164</v>
      </c>
      <c r="G44" s="27" t="s">
        <v>163</v>
      </c>
      <c r="H44" s="388" t="s">
        <v>208</v>
      </c>
      <c r="I44" s="27">
        <v>70851614</v>
      </c>
      <c r="J44" s="266" t="s">
        <v>16</v>
      </c>
      <c r="K44" s="28">
        <v>10.5</v>
      </c>
      <c r="L44" s="29"/>
      <c r="M44" s="30">
        <f>37941-32847</f>
        <v>5094</v>
      </c>
      <c r="N44" s="30">
        <f>167786-143982</f>
        <v>23804</v>
      </c>
      <c r="O44" s="30">
        <f t="shared" si="0"/>
        <v>28898</v>
      </c>
    </row>
    <row r="45" spans="1:15" s="21" customFormat="1" ht="29.25">
      <c r="A45" s="309" t="s">
        <v>11</v>
      </c>
      <c r="B45" s="27" t="s">
        <v>162</v>
      </c>
      <c r="C45" s="27" t="s">
        <v>163</v>
      </c>
      <c r="D45" s="27" t="s">
        <v>209</v>
      </c>
      <c r="E45" s="27">
        <v>139</v>
      </c>
      <c r="F45" s="27" t="s">
        <v>164</v>
      </c>
      <c r="G45" s="27" t="s">
        <v>163</v>
      </c>
      <c r="H45" s="388" t="s">
        <v>210</v>
      </c>
      <c r="I45" s="27">
        <v>10392</v>
      </c>
      <c r="J45" s="266" t="s">
        <v>16</v>
      </c>
      <c r="K45" s="28">
        <v>6.6</v>
      </c>
      <c r="L45" s="29"/>
      <c r="M45" s="30">
        <f>80808-69520</f>
        <v>11288</v>
      </c>
      <c r="N45" s="30">
        <f>317086-263819</f>
        <v>53267</v>
      </c>
      <c r="O45" s="30">
        <f t="shared" si="0"/>
        <v>64555</v>
      </c>
    </row>
    <row r="46" spans="1:15" s="21" customFormat="1" ht="29.25">
      <c r="A46" s="309" t="s">
        <v>11</v>
      </c>
      <c r="B46" s="27" t="s">
        <v>162</v>
      </c>
      <c r="C46" s="27" t="s">
        <v>163</v>
      </c>
      <c r="D46" s="27" t="s">
        <v>211</v>
      </c>
      <c r="E46" s="27"/>
      <c r="F46" s="27" t="s">
        <v>164</v>
      </c>
      <c r="G46" s="27" t="s">
        <v>163</v>
      </c>
      <c r="H46" s="388" t="s">
        <v>212</v>
      </c>
      <c r="I46" s="27">
        <v>70959908</v>
      </c>
      <c r="J46" s="266" t="s">
        <v>16</v>
      </c>
      <c r="K46" s="28">
        <v>8.5</v>
      </c>
      <c r="L46" s="29"/>
      <c r="M46" s="30">
        <f>54114-44806</f>
        <v>9308</v>
      </c>
      <c r="N46" s="30">
        <f>222777-184990</f>
        <v>37787</v>
      </c>
      <c r="O46" s="30">
        <f t="shared" si="0"/>
        <v>47095</v>
      </c>
    </row>
    <row r="47" spans="1:15" s="21" customFormat="1" ht="29.25">
      <c r="A47" s="309" t="s">
        <v>11</v>
      </c>
      <c r="B47" s="27" t="s">
        <v>162</v>
      </c>
      <c r="C47" s="27" t="s">
        <v>163</v>
      </c>
      <c r="D47" s="27" t="s">
        <v>213</v>
      </c>
      <c r="E47" s="27"/>
      <c r="F47" s="27" t="s">
        <v>164</v>
      </c>
      <c r="G47" s="27" t="s">
        <v>163</v>
      </c>
      <c r="H47" s="388" t="s">
        <v>214</v>
      </c>
      <c r="I47" s="27">
        <v>70959720</v>
      </c>
      <c r="J47" s="266" t="s">
        <v>16</v>
      </c>
      <c r="K47" s="28">
        <v>6.6</v>
      </c>
      <c r="L47" s="29"/>
      <c r="M47" s="30">
        <f>21957-18806</f>
        <v>3151</v>
      </c>
      <c r="N47" s="30">
        <f>98358-84047</f>
        <v>14311</v>
      </c>
      <c r="O47" s="30">
        <f t="shared" si="0"/>
        <v>17462</v>
      </c>
    </row>
    <row r="48" spans="1:15" s="21" customFormat="1" ht="29.25">
      <c r="A48" s="309" t="s">
        <v>11</v>
      </c>
      <c r="B48" s="27" t="s">
        <v>162</v>
      </c>
      <c r="C48" s="27" t="s">
        <v>163</v>
      </c>
      <c r="D48" s="27" t="s">
        <v>1453</v>
      </c>
      <c r="E48" s="27">
        <v>12</v>
      </c>
      <c r="F48" s="27" t="s">
        <v>164</v>
      </c>
      <c r="G48" s="27" t="s">
        <v>163</v>
      </c>
      <c r="H48" s="388" t="s">
        <v>215</v>
      </c>
      <c r="I48" s="27">
        <v>70959560</v>
      </c>
      <c r="J48" s="266" t="s">
        <v>16</v>
      </c>
      <c r="K48" s="28">
        <v>7</v>
      </c>
      <c r="L48" s="29"/>
      <c r="M48" s="30">
        <f>28044-23664</f>
        <v>4380</v>
      </c>
      <c r="N48" s="30">
        <f>128714-107807</f>
        <v>20907</v>
      </c>
      <c r="O48" s="30">
        <f t="shared" si="0"/>
        <v>25287</v>
      </c>
    </row>
    <row r="49" spans="1:15" s="21" customFormat="1" ht="29.25">
      <c r="A49" s="309" t="s">
        <v>11</v>
      </c>
      <c r="B49" s="27" t="s">
        <v>162</v>
      </c>
      <c r="C49" s="27" t="s">
        <v>163</v>
      </c>
      <c r="D49" s="27" t="s">
        <v>1454</v>
      </c>
      <c r="E49" s="27">
        <v>12</v>
      </c>
      <c r="F49" s="27" t="s">
        <v>164</v>
      </c>
      <c r="G49" s="27" t="s">
        <v>163</v>
      </c>
      <c r="H49" s="388" t="s">
        <v>216</v>
      </c>
      <c r="I49" s="27">
        <v>70959529</v>
      </c>
      <c r="J49" s="266" t="s">
        <v>16</v>
      </c>
      <c r="K49" s="28">
        <v>3.8</v>
      </c>
      <c r="L49" s="29"/>
      <c r="M49" s="30">
        <f>20166-16761</f>
        <v>3405</v>
      </c>
      <c r="N49" s="30">
        <f>90015-74087</f>
        <v>15928</v>
      </c>
      <c r="O49" s="30">
        <f t="shared" si="0"/>
        <v>19333</v>
      </c>
    </row>
    <row r="50" spans="1:15" s="21" customFormat="1" ht="29.25">
      <c r="A50" s="309" t="s">
        <v>11</v>
      </c>
      <c r="B50" s="27" t="s">
        <v>162</v>
      </c>
      <c r="C50" s="27" t="s">
        <v>163</v>
      </c>
      <c r="D50" s="27" t="s">
        <v>217</v>
      </c>
      <c r="E50" s="27">
        <v>23</v>
      </c>
      <c r="F50" s="27" t="s">
        <v>164</v>
      </c>
      <c r="G50" s="27" t="s">
        <v>163</v>
      </c>
      <c r="H50" s="388" t="s">
        <v>218</v>
      </c>
      <c r="I50" s="27">
        <v>91473219</v>
      </c>
      <c r="J50" s="266" t="s">
        <v>16</v>
      </c>
      <c r="K50" s="28">
        <v>6.6</v>
      </c>
      <c r="L50" s="29"/>
      <c r="M50" s="30">
        <f>29183-24362</f>
        <v>4821</v>
      </c>
      <c r="N50" s="30">
        <f>118770-100082</f>
        <v>18688</v>
      </c>
      <c r="O50" s="30">
        <f t="shared" si="0"/>
        <v>23509</v>
      </c>
    </row>
    <row r="51" spans="1:15" s="21" customFormat="1" ht="29.25">
      <c r="A51" s="309" t="s">
        <v>11</v>
      </c>
      <c r="B51" s="27" t="s">
        <v>162</v>
      </c>
      <c r="C51" s="27" t="s">
        <v>163</v>
      </c>
      <c r="D51" s="27" t="s">
        <v>219</v>
      </c>
      <c r="E51" s="27">
        <v>22</v>
      </c>
      <c r="F51" s="27" t="s">
        <v>164</v>
      </c>
      <c r="G51" s="27" t="s">
        <v>163</v>
      </c>
      <c r="H51" s="388" t="s">
        <v>220</v>
      </c>
      <c r="I51" s="27">
        <v>70959440</v>
      </c>
      <c r="J51" s="266" t="s">
        <v>16</v>
      </c>
      <c r="K51" s="28">
        <v>6.6</v>
      </c>
      <c r="L51" s="29"/>
      <c r="M51" s="30">
        <f>26353-21621</f>
        <v>4732</v>
      </c>
      <c r="N51" s="30">
        <f>118587-97071</f>
        <v>21516</v>
      </c>
      <c r="O51" s="30">
        <f t="shared" si="0"/>
        <v>26248</v>
      </c>
    </row>
    <row r="52" spans="1:15" s="21" customFormat="1" ht="29.25">
      <c r="A52" s="309" t="s">
        <v>11</v>
      </c>
      <c r="B52" s="27" t="s">
        <v>162</v>
      </c>
      <c r="C52" s="27" t="s">
        <v>163</v>
      </c>
      <c r="D52" s="27" t="s">
        <v>221</v>
      </c>
      <c r="E52" s="27">
        <v>8</v>
      </c>
      <c r="F52" s="27" t="s">
        <v>164</v>
      </c>
      <c r="G52" s="27" t="s">
        <v>163</v>
      </c>
      <c r="H52" s="388" t="s">
        <v>222</v>
      </c>
      <c r="I52" s="27">
        <v>70544265</v>
      </c>
      <c r="J52" s="266" t="s">
        <v>16</v>
      </c>
      <c r="K52" s="28">
        <v>9</v>
      </c>
      <c r="L52" s="29"/>
      <c r="M52" s="30">
        <f>39664-33093</f>
        <v>6571</v>
      </c>
      <c r="N52" s="30">
        <f>170291-142416</f>
        <v>27875</v>
      </c>
      <c r="O52" s="30">
        <f t="shared" si="0"/>
        <v>34446</v>
      </c>
    </row>
    <row r="53" spans="1:15" s="21" customFormat="1" ht="29.25">
      <c r="A53" s="309" t="s">
        <v>11</v>
      </c>
      <c r="B53" s="27" t="s">
        <v>162</v>
      </c>
      <c r="C53" s="27" t="s">
        <v>163</v>
      </c>
      <c r="D53" s="27" t="s">
        <v>223</v>
      </c>
      <c r="E53" s="27">
        <v>2</v>
      </c>
      <c r="F53" s="27" t="s">
        <v>164</v>
      </c>
      <c r="G53" s="27" t="s">
        <v>163</v>
      </c>
      <c r="H53" s="388" t="s">
        <v>224</v>
      </c>
      <c r="I53" s="27">
        <v>70959392</v>
      </c>
      <c r="J53" s="266" t="s">
        <v>16</v>
      </c>
      <c r="K53" s="28">
        <v>15</v>
      </c>
      <c r="L53" s="29"/>
      <c r="M53" s="30">
        <f>79500-64644</f>
        <v>14856</v>
      </c>
      <c r="N53" s="30">
        <f>328400-277276</f>
        <v>51124</v>
      </c>
      <c r="O53" s="30">
        <f t="shared" si="0"/>
        <v>65980</v>
      </c>
    </row>
    <row r="54" spans="1:15" s="21" customFormat="1" ht="29.25">
      <c r="A54" s="309" t="s">
        <v>11</v>
      </c>
      <c r="B54" s="27" t="s">
        <v>162</v>
      </c>
      <c r="C54" s="27" t="s">
        <v>163</v>
      </c>
      <c r="D54" s="27" t="s">
        <v>1455</v>
      </c>
      <c r="E54" s="27"/>
      <c r="F54" s="27" t="s">
        <v>164</v>
      </c>
      <c r="G54" s="27" t="s">
        <v>163</v>
      </c>
      <c r="H54" s="388" t="s">
        <v>225</v>
      </c>
      <c r="I54" s="27">
        <v>70959470</v>
      </c>
      <c r="J54" s="266" t="s">
        <v>16</v>
      </c>
      <c r="K54" s="28">
        <v>9.6</v>
      </c>
      <c r="L54" s="29"/>
      <c r="M54" s="30">
        <f>51520-43956</f>
        <v>7564</v>
      </c>
      <c r="N54" s="30">
        <f>218047-185247</f>
        <v>32800</v>
      </c>
      <c r="O54" s="30">
        <f t="shared" si="0"/>
        <v>40364</v>
      </c>
    </row>
    <row r="55" spans="1:15" s="21" customFormat="1" ht="29.25">
      <c r="A55" s="309" t="s">
        <v>11</v>
      </c>
      <c r="B55" s="27" t="s">
        <v>162</v>
      </c>
      <c r="C55" s="27" t="s">
        <v>163</v>
      </c>
      <c r="D55" s="27" t="s">
        <v>1456</v>
      </c>
      <c r="E55" s="27">
        <v>1</v>
      </c>
      <c r="F55" s="27" t="s">
        <v>164</v>
      </c>
      <c r="G55" s="27" t="s">
        <v>163</v>
      </c>
      <c r="H55" s="388" t="s">
        <v>226</v>
      </c>
      <c r="I55" s="27">
        <v>70959407</v>
      </c>
      <c r="J55" s="266" t="s">
        <v>16</v>
      </c>
      <c r="K55" s="28">
        <v>18.5</v>
      </c>
      <c r="L55" s="29"/>
      <c r="M55" s="30">
        <f>69000-57394</f>
        <v>11606</v>
      </c>
      <c r="N55" s="30">
        <f>310939-255848</f>
        <v>55091</v>
      </c>
      <c r="O55" s="30">
        <f t="shared" si="0"/>
        <v>66697</v>
      </c>
    </row>
    <row r="56" spans="1:15" s="21" customFormat="1" ht="29.25">
      <c r="A56" s="309" t="s">
        <v>11</v>
      </c>
      <c r="B56" s="27" t="s">
        <v>162</v>
      </c>
      <c r="C56" s="27" t="s">
        <v>163</v>
      </c>
      <c r="D56" s="27" t="s">
        <v>227</v>
      </c>
      <c r="E56" s="27">
        <v>7</v>
      </c>
      <c r="F56" s="27" t="s">
        <v>164</v>
      </c>
      <c r="G56" s="27" t="s">
        <v>163</v>
      </c>
      <c r="H56" s="388" t="s">
        <v>228</v>
      </c>
      <c r="I56" s="27">
        <v>70823256</v>
      </c>
      <c r="J56" s="266" t="s">
        <v>16</v>
      </c>
      <c r="K56" s="28">
        <v>6.6</v>
      </c>
      <c r="L56" s="29"/>
      <c r="M56" s="30">
        <f>32559-27057</f>
        <v>5502</v>
      </c>
      <c r="N56" s="30">
        <f>132680-110756</f>
        <v>21924</v>
      </c>
      <c r="O56" s="30">
        <f t="shared" si="0"/>
        <v>27426</v>
      </c>
    </row>
    <row r="57" spans="1:15" s="21" customFormat="1" ht="29.25">
      <c r="A57" s="309" t="s">
        <v>11</v>
      </c>
      <c r="B57" s="27" t="s">
        <v>162</v>
      </c>
      <c r="C57" s="27" t="s">
        <v>163</v>
      </c>
      <c r="D57" s="27" t="s">
        <v>229</v>
      </c>
      <c r="E57" s="27"/>
      <c r="F57" s="27" t="s">
        <v>164</v>
      </c>
      <c r="G57" s="27" t="s">
        <v>163</v>
      </c>
      <c r="H57" s="388" t="s">
        <v>230</v>
      </c>
      <c r="I57" s="27">
        <v>70959533</v>
      </c>
      <c r="J57" s="266" t="s">
        <v>16</v>
      </c>
      <c r="K57" s="28">
        <v>10.5</v>
      </c>
      <c r="L57" s="29"/>
      <c r="M57" s="30">
        <f>35266-29770</f>
        <v>5496</v>
      </c>
      <c r="N57" s="30">
        <f>153847-129009</f>
        <v>24838</v>
      </c>
      <c r="O57" s="30">
        <f t="shared" si="0"/>
        <v>30334</v>
      </c>
    </row>
    <row r="58" spans="1:15" s="21" customFormat="1" ht="29.25">
      <c r="A58" s="309" t="s">
        <v>11</v>
      </c>
      <c r="B58" s="27" t="s">
        <v>162</v>
      </c>
      <c r="C58" s="27" t="s">
        <v>163</v>
      </c>
      <c r="D58" s="27" t="s">
        <v>1457</v>
      </c>
      <c r="E58" s="27">
        <v>5</v>
      </c>
      <c r="F58" s="27" t="s">
        <v>164</v>
      </c>
      <c r="G58" s="27" t="s">
        <v>163</v>
      </c>
      <c r="H58" s="388" t="s">
        <v>231</v>
      </c>
      <c r="I58" s="27">
        <v>70927644</v>
      </c>
      <c r="J58" s="266" t="s">
        <v>16</v>
      </c>
      <c r="K58" s="28">
        <v>3.8</v>
      </c>
      <c r="L58" s="29"/>
      <c r="M58" s="30">
        <f>13945-11467</f>
        <v>2478</v>
      </c>
      <c r="N58" s="30">
        <f>54414-45414</f>
        <v>9000</v>
      </c>
      <c r="O58" s="30">
        <f t="shared" si="0"/>
        <v>11478</v>
      </c>
    </row>
    <row r="59" spans="1:15" s="21" customFormat="1" ht="29.25">
      <c r="A59" s="309" t="s">
        <v>11</v>
      </c>
      <c r="B59" s="27" t="s">
        <v>162</v>
      </c>
      <c r="C59" s="27" t="s">
        <v>163</v>
      </c>
      <c r="D59" s="27" t="s">
        <v>1325</v>
      </c>
      <c r="E59" s="27">
        <v>25</v>
      </c>
      <c r="F59" s="27" t="s">
        <v>164</v>
      </c>
      <c r="G59" s="27" t="s">
        <v>163</v>
      </c>
      <c r="H59" s="388" t="s">
        <v>233</v>
      </c>
      <c r="I59" s="27">
        <v>70959390</v>
      </c>
      <c r="J59" s="266" t="s">
        <v>16</v>
      </c>
      <c r="K59" s="28">
        <v>7</v>
      </c>
      <c r="L59" s="29"/>
      <c r="M59" s="30">
        <f>14506-12429</f>
        <v>2077</v>
      </c>
      <c r="N59" s="30">
        <f>59732-50248</f>
        <v>9484</v>
      </c>
      <c r="O59" s="30">
        <f t="shared" si="0"/>
        <v>11561</v>
      </c>
    </row>
    <row r="60" spans="1:15" s="21" customFormat="1" ht="29.25">
      <c r="A60" s="309" t="s">
        <v>11</v>
      </c>
      <c r="B60" s="27" t="s">
        <v>162</v>
      </c>
      <c r="C60" s="27" t="s">
        <v>163</v>
      </c>
      <c r="D60" s="27" t="s">
        <v>234</v>
      </c>
      <c r="E60" s="27"/>
      <c r="F60" s="27" t="s">
        <v>164</v>
      </c>
      <c r="G60" s="27" t="s">
        <v>163</v>
      </c>
      <c r="H60" s="388" t="s">
        <v>235</v>
      </c>
      <c r="I60" s="27">
        <v>907876</v>
      </c>
      <c r="J60" s="266" t="s">
        <v>16</v>
      </c>
      <c r="K60" s="28">
        <v>6.6</v>
      </c>
      <c r="L60" s="29"/>
      <c r="M60" s="30">
        <f>20940-17265</f>
        <v>3675</v>
      </c>
      <c r="N60" s="30">
        <f>88300-71954</f>
        <v>16346</v>
      </c>
      <c r="O60" s="30">
        <f t="shared" si="0"/>
        <v>20021</v>
      </c>
    </row>
    <row r="61" spans="1:15" s="21" customFormat="1" ht="29.25">
      <c r="A61" s="309" t="s">
        <v>11</v>
      </c>
      <c r="B61" s="27" t="s">
        <v>162</v>
      </c>
      <c r="C61" s="27" t="s">
        <v>163</v>
      </c>
      <c r="D61" s="27" t="s">
        <v>236</v>
      </c>
      <c r="E61" s="27">
        <v>27</v>
      </c>
      <c r="F61" s="27" t="s">
        <v>164</v>
      </c>
      <c r="G61" s="27" t="s">
        <v>163</v>
      </c>
      <c r="H61" s="388" t="s">
        <v>237</v>
      </c>
      <c r="I61" s="27">
        <v>91302427</v>
      </c>
      <c r="J61" s="266" t="s">
        <v>16</v>
      </c>
      <c r="K61" s="28">
        <v>14</v>
      </c>
      <c r="L61" s="29"/>
      <c r="M61" s="30">
        <f>90213-78616</f>
        <v>11597</v>
      </c>
      <c r="N61" s="30">
        <f>359962-313061</f>
        <v>46901</v>
      </c>
      <c r="O61" s="30">
        <f t="shared" si="0"/>
        <v>58498</v>
      </c>
    </row>
    <row r="62" spans="1:15" s="21" customFormat="1" ht="29.25">
      <c r="A62" s="309" t="s">
        <v>11</v>
      </c>
      <c r="B62" s="27" t="s">
        <v>162</v>
      </c>
      <c r="C62" s="27" t="s">
        <v>163</v>
      </c>
      <c r="D62" s="27" t="s">
        <v>238</v>
      </c>
      <c r="E62" s="27">
        <v>21</v>
      </c>
      <c r="F62" s="27" t="s">
        <v>164</v>
      </c>
      <c r="G62" s="27" t="s">
        <v>163</v>
      </c>
      <c r="H62" s="388" t="s">
        <v>239</v>
      </c>
      <c r="I62" s="27">
        <v>70959554</v>
      </c>
      <c r="J62" s="266" t="s">
        <v>16</v>
      </c>
      <c r="K62" s="28">
        <v>4.3</v>
      </c>
      <c r="L62" s="29"/>
      <c r="M62" s="30">
        <f>19020-15992</f>
        <v>3028</v>
      </c>
      <c r="N62" s="30">
        <f>83421-69356</f>
        <v>14065</v>
      </c>
      <c r="O62" s="30">
        <f t="shared" si="0"/>
        <v>17093</v>
      </c>
    </row>
    <row r="63" spans="1:15" s="21" customFormat="1" ht="29.25">
      <c r="A63" s="309" t="s">
        <v>11</v>
      </c>
      <c r="B63" s="27" t="s">
        <v>162</v>
      </c>
      <c r="C63" s="27" t="s">
        <v>163</v>
      </c>
      <c r="D63" s="27" t="s">
        <v>1325</v>
      </c>
      <c r="E63" s="27">
        <v>11</v>
      </c>
      <c r="F63" s="27" t="s">
        <v>164</v>
      </c>
      <c r="G63" s="27" t="s">
        <v>163</v>
      </c>
      <c r="H63" s="388" t="s">
        <v>240</v>
      </c>
      <c r="I63" s="27">
        <v>41452</v>
      </c>
      <c r="J63" s="266" t="s">
        <v>16</v>
      </c>
      <c r="K63" s="28">
        <v>7</v>
      </c>
      <c r="L63" s="29"/>
      <c r="M63" s="30">
        <f>9380-6427</f>
        <v>2953</v>
      </c>
      <c r="N63" s="30">
        <f>23988-17992</f>
        <v>5996</v>
      </c>
      <c r="O63" s="30">
        <f t="shared" si="0"/>
        <v>8949</v>
      </c>
    </row>
    <row r="64" spans="1:15" s="21" customFormat="1" ht="29.25">
      <c r="A64" s="309" t="s">
        <v>11</v>
      </c>
      <c r="B64" s="27" t="s">
        <v>162</v>
      </c>
      <c r="C64" s="27" t="s">
        <v>163</v>
      </c>
      <c r="D64" s="27" t="s">
        <v>241</v>
      </c>
      <c r="E64" s="27"/>
      <c r="F64" s="27" t="s">
        <v>164</v>
      </c>
      <c r="G64" s="27" t="s">
        <v>163</v>
      </c>
      <c r="H64" s="388" t="s">
        <v>242</v>
      </c>
      <c r="I64" s="27">
        <v>8400</v>
      </c>
      <c r="J64" s="266" t="s">
        <v>16</v>
      </c>
      <c r="K64" s="28">
        <v>6.6</v>
      </c>
      <c r="L64" s="29"/>
      <c r="M64" s="30">
        <f>30268-26890</f>
        <v>3378</v>
      </c>
      <c r="N64" s="30">
        <f>118172-103373</f>
        <v>14799</v>
      </c>
      <c r="O64" s="30">
        <f t="shared" si="0"/>
        <v>18177</v>
      </c>
    </row>
    <row r="65" spans="1:15" s="21" customFormat="1" ht="29.25">
      <c r="A65" s="309" t="s">
        <v>11</v>
      </c>
      <c r="B65" s="27" t="s">
        <v>162</v>
      </c>
      <c r="C65" s="27" t="s">
        <v>163</v>
      </c>
      <c r="D65" s="27" t="s">
        <v>43</v>
      </c>
      <c r="E65" s="27">
        <v>4</v>
      </c>
      <c r="F65" s="27" t="s">
        <v>164</v>
      </c>
      <c r="G65" s="27" t="s">
        <v>163</v>
      </c>
      <c r="H65" s="388" t="s">
        <v>244</v>
      </c>
      <c r="I65" s="27">
        <v>70959572</v>
      </c>
      <c r="J65" s="266" t="s">
        <v>16</v>
      </c>
      <c r="K65" s="28">
        <v>6.6</v>
      </c>
      <c r="L65" s="29"/>
      <c r="M65" s="30">
        <f>13969-11716</f>
        <v>2253</v>
      </c>
      <c r="N65" s="30">
        <f>55106-45612</f>
        <v>9494</v>
      </c>
      <c r="O65" s="30">
        <f t="shared" si="0"/>
        <v>11747</v>
      </c>
    </row>
    <row r="66" spans="1:15" s="21" customFormat="1" ht="29.25">
      <c r="A66" s="309" t="s">
        <v>11</v>
      </c>
      <c r="B66" s="27" t="s">
        <v>162</v>
      </c>
      <c r="C66" s="27" t="s">
        <v>163</v>
      </c>
      <c r="D66" s="27" t="s">
        <v>245</v>
      </c>
      <c r="E66" s="27"/>
      <c r="F66" s="27" t="s">
        <v>164</v>
      </c>
      <c r="G66" s="27" t="s">
        <v>163</v>
      </c>
      <c r="H66" s="388" t="s">
        <v>246</v>
      </c>
      <c r="I66" s="27">
        <v>70619464</v>
      </c>
      <c r="J66" s="266" t="s">
        <v>16</v>
      </c>
      <c r="K66" s="28">
        <v>11.5</v>
      </c>
      <c r="L66" s="29"/>
      <c r="M66" s="30">
        <f>37683-31962</f>
        <v>5721</v>
      </c>
      <c r="N66" s="30">
        <f>172631-144684</f>
        <v>27947</v>
      </c>
      <c r="O66" s="30">
        <f t="shared" si="0"/>
        <v>33668</v>
      </c>
    </row>
    <row r="67" spans="1:15" s="21" customFormat="1" ht="29.25">
      <c r="A67" s="309" t="s">
        <v>11</v>
      </c>
      <c r="B67" s="27" t="s">
        <v>162</v>
      </c>
      <c r="C67" s="27" t="s">
        <v>163</v>
      </c>
      <c r="D67" s="27" t="s">
        <v>209</v>
      </c>
      <c r="E67" s="27" t="s">
        <v>247</v>
      </c>
      <c r="F67" s="27" t="s">
        <v>164</v>
      </c>
      <c r="G67" s="27" t="s">
        <v>163</v>
      </c>
      <c r="H67" s="388" t="s">
        <v>248</v>
      </c>
      <c r="I67" s="27">
        <v>38378</v>
      </c>
      <c r="J67" s="266" t="s">
        <v>16</v>
      </c>
      <c r="K67" s="28">
        <v>18</v>
      </c>
      <c r="L67" s="29"/>
      <c r="M67" s="30">
        <f>97849-83684</f>
        <v>14165</v>
      </c>
      <c r="N67" s="30">
        <f>395699-339891</f>
        <v>55808</v>
      </c>
      <c r="O67" s="30">
        <f t="shared" si="0"/>
        <v>69973</v>
      </c>
    </row>
    <row r="68" spans="1:15" s="21" customFormat="1" ht="29.25">
      <c r="A68" s="309" t="s">
        <v>11</v>
      </c>
      <c r="B68" s="27" t="s">
        <v>162</v>
      </c>
      <c r="C68" s="27" t="s">
        <v>163</v>
      </c>
      <c r="D68" s="27" t="s">
        <v>209</v>
      </c>
      <c r="E68" s="27"/>
      <c r="F68" s="27" t="s">
        <v>164</v>
      </c>
      <c r="G68" s="27" t="s">
        <v>163</v>
      </c>
      <c r="H68" s="388" t="s">
        <v>249</v>
      </c>
      <c r="I68" s="27">
        <v>907527</v>
      </c>
      <c r="J68" s="266" t="s">
        <v>16</v>
      </c>
      <c r="K68" s="28">
        <v>30</v>
      </c>
      <c r="L68" s="29"/>
      <c r="M68" s="30">
        <f>145916-122589</f>
        <v>23327</v>
      </c>
      <c r="N68" s="30">
        <f>610284-516421</f>
        <v>93863</v>
      </c>
      <c r="O68" s="30">
        <f>M68+N68</f>
        <v>117190</v>
      </c>
    </row>
    <row r="69" spans="1:15" s="21" customFormat="1" ht="29.25">
      <c r="A69" s="309" t="s">
        <v>11</v>
      </c>
      <c r="B69" s="27" t="s">
        <v>162</v>
      </c>
      <c r="C69" s="27" t="s">
        <v>163</v>
      </c>
      <c r="D69" s="27" t="s">
        <v>250</v>
      </c>
      <c r="E69" s="27"/>
      <c r="F69" s="27" t="s">
        <v>164</v>
      </c>
      <c r="G69" s="27" t="s">
        <v>163</v>
      </c>
      <c r="H69" s="388" t="s">
        <v>251</v>
      </c>
      <c r="I69" s="27">
        <v>70959911</v>
      </c>
      <c r="J69" s="266" t="s">
        <v>16</v>
      </c>
      <c r="K69" s="28">
        <v>10</v>
      </c>
      <c r="L69" s="29"/>
      <c r="M69" s="30">
        <f>43566-36376</f>
        <v>7190</v>
      </c>
      <c r="N69" s="30">
        <f>204165-165949</f>
        <v>38216</v>
      </c>
      <c r="O69" s="30">
        <f aca="true" t="shared" si="1" ref="O69:O90">M69+N69</f>
        <v>45406</v>
      </c>
    </row>
    <row r="70" spans="1:15" s="21" customFormat="1" ht="29.25">
      <c r="A70" s="309" t="s">
        <v>11</v>
      </c>
      <c r="B70" s="27" t="s">
        <v>162</v>
      </c>
      <c r="C70" s="27" t="s">
        <v>163</v>
      </c>
      <c r="D70" s="27" t="s">
        <v>1458</v>
      </c>
      <c r="E70" s="27"/>
      <c r="F70" s="27" t="s">
        <v>164</v>
      </c>
      <c r="G70" s="27" t="s">
        <v>163</v>
      </c>
      <c r="H70" s="388" t="s">
        <v>252</v>
      </c>
      <c r="I70" s="27">
        <v>70810797</v>
      </c>
      <c r="J70" s="266" t="s">
        <v>16</v>
      </c>
      <c r="K70" s="28">
        <v>7</v>
      </c>
      <c r="L70" s="29"/>
      <c r="M70" s="30">
        <f>38144-32358</f>
        <v>5786</v>
      </c>
      <c r="N70" s="30">
        <f>166543-140510</f>
        <v>26033</v>
      </c>
      <c r="O70" s="30">
        <f t="shared" si="1"/>
        <v>31819</v>
      </c>
    </row>
    <row r="71" spans="1:15" s="21" customFormat="1" ht="29.25">
      <c r="A71" s="309" t="s">
        <v>11</v>
      </c>
      <c r="B71" s="27" t="s">
        <v>162</v>
      </c>
      <c r="C71" s="27" t="s">
        <v>163</v>
      </c>
      <c r="D71" s="27" t="s">
        <v>253</v>
      </c>
      <c r="E71" s="27"/>
      <c r="F71" s="27" t="s">
        <v>164</v>
      </c>
      <c r="G71" s="27" t="s">
        <v>163</v>
      </c>
      <c r="H71" s="388" t="s">
        <v>254</v>
      </c>
      <c r="I71" s="27">
        <v>44887</v>
      </c>
      <c r="J71" s="266" t="s">
        <v>16</v>
      </c>
      <c r="K71" s="28">
        <v>2</v>
      </c>
      <c r="L71" s="29"/>
      <c r="M71" s="30">
        <f>22578-18303</f>
        <v>4275</v>
      </c>
      <c r="N71" s="30">
        <f>68882-56954</f>
        <v>11928</v>
      </c>
      <c r="O71" s="30">
        <f t="shared" si="1"/>
        <v>16203</v>
      </c>
    </row>
    <row r="72" spans="1:15" s="21" customFormat="1" ht="29.25">
      <c r="A72" s="309" t="s">
        <v>11</v>
      </c>
      <c r="B72" s="27" t="s">
        <v>162</v>
      </c>
      <c r="C72" s="27" t="s">
        <v>163</v>
      </c>
      <c r="D72" s="27" t="s">
        <v>1325</v>
      </c>
      <c r="E72" s="27">
        <v>24</v>
      </c>
      <c r="F72" s="27" t="s">
        <v>164</v>
      </c>
      <c r="G72" s="27" t="s">
        <v>163</v>
      </c>
      <c r="H72" s="388" t="s">
        <v>255</v>
      </c>
      <c r="I72" s="27">
        <v>70959437</v>
      </c>
      <c r="J72" s="266" t="s">
        <v>16</v>
      </c>
      <c r="K72" s="28">
        <v>10.5</v>
      </c>
      <c r="L72" s="29"/>
      <c r="M72" s="30">
        <f>24341-21276</f>
        <v>3065</v>
      </c>
      <c r="N72" s="30">
        <f>100914-88646</f>
        <v>12268</v>
      </c>
      <c r="O72" s="30">
        <f t="shared" si="1"/>
        <v>15333</v>
      </c>
    </row>
    <row r="73" spans="1:15" s="21" customFormat="1" ht="29.25">
      <c r="A73" s="309" t="s">
        <v>11</v>
      </c>
      <c r="B73" s="27" t="s">
        <v>162</v>
      </c>
      <c r="C73" s="27" t="s">
        <v>163</v>
      </c>
      <c r="D73" s="27" t="s">
        <v>1459</v>
      </c>
      <c r="E73" s="27">
        <v>12</v>
      </c>
      <c r="F73" s="27" t="s">
        <v>164</v>
      </c>
      <c r="G73" s="27" t="s">
        <v>163</v>
      </c>
      <c r="H73" s="388" t="s">
        <v>256</v>
      </c>
      <c r="I73" s="27">
        <v>70959547</v>
      </c>
      <c r="J73" s="266" t="s">
        <v>16</v>
      </c>
      <c r="K73" s="28">
        <v>9.3</v>
      </c>
      <c r="L73" s="29"/>
      <c r="M73" s="30">
        <f>62990-53139</f>
        <v>9851</v>
      </c>
      <c r="N73" s="30">
        <f>268716-225961</f>
        <v>42755</v>
      </c>
      <c r="O73" s="30">
        <f t="shared" si="1"/>
        <v>52606</v>
      </c>
    </row>
    <row r="74" spans="1:15" s="21" customFormat="1" ht="29.25">
      <c r="A74" s="309" t="s">
        <v>11</v>
      </c>
      <c r="B74" s="27" t="s">
        <v>162</v>
      </c>
      <c r="C74" s="27" t="s">
        <v>163</v>
      </c>
      <c r="D74" s="27" t="s">
        <v>209</v>
      </c>
      <c r="E74" s="27">
        <v>25</v>
      </c>
      <c r="F74" s="27" t="s">
        <v>164</v>
      </c>
      <c r="G74" s="27" t="s">
        <v>163</v>
      </c>
      <c r="H74" s="388" t="s">
        <v>257</v>
      </c>
      <c r="I74" s="27">
        <v>41472</v>
      </c>
      <c r="J74" s="266" t="s">
        <v>16</v>
      </c>
      <c r="K74" s="28">
        <v>5</v>
      </c>
      <c r="L74" s="29"/>
      <c r="M74" s="30">
        <f>11572-10817</f>
        <v>755</v>
      </c>
      <c r="N74" s="30">
        <f>36742-34352</f>
        <v>2390</v>
      </c>
      <c r="O74" s="30">
        <f t="shared" si="1"/>
        <v>3145</v>
      </c>
    </row>
    <row r="75" spans="1:15" s="21" customFormat="1" ht="29.25">
      <c r="A75" s="309" t="s">
        <v>11</v>
      </c>
      <c r="B75" s="27" t="s">
        <v>162</v>
      </c>
      <c r="C75" s="27" t="s">
        <v>163</v>
      </c>
      <c r="D75" s="27" t="s">
        <v>199</v>
      </c>
      <c r="E75" s="27">
        <v>50</v>
      </c>
      <c r="F75" s="27" t="s">
        <v>164</v>
      </c>
      <c r="G75" s="27" t="s">
        <v>163</v>
      </c>
      <c r="H75" s="388" t="s">
        <v>258</v>
      </c>
      <c r="I75" s="27">
        <v>44883</v>
      </c>
      <c r="J75" s="266" t="s">
        <v>16</v>
      </c>
      <c r="K75" s="28">
        <v>3</v>
      </c>
      <c r="L75" s="29"/>
      <c r="M75" s="30">
        <f>16736-13946</f>
        <v>2790</v>
      </c>
      <c r="N75" s="30">
        <f>49550-42356</f>
        <v>7194</v>
      </c>
      <c r="O75" s="30">
        <f t="shared" si="1"/>
        <v>9984</v>
      </c>
    </row>
    <row r="76" spans="1:15" s="21" customFormat="1" ht="29.25">
      <c r="A76" s="309" t="s">
        <v>11</v>
      </c>
      <c r="B76" s="27" t="s">
        <v>162</v>
      </c>
      <c r="C76" s="27" t="s">
        <v>163</v>
      </c>
      <c r="D76" s="27" t="s">
        <v>259</v>
      </c>
      <c r="E76" s="27">
        <v>46</v>
      </c>
      <c r="F76" s="27" t="s">
        <v>164</v>
      </c>
      <c r="G76" s="27" t="s">
        <v>163</v>
      </c>
      <c r="H76" s="388" t="s">
        <v>260</v>
      </c>
      <c r="I76" s="27">
        <v>70927972</v>
      </c>
      <c r="J76" s="266" t="s">
        <v>16</v>
      </c>
      <c r="K76" s="28">
        <v>6.6</v>
      </c>
      <c r="L76" s="29"/>
      <c r="M76" s="30">
        <f>21940-18437</f>
        <v>3503</v>
      </c>
      <c r="N76" s="30">
        <f>102133-84793</f>
        <v>17340</v>
      </c>
      <c r="O76" s="30">
        <f t="shared" si="1"/>
        <v>20843</v>
      </c>
    </row>
    <row r="77" spans="1:15" s="21" customFormat="1" ht="29.25">
      <c r="A77" s="309" t="s">
        <v>11</v>
      </c>
      <c r="B77" s="27" t="s">
        <v>162</v>
      </c>
      <c r="C77" s="27" t="s">
        <v>163</v>
      </c>
      <c r="D77" s="27" t="s">
        <v>261</v>
      </c>
      <c r="E77" s="27">
        <v>17</v>
      </c>
      <c r="F77" s="27" t="s">
        <v>164</v>
      </c>
      <c r="G77" s="27" t="s">
        <v>163</v>
      </c>
      <c r="H77" s="388" t="s">
        <v>262</v>
      </c>
      <c r="I77" s="27">
        <v>70959416</v>
      </c>
      <c r="J77" s="266" t="s">
        <v>16</v>
      </c>
      <c r="K77" s="28">
        <v>6.6</v>
      </c>
      <c r="L77" s="29"/>
      <c r="M77" s="30">
        <f>23754-19560</f>
        <v>4194</v>
      </c>
      <c r="N77" s="30">
        <f>105338-85834</f>
        <v>19504</v>
      </c>
      <c r="O77" s="30">
        <f t="shared" si="1"/>
        <v>23698</v>
      </c>
    </row>
    <row r="78" spans="1:15" s="21" customFormat="1" ht="29.25">
      <c r="A78" s="309" t="s">
        <v>11</v>
      </c>
      <c r="B78" s="27" t="s">
        <v>162</v>
      </c>
      <c r="C78" s="27" t="s">
        <v>163</v>
      </c>
      <c r="D78" s="27" t="s">
        <v>263</v>
      </c>
      <c r="E78" s="27">
        <v>10</v>
      </c>
      <c r="F78" s="27" t="s">
        <v>164</v>
      </c>
      <c r="G78" s="27" t="s">
        <v>163</v>
      </c>
      <c r="H78" s="388" t="s">
        <v>264</v>
      </c>
      <c r="I78" s="27">
        <v>70810860</v>
      </c>
      <c r="J78" s="266" t="s">
        <v>16</v>
      </c>
      <c r="K78" s="28">
        <v>6.6</v>
      </c>
      <c r="L78" s="29"/>
      <c r="M78" s="30">
        <f>21410-18014</f>
        <v>3396</v>
      </c>
      <c r="N78" s="30">
        <f>92275-77480</f>
        <v>14795</v>
      </c>
      <c r="O78" s="30">
        <f t="shared" si="1"/>
        <v>18191</v>
      </c>
    </row>
    <row r="79" spans="1:15" s="21" customFormat="1" ht="29.25">
      <c r="A79" s="309" t="s">
        <v>11</v>
      </c>
      <c r="B79" s="27" t="s">
        <v>162</v>
      </c>
      <c r="C79" s="27" t="s">
        <v>163</v>
      </c>
      <c r="D79" s="27" t="s">
        <v>1460</v>
      </c>
      <c r="E79" s="27">
        <v>26</v>
      </c>
      <c r="F79" s="27" t="s">
        <v>164</v>
      </c>
      <c r="G79" s="27" t="s">
        <v>163</v>
      </c>
      <c r="H79" s="388" t="s">
        <v>265</v>
      </c>
      <c r="I79" s="27">
        <v>70927627</v>
      </c>
      <c r="J79" s="266" t="s">
        <v>16</v>
      </c>
      <c r="K79" s="28">
        <v>6.6</v>
      </c>
      <c r="L79" s="29"/>
      <c r="M79" s="30">
        <f>26839-22241</f>
        <v>4598</v>
      </c>
      <c r="N79" s="30">
        <f>117614-96728</f>
        <v>20886</v>
      </c>
      <c r="O79" s="30">
        <f t="shared" si="1"/>
        <v>25484</v>
      </c>
    </row>
    <row r="80" spans="1:15" s="21" customFormat="1" ht="29.25">
      <c r="A80" s="309" t="s">
        <v>11</v>
      </c>
      <c r="B80" s="27" t="s">
        <v>162</v>
      </c>
      <c r="C80" s="27" t="s">
        <v>163</v>
      </c>
      <c r="D80" s="27" t="s">
        <v>1461</v>
      </c>
      <c r="E80" s="27">
        <v>1</v>
      </c>
      <c r="F80" s="27" t="s">
        <v>164</v>
      </c>
      <c r="G80" s="27" t="s">
        <v>163</v>
      </c>
      <c r="H80" s="388" t="s">
        <v>266</v>
      </c>
      <c r="I80" s="27">
        <v>37144</v>
      </c>
      <c r="J80" s="266" t="s">
        <v>16</v>
      </c>
      <c r="K80" s="28">
        <v>6.6</v>
      </c>
      <c r="L80" s="29"/>
      <c r="M80" s="30">
        <f>20692-17914</f>
        <v>2778</v>
      </c>
      <c r="N80" s="30">
        <f>86714-75420</f>
        <v>11294</v>
      </c>
      <c r="O80" s="30">
        <f t="shared" si="1"/>
        <v>14072</v>
      </c>
    </row>
    <row r="81" spans="1:15" s="21" customFormat="1" ht="29.25">
      <c r="A81" s="309" t="s">
        <v>11</v>
      </c>
      <c r="B81" s="27" t="s">
        <v>162</v>
      </c>
      <c r="C81" s="27" t="s">
        <v>163</v>
      </c>
      <c r="D81" s="27" t="s">
        <v>1461</v>
      </c>
      <c r="E81" s="27">
        <v>22</v>
      </c>
      <c r="F81" s="27" t="s">
        <v>164</v>
      </c>
      <c r="G81" s="27" t="s">
        <v>163</v>
      </c>
      <c r="H81" s="388" t="s">
        <v>267</v>
      </c>
      <c r="I81" s="27">
        <v>14545</v>
      </c>
      <c r="J81" s="266" t="s">
        <v>16</v>
      </c>
      <c r="K81" s="28">
        <v>6.6</v>
      </c>
      <c r="L81" s="29"/>
      <c r="M81" s="30">
        <f>44216-37679</f>
        <v>6537</v>
      </c>
      <c r="N81" s="30">
        <f>122510-103589</f>
        <v>18921</v>
      </c>
      <c r="O81" s="30">
        <f t="shared" si="1"/>
        <v>25458</v>
      </c>
    </row>
    <row r="82" spans="1:15" s="21" customFormat="1" ht="29.25">
      <c r="A82" s="309" t="s">
        <v>11</v>
      </c>
      <c r="B82" s="27" t="s">
        <v>162</v>
      </c>
      <c r="C82" s="27" t="s">
        <v>163</v>
      </c>
      <c r="D82" s="27" t="s">
        <v>268</v>
      </c>
      <c r="E82" s="27">
        <v>85</v>
      </c>
      <c r="F82" s="27" t="s">
        <v>164</v>
      </c>
      <c r="G82" s="27" t="s">
        <v>163</v>
      </c>
      <c r="H82" s="388" t="s">
        <v>269</v>
      </c>
      <c r="I82" s="27">
        <v>70959552</v>
      </c>
      <c r="J82" s="266" t="s">
        <v>16</v>
      </c>
      <c r="K82" s="28">
        <v>1.5</v>
      </c>
      <c r="L82" s="29"/>
      <c r="M82" s="30">
        <f>9858-8286</f>
        <v>1572</v>
      </c>
      <c r="N82" s="30">
        <f>43923-36494</f>
        <v>7429</v>
      </c>
      <c r="O82" s="30">
        <f t="shared" si="1"/>
        <v>9001</v>
      </c>
    </row>
    <row r="83" spans="1:15" s="21" customFormat="1" ht="29.25">
      <c r="A83" s="309" t="s">
        <v>11</v>
      </c>
      <c r="B83" s="27" t="s">
        <v>162</v>
      </c>
      <c r="C83" s="27" t="s">
        <v>163</v>
      </c>
      <c r="D83" s="27" t="s">
        <v>270</v>
      </c>
      <c r="E83" s="27"/>
      <c r="F83" s="27" t="s">
        <v>164</v>
      </c>
      <c r="G83" s="27" t="s">
        <v>163</v>
      </c>
      <c r="H83" s="388" t="s">
        <v>271</v>
      </c>
      <c r="I83" s="27">
        <v>70959568</v>
      </c>
      <c r="J83" s="266" t="s">
        <v>16</v>
      </c>
      <c r="K83" s="28">
        <v>9</v>
      </c>
      <c r="L83" s="29"/>
      <c r="M83" s="30">
        <f>28789-24256</f>
        <v>4533</v>
      </c>
      <c r="N83" s="30">
        <f>124879-103684</f>
        <v>21195</v>
      </c>
      <c r="O83" s="30">
        <f t="shared" si="1"/>
        <v>25728</v>
      </c>
    </row>
    <row r="84" spans="1:15" s="21" customFormat="1" ht="29.25">
      <c r="A84" s="309" t="s">
        <v>11</v>
      </c>
      <c r="B84" s="27" t="s">
        <v>162</v>
      </c>
      <c r="C84" s="27" t="s">
        <v>163</v>
      </c>
      <c r="D84" s="27" t="s">
        <v>272</v>
      </c>
      <c r="E84" s="27"/>
      <c r="F84" s="27" t="s">
        <v>164</v>
      </c>
      <c r="G84" s="27" t="s">
        <v>163</v>
      </c>
      <c r="H84" s="388" t="s">
        <v>273</v>
      </c>
      <c r="I84" s="27">
        <v>90030877</v>
      </c>
      <c r="J84" s="266" t="s">
        <v>16</v>
      </c>
      <c r="K84" s="28">
        <v>6.6</v>
      </c>
      <c r="L84" s="29"/>
      <c r="M84" s="30">
        <f>9772-6524</f>
        <v>3248</v>
      </c>
      <c r="N84" s="30">
        <f>37904-24471</f>
        <v>13433</v>
      </c>
      <c r="O84" s="30">
        <f t="shared" si="1"/>
        <v>16681</v>
      </c>
    </row>
    <row r="85" spans="1:15" s="21" customFormat="1" ht="29.25">
      <c r="A85" s="309" t="s">
        <v>11</v>
      </c>
      <c r="B85" s="27" t="s">
        <v>162</v>
      </c>
      <c r="C85" s="27" t="s">
        <v>163</v>
      </c>
      <c r="D85" s="27" t="s">
        <v>274</v>
      </c>
      <c r="E85" s="27">
        <v>14</v>
      </c>
      <c r="F85" s="27" t="s">
        <v>164</v>
      </c>
      <c r="G85" s="27" t="s">
        <v>163</v>
      </c>
      <c r="H85" s="388" t="s">
        <v>275</v>
      </c>
      <c r="I85" s="27">
        <v>70810835</v>
      </c>
      <c r="J85" s="266" t="s">
        <v>16</v>
      </c>
      <c r="K85" s="28">
        <v>1.5</v>
      </c>
      <c r="L85" s="29"/>
      <c r="M85" s="30">
        <f>21617-18457</f>
        <v>3160</v>
      </c>
      <c r="N85" s="30">
        <f>91452-77663</f>
        <v>13789</v>
      </c>
      <c r="O85" s="30">
        <f t="shared" si="1"/>
        <v>16949</v>
      </c>
    </row>
    <row r="86" spans="1:15" s="21" customFormat="1" ht="29.25">
      <c r="A86" s="309" t="s">
        <v>11</v>
      </c>
      <c r="B86" s="27" t="s">
        <v>162</v>
      </c>
      <c r="C86" s="27" t="s">
        <v>163</v>
      </c>
      <c r="D86" s="27" t="s">
        <v>1462</v>
      </c>
      <c r="E86" s="27">
        <v>7</v>
      </c>
      <c r="F86" s="27" t="s">
        <v>164</v>
      </c>
      <c r="G86" s="27" t="s">
        <v>163</v>
      </c>
      <c r="H86" s="388" t="s">
        <v>276</v>
      </c>
      <c r="I86" s="27">
        <v>70959469</v>
      </c>
      <c r="J86" s="266" t="s">
        <v>16</v>
      </c>
      <c r="K86" s="28">
        <v>9</v>
      </c>
      <c r="L86" s="29"/>
      <c r="M86" s="30">
        <f>28196-23498</f>
        <v>4698</v>
      </c>
      <c r="N86" s="30">
        <f>120804-100085</f>
        <v>20719</v>
      </c>
      <c r="O86" s="30">
        <f t="shared" si="1"/>
        <v>25417</v>
      </c>
    </row>
    <row r="87" spans="1:15" s="21" customFormat="1" ht="29.25">
      <c r="A87" s="309" t="s">
        <v>11</v>
      </c>
      <c r="B87" s="27" t="s">
        <v>162</v>
      </c>
      <c r="C87" s="27" t="s">
        <v>163</v>
      </c>
      <c r="D87" s="27" t="s">
        <v>277</v>
      </c>
      <c r="E87" s="27"/>
      <c r="F87" s="27" t="s">
        <v>164</v>
      </c>
      <c r="G87" s="27" t="s">
        <v>163</v>
      </c>
      <c r="H87" s="388" t="s">
        <v>278</v>
      </c>
      <c r="I87" s="27">
        <v>70959564</v>
      </c>
      <c r="J87" s="266" t="s">
        <v>16</v>
      </c>
      <c r="K87" s="28">
        <v>6.6</v>
      </c>
      <c r="L87" s="29"/>
      <c r="M87" s="30">
        <f>8791-7754</f>
        <v>1037</v>
      </c>
      <c r="N87" s="30">
        <f>37013-31990</f>
        <v>5023</v>
      </c>
      <c r="O87" s="30">
        <f t="shared" si="1"/>
        <v>6060</v>
      </c>
    </row>
    <row r="88" spans="1:15" s="21" customFormat="1" ht="29.25">
      <c r="A88" s="309" t="s">
        <v>11</v>
      </c>
      <c r="B88" s="27" t="s">
        <v>162</v>
      </c>
      <c r="C88" s="27" t="s">
        <v>163</v>
      </c>
      <c r="D88" s="27" t="s">
        <v>1456</v>
      </c>
      <c r="E88" s="27">
        <v>2</v>
      </c>
      <c r="F88" s="27" t="s">
        <v>164</v>
      </c>
      <c r="G88" s="27" t="s">
        <v>163</v>
      </c>
      <c r="H88" s="388" t="s">
        <v>279</v>
      </c>
      <c r="I88" s="27">
        <v>70959729</v>
      </c>
      <c r="J88" s="266" t="s">
        <v>16</v>
      </c>
      <c r="K88" s="28">
        <v>8</v>
      </c>
      <c r="L88" s="29"/>
      <c r="M88" s="30">
        <f>21962-18206</f>
        <v>3756</v>
      </c>
      <c r="N88" s="30">
        <f>96839-79323</f>
        <v>17516</v>
      </c>
      <c r="O88" s="30">
        <f t="shared" si="1"/>
        <v>21272</v>
      </c>
    </row>
    <row r="89" spans="1:15" s="21" customFormat="1" ht="29.25">
      <c r="A89" s="309" t="s">
        <v>11</v>
      </c>
      <c r="B89" s="27" t="s">
        <v>162</v>
      </c>
      <c r="C89" s="27" t="s">
        <v>163</v>
      </c>
      <c r="D89" s="27" t="s">
        <v>280</v>
      </c>
      <c r="E89" s="27"/>
      <c r="F89" s="27" t="s">
        <v>164</v>
      </c>
      <c r="G89" s="27" t="s">
        <v>163</v>
      </c>
      <c r="H89" s="388" t="s">
        <v>281</v>
      </c>
      <c r="I89" s="27">
        <v>91297151</v>
      </c>
      <c r="J89" s="266" t="s">
        <v>16</v>
      </c>
      <c r="K89" s="28">
        <v>7.3</v>
      </c>
      <c r="L89" s="29"/>
      <c r="M89" s="30">
        <f>39321-33985</f>
        <v>5336</v>
      </c>
      <c r="N89" s="30">
        <f>132918-114108</f>
        <v>18810</v>
      </c>
      <c r="O89" s="30">
        <f t="shared" si="1"/>
        <v>24146</v>
      </c>
    </row>
    <row r="90" spans="1:15" s="21" customFormat="1" ht="29.25">
      <c r="A90" s="309" t="s">
        <v>11</v>
      </c>
      <c r="B90" s="32" t="s">
        <v>162</v>
      </c>
      <c r="C90" s="32" t="s">
        <v>163</v>
      </c>
      <c r="D90" s="32" t="s">
        <v>282</v>
      </c>
      <c r="E90" s="27"/>
      <c r="F90" s="27" t="s">
        <v>164</v>
      </c>
      <c r="G90" s="27" t="s">
        <v>163</v>
      </c>
      <c r="H90" s="388" t="s">
        <v>283</v>
      </c>
      <c r="I90" s="27">
        <v>70926043</v>
      </c>
      <c r="J90" s="266" t="s">
        <v>16</v>
      </c>
      <c r="K90" s="28">
        <v>3</v>
      </c>
      <c r="L90" s="29"/>
      <c r="M90" s="30">
        <f>2260-1966</f>
        <v>294</v>
      </c>
      <c r="N90" s="30">
        <f>6711-5570</f>
        <v>1141</v>
      </c>
      <c r="O90" s="30">
        <f t="shared" si="1"/>
        <v>1435</v>
      </c>
    </row>
    <row r="91" spans="1:15" s="21" customFormat="1" ht="29.25">
      <c r="A91" s="309" t="s">
        <v>11</v>
      </c>
      <c r="B91" s="27" t="s">
        <v>162</v>
      </c>
      <c r="C91" s="27" t="s">
        <v>163</v>
      </c>
      <c r="D91" s="27" t="s">
        <v>1463</v>
      </c>
      <c r="E91" s="42"/>
      <c r="F91" s="42" t="s">
        <v>164</v>
      </c>
      <c r="G91" s="23" t="s">
        <v>163</v>
      </c>
      <c r="H91" s="389" t="s">
        <v>287</v>
      </c>
      <c r="I91" s="42">
        <v>70968301</v>
      </c>
      <c r="J91" s="43" t="s">
        <v>154</v>
      </c>
      <c r="K91" s="44">
        <v>4.7</v>
      </c>
      <c r="L91" s="26">
        <f>150947-120983</f>
        <v>29964</v>
      </c>
      <c r="M91" s="45"/>
      <c r="N91" s="45"/>
      <c r="O91" s="30">
        <f>L91</f>
        <v>29964</v>
      </c>
    </row>
    <row r="92" spans="1:15" s="21" customFormat="1" ht="29.25">
      <c r="A92" s="309" t="s">
        <v>11</v>
      </c>
      <c r="B92" s="27" t="s">
        <v>162</v>
      </c>
      <c r="C92" s="27" t="s">
        <v>163</v>
      </c>
      <c r="D92" s="27" t="s">
        <v>1464</v>
      </c>
      <c r="E92" s="46"/>
      <c r="F92" s="46" t="s">
        <v>164</v>
      </c>
      <c r="G92" s="27" t="s">
        <v>163</v>
      </c>
      <c r="H92" s="388" t="s">
        <v>288</v>
      </c>
      <c r="I92" s="46">
        <v>70927991</v>
      </c>
      <c r="J92" s="47" t="s">
        <v>154</v>
      </c>
      <c r="K92" s="48">
        <v>2.3</v>
      </c>
      <c r="L92" s="30">
        <f>62872-51452</f>
        <v>11420</v>
      </c>
      <c r="M92" s="45"/>
      <c r="N92" s="45"/>
      <c r="O92" s="30">
        <f aca="true" t="shared" si="2" ref="O92:O104">L92</f>
        <v>11420</v>
      </c>
    </row>
    <row r="93" spans="1:15" s="21" customFormat="1" ht="29.25">
      <c r="A93" s="309" t="s">
        <v>11</v>
      </c>
      <c r="B93" s="27" t="s">
        <v>162</v>
      </c>
      <c r="C93" s="27" t="s">
        <v>163</v>
      </c>
      <c r="D93" s="27" t="s">
        <v>1465</v>
      </c>
      <c r="E93" s="46"/>
      <c r="F93" s="46" t="s">
        <v>164</v>
      </c>
      <c r="G93" s="27" t="s">
        <v>163</v>
      </c>
      <c r="H93" s="388" t="s">
        <v>289</v>
      </c>
      <c r="I93" s="46">
        <v>70959904</v>
      </c>
      <c r="J93" s="47" t="s">
        <v>154</v>
      </c>
      <c r="K93" s="48">
        <v>5.3</v>
      </c>
      <c r="L93" s="30">
        <f>146800-121587</f>
        <v>25213</v>
      </c>
      <c r="M93" s="45"/>
      <c r="N93" s="45"/>
      <c r="O93" s="30">
        <f t="shared" si="2"/>
        <v>25213</v>
      </c>
    </row>
    <row r="94" spans="1:15" s="21" customFormat="1" ht="29.25">
      <c r="A94" s="309" t="s">
        <v>11</v>
      </c>
      <c r="B94" s="27" t="s">
        <v>162</v>
      </c>
      <c r="C94" s="27" t="s">
        <v>163</v>
      </c>
      <c r="D94" s="27" t="s">
        <v>1465</v>
      </c>
      <c r="E94" s="46"/>
      <c r="F94" s="46" t="s">
        <v>164</v>
      </c>
      <c r="G94" s="27" t="s">
        <v>163</v>
      </c>
      <c r="H94" s="388" t="s">
        <v>290</v>
      </c>
      <c r="I94" s="46">
        <v>70510834</v>
      </c>
      <c r="J94" s="47" t="s">
        <v>154</v>
      </c>
      <c r="K94" s="48">
        <v>4.7</v>
      </c>
      <c r="L94" s="30">
        <f>147059-121880</f>
        <v>25179</v>
      </c>
      <c r="M94" s="45"/>
      <c r="N94" s="45"/>
      <c r="O94" s="30">
        <f t="shared" si="2"/>
        <v>25179</v>
      </c>
    </row>
    <row r="95" spans="1:15" s="21" customFormat="1" ht="29.25">
      <c r="A95" s="309" t="s">
        <v>11</v>
      </c>
      <c r="B95" s="27" t="s">
        <v>162</v>
      </c>
      <c r="C95" s="27" t="s">
        <v>163</v>
      </c>
      <c r="D95" s="27" t="s">
        <v>291</v>
      </c>
      <c r="E95" s="46"/>
      <c r="F95" s="46" t="s">
        <v>164</v>
      </c>
      <c r="G95" s="27" t="s">
        <v>163</v>
      </c>
      <c r="H95" s="388" t="s">
        <v>292</v>
      </c>
      <c r="I95" s="46">
        <v>70968318</v>
      </c>
      <c r="J95" s="47" t="s">
        <v>154</v>
      </c>
      <c r="K95" s="48">
        <v>4</v>
      </c>
      <c r="L95" s="30">
        <f>69410-57137</f>
        <v>12273</v>
      </c>
      <c r="M95" s="45"/>
      <c r="N95" s="45"/>
      <c r="O95" s="30">
        <f t="shared" si="2"/>
        <v>12273</v>
      </c>
    </row>
    <row r="96" spans="1:15" s="21" customFormat="1" ht="29.25">
      <c r="A96" s="309" t="s">
        <v>11</v>
      </c>
      <c r="B96" s="27" t="s">
        <v>162</v>
      </c>
      <c r="C96" s="27" t="s">
        <v>163</v>
      </c>
      <c r="D96" s="27" t="s">
        <v>272</v>
      </c>
      <c r="E96" s="46"/>
      <c r="F96" s="46" t="s">
        <v>164</v>
      </c>
      <c r="G96" s="27" t="s">
        <v>163</v>
      </c>
      <c r="H96" s="388" t="s">
        <v>293</v>
      </c>
      <c r="I96" s="46">
        <v>70968298</v>
      </c>
      <c r="J96" s="47" t="s">
        <v>154</v>
      </c>
      <c r="K96" s="48">
        <v>3</v>
      </c>
      <c r="L96" s="30">
        <f>115935-97461</f>
        <v>18474</v>
      </c>
      <c r="M96" s="45"/>
      <c r="N96" s="45"/>
      <c r="O96" s="30">
        <f t="shared" si="2"/>
        <v>18474</v>
      </c>
    </row>
    <row r="97" spans="1:15" s="21" customFormat="1" ht="29.25">
      <c r="A97" s="309" t="s">
        <v>11</v>
      </c>
      <c r="B97" s="27" t="s">
        <v>162</v>
      </c>
      <c r="C97" s="27" t="s">
        <v>163</v>
      </c>
      <c r="D97" s="27" t="s">
        <v>294</v>
      </c>
      <c r="E97" s="46"/>
      <c r="F97" s="46" t="s">
        <v>164</v>
      </c>
      <c r="G97" s="27" t="s">
        <v>163</v>
      </c>
      <c r="H97" s="388" t="s">
        <v>295</v>
      </c>
      <c r="I97" s="46">
        <v>70959902</v>
      </c>
      <c r="J97" s="47" t="s">
        <v>154</v>
      </c>
      <c r="K97" s="48">
        <v>10</v>
      </c>
      <c r="L97" s="30">
        <f>391219-326101</f>
        <v>65118</v>
      </c>
      <c r="M97" s="45"/>
      <c r="N97" s="45"/>
      <c r="O97" s="30">
        <f t="shared" si="2"/>
        <v>65118</v>
      </c>
    </row>
    <row r="98" spans="1:15" s="21" customFormat="1" ht="29.25">
      <c r="A98" s="309" t="s">
        <v>11</v>
      </c>
      <c r="B98" s="32" t="s">
        <v>162</v>
      </c>
      <c r="C98" s="32" t="s">
        <v>163</v>
      </c>
      <c r="D98" s="32" t="s">
        <v>296</v>
      </c>
      <c r="E98" s="46"/>
      <c r="F98" s="46" t="s">
        <v>164</v>
      </c>
      <c r="G98" s="27" t="s">
        <v>163</v>
      </c>
      <c r="H98" s="388" t="s">
        <v>297</v>
      </c>
      <c r="I98" s="46">
        <v>23902835</v>
      </c>
      <c r="J98" s="47" t="s">
        <v>154</v>
      </c>
      <c r="K98" s="48">
        <v>3.3</v>
      </c>
      <c r="L98" s="30">
        <f>13037-11672</f>
        <v>1365</v>
      </c>
      <c r="M98" s="45"/>
      <c r="N98" s="45"/>
      <c r="O98" s="30">
        <f t="shared" si="2"/>
        <v>1365</v>
      </c>
    </row>
    <row r="99" spans="1:15" s="21" customFormat="1" ht="29.25">
      <c r="A99" s="309" t="s">
        <v>11</v>
      </c>
      <c r="B99" s="27" t="s">
        <v>162</v>
      </c>
      <c r="C99" s="27" t="s">
        <v>163</v>
      </c>
      <c r="D99" s="46" t="s">
        <v>1466</v>
      </c>
      <c r="E99" s="42"/>
      <c r="F99" s="42" t="s">
        <v>164</v>
      </c>
      <c r="G99" s="23" t="s">
        <v>163</v>
      </c>
      <c r="H99" s="389" t="s">
        <v>298</v>
      </c>
      <c r="I99" s="42">
        <v>26258901</v>
      </c>
      <c r="J99" s="263" t="s">
        <v>152</v>
      </c>
      <c r="K99" s="44">
        <v>2.3</v>
      </c>
      <c r="L99" s="26">
        <f>71333-62204</f>
        <v>9129</v>
      </c>
      <c r="M99" s="45"/>
      <c r="N99" s="45"/>
      <c r="O99" s="30">
        <f t="shared" si="2"/>
        <v>9129</v>
      </c>
    </row>
    <row r="100" spans="1:15" s="21" customFormat="1" ht="29.25">
      <c r="A100" s="309" t="s">
        <v>11</v>
      </c>
      <c r="B100" s="27" t="s">
        <v>162</v>
      </c>
      <c r="C100" s="27" t="s">
        <v>163</v>
      </c>
      <c r="D100" s="46" t="s">
        <v>299</v>
      </c>
      <c r="E100" s="46"/>
      <c r="F100" s="46" t="s">
        <v>164</v>
      </c>
      <c r="G100" s="27" t="s">
        <v>163</v>
      </c>
      <c r="H100" s="388" t="s">
        <v>300</v>
      </c>
      <c r="I100" s="46">
        <v>22086729</v>
      </c>
      <c r="J100" s="264" t="s">
        <v>152</v>
      </c>
      <c r="K100" s="48">
        <v>1.4</v>
      </c>
      <c r="L100" s="26">
        <f>56241-48078</f>
        <v>8163</v>
      </c>
      <c r="M100" s="45"/>
      <c r="N100" s="45"/>
      <c r="O100" s="30">
        <f t="shared" si="2"/>
        <v>8163</v>
      </c>
    </row>
    <row r="101" spans="1:15" s="21" customFormat="1" ht="29.25">
      <c r="A101" s="309" t="s">
        <v>11</v>
      </c>
      <c r="B101" s="27" t="s">
        <v>162</v>
      </c>
      <c r="C101" s="27" t="s">
        <v>163</v>
      </c>
      <c r="D101" s="46" t="s">
        <v>301</v>
      </c>
      <c r="E101" s="46"/>
      <c r="F101" s="46" t="s">
        <v>164</v>
      </c>
      <c r="G101" s="27" t="s">
        <v>163</v>
      </c>
      <c r="H101" s="388" t="s">
        <v>302</v>
      </c>
      <c r="I101" s="46">
        <v>1494758</v>
      </c>
      <c r="J101" s="264" t="s">
        <v>152</v>
      </c>
      <c r="K101" s="48">
        <v>3.1</v>
      </c>
      <c r="L101" s="26">
        <f>8770-1486</f>
        <v>7284</v>
      </c>
      <c r="M101" s="45"/>
      <c r="N101" s="45"/>
      <c r="O101" s="30">
        <f t="shared" si="2"/>
        <v>7284</v>
      </c>
    </row>
    <row r="102" spans="1:15" s="21" customFormat="1" ht="29.25">
      <c r="A102" s="309" t="s">
        <v>11</v>
      </c>
      <c r="B102" s="27" t="s">
        <v>162</v>
      </c>
      <c r="C102" s="27" t="s">
        <v>163</v>
      </c>
      <c r="D102" s="46" t="s">
        <v>303</v>
      </c>
      <c r="E102" s="46"/>
      <c r="F102" s="46" t="s">
        <v>164</v>
      </c>
      <c r="G102" s="27" t="s">
        <v>163</v>
      </c>
      <c r="H102" s="388" t="s">
        <v>304</v>
      </c>
      <c r="I102" s="46">
        <v>107786</v>
      </c>
      <c r="J102" s="264" t="s">
        <v>152</v>
      </c>
      <c r="K102" s="48">
        <v>13</v>
      </c>
      <c r="L102" s="26">
        <f>72637-61127</f>
        <v>11510</v>
      </c>
      <c r="M102" s="45"/>
      <c r="N102" s="45"/>
      <c r="O102" s="30">
        <f t="shared" si="2"/>
        <v>11510</v>
      </c>
    </row>
    <row r="103" spans="1:21" ht="29.25">
      <c r="A103" s="275" t="s">
        <v>11</v>
      </c>
      <c r="B103" s="184" t="s">
        <v>1306</v>
      </c>
      <c r="C103" s="203" t="s">
        <v>163</v>
      </c>
      <c r="D103" s="61" t="s">
        <v>209</v>
      </c>
      <c r="E103" s="55">
        <v>2</v>
      </c>
      <c r="F103" s="42" t="s">
        <v>164</v>
      </c>
      <c r="G103" s="23" t="s">
        <v>163</v>
      </c>
      <c r="H103" s="387" t="s">
        <v>1721</v>
      </c>
      <c r="I103" s="52">
        <v>908056</v>
      </c>
      <c r="J103" s="209" t="s">
        <v>152</v>
      </c>
      <c r="K103" s="267">
        <v>16</v>
      </c>
      <c r="L103" s="53">
        <f>98316-73808</f>
        <v>24508</v>
      </c>
      <c r="M103" s="54"/>
      <c r="N103" s="54"/>
      <c r="O103" s="30">
        <f t="shared" si="2"/>
        <v>24508</v>
      </c>
      <c r="P103" s="154"/>
      <c r="Q103" s="154"/>
      <c r="R103" s="154"/>
      <c r="S103" s="154"/>
      <c r="T103" s="31"/>
      <c r="U103" s="31"/>
    </row>
    <row r="104" spans="1:21" ht="29.25">
      <c r="A104" s="275" t="s">
        <v>11</v>
      </c>
      <c r="B104" s="184" t="s">
        <v>1306</v>
      </c>
      <c r="C104" s="203" t="s">
        <v>163</v>
      </c>
      <c r="D104" s="61" t="s">
        <v>1318</v>
      </c>
      <c r="E104" s="55">
        <v>50</v>
      </c>
      <c r="F104" s="46" t="s">
        <v>164</v>
      </c>
      <c r="G104" s="27" t="s">
        <v>163</v>
      </c>
      <c r="H104" s="376" t="s">
        <v>1720</v>
      </c>
      <c r="I104" s="55">
        <v>226286</v>
      </c>
      <c r="J104" s="208" t="s">
        <v>152</v>
      </c>
      <c r="K104" s="242">
        <v>4</v>
      </c>
      <c r="L104" s="13">
        <f>17159-11653</f>
        <v>5506</v>
      </c>
      <c r="M104" s="45"/>
      <c r="N104" s="45"/>
      <c r="O104" s="30">
        <f t="shared" si="2"/>
        <v>5506</v>
      </c>
      <c r="P104" s="154"/>
      <c r="Q104" s="154"/>
      <c r="R104" s="154"/>
      <c r="S104" s="154"/>
      <c r="T104" s="31"/>
      <c r="U104" s="31"/>
    </row>
    <row r="105" spans="1:21" ht="29.25">
      <c r="A105" s="274" t="s">
        <v>11</v>
      </c>
      <c r="B105" s="184" t="s">
        <v>1306</v>
      </c>
      <c r="C105" s="203" t="s">
        <v>163</v>
      </c>
      <c r="D105" s="61" t="s">
        <v>1668</v>
      </c>
      <c r="E105" s="55" t="s">
        <v>1669</v>
      </c>
      <c r="F105" s="42" t="s">
        <v>164</v>
      </c>
      <c r="G105" s="22" t="s">
        <v>163</v>
      </c>
      <c r="H105" s="377" t="s">
        <v>1722</v>
      </c>
      <c r="I105" s="55">
        <v>239739</v>
      </c>
      <c r="J105" s="155" t="s">
        <v>16</v>
      </c>
      <c r="K105" s="242">
        <v>11</v>
      </c>
      <c r="L105" s="45"/>
      <c r="M105" s="30">
        <f>20509-15000</f>
        <v>5509</v>
      </c>
      <c r="N105" s="30">
        <f>80281-59276</f>
        <v>21005</v>
      </c>
      <c r="O105" s="30">
        <f>M105+N105</f>
        <v>26514</v>
      </c>
      <c r="P105" s="154"/>
      <c r="Q105" s="154"/>
      <c r="R105" s="154"/>
      <c r="S105" s="154"/>
      <c r="T105" s="31"/>
      <c r="U105" s="31"/>
    </row>
    <row r="106" spans="1:21" ht="44.25" thickBot="1">
      <c r="A106" s="274" t="s">
        <v>11</v>
      </c>
      <c r="B106" s="399" t="s">
        <v>1816</v>
      </c>
      <c r="C106" s="52" t="s">
        <v>163</v>
      </c>
      <c r="D106" s="460" t="s">
        <v>1697</v>
      </c>
      <c r="E106" s="138" t="s">
        <v>1817</v>
      </c>
      <c r="F106" s="52" t="s">
        <v>164</v>
      </c>
      <c r="G106" s="55" t="s">
        <v>163</v>
      </c>
      <c r="H106" s="376" t="s">
        <v>1998</v>
      </c>
      <c r="I106" s="52">
        <v>1391795</v>
      </c>
      <c r="J106" s="209" t="s">
        <v>152</v>
      </c>
      <c r="K106" s="267">
        <v>2</v>
      </c>
      <c r="L106" s="53">
        <f>400</f>
        <v>400</v>
      </c>
      <c r="M106" s="54"/>
      <c r="N106" s="54"/>
      <c r="O106" s="53">
        <f>L106</f>
        <v>400</v>
      </c>
      <c r="P106" s="154"/>
      <c r="Q106" s="154"/>
      <c r="R106" s="154"/>
      <c r="S106" s="154"/>
      <c r="T106" s="31"/>
      <c r="U106" s="31"/>
    </row>
    <row r="107" spans="2:15" ht="43.5" customHeight="1">
      <c r="B107" s="74" t="s">
        <v>155</v>
      </c>
      <c r="C107" s="65" t="s">
        <v>284</v>
      </c>
      <c r="D107" s="34"/>
      <c r="G107" s="672" t="s">
        <v>2097</v>
      </c>
      <c r="H107" s="534" t="s">
        <v>284</v>
      </c>
      <c r="M107" s="21"/>
      <c r="N107" s="46" t="s">
        <v>160</v>
      </c>
      <c r="O107" s="276">
        <f>SUM(O18:O106)</f>
        <v>2398457</v>
      </c>
    </row>
    <row r="108" spans="2:15" ht="15">
      <c r="B108" s="36"/>
      <c r="C108" s="68" t="s">
        <v>1814</v>
      </c>
      <c r="D108" s="38"/>
      <c r="G108" s="533"/>
      <c r="H108" s="534" t="s">
        <v>285</v>
      </c>
      <c r="L108" s="2"/>
      <c r="M108" s="35"/>
      <c r="N108" s="35"/>
      <c r="O108" s="21"/>
    </row>
    <row r="109" spans="2:15" ht="15.75" thickBot="1">
      <c r="B109" s="36"/>
      <c r="C109" s="76" t="s">
        <v>286</v>
      </c>
      <c r="D109" s="38"/>
      <c r="G109" s="641"/>
      <c r="H109" s="535" t="s">
        <v>286</v>
      </c>
      <c r="M109" s="21"/>
      <c r="N109" s="21"/>
      <c r="O109" s="21"/>
    </row>
    <row r="110" spans="2:15" ht="15">
      <c r="B110" s="279" t="s">
        <v>1670</v>
      </c>
      <c r="C110" s="76" t="s">
        <v>1815</v>
      </c>
      <c r="D110" s="38"/>
      <c r="G110" s="278"/>
      <c r="H110" s="37"/>
      <c r="M110" s="21"/>
      <c r="N110" s="21"/>
      <c r="O110" s="21"/>
    </row>
    <row r="111" spans="2:15" ht="15.75" thickBot="1">
      <c r="B111" s="238" t="s">
        <v>1674</v>
      </c>
      <c r="C111" s="77" t="s">
        <v>1962</v>
      </c>
      <c r="D111" s="41"/>
      <c r="M111" s="420" t="s">
        <v>160</v>
      </c>
      <c r="N111" s="35">
        <f>O107</f>
        <v>2398457</v>
      </c>
      <c r="O111" s="21"/>
    </row>
    <row r="112" spans="2:15" ht="15">
      <c r="B112" s="68"/>
      <c r="C112" s="37"/>
      <c r="D112" s="68"/>
      <c r="M112" s="420"/>
      <c r="N112" s="35"/>
      <c r="O112" s="21"/>
    </row>
    <row r="113" spans="13:15" ht="14.25">
      <c r="M113" s="21"/>
      <c r="N113" s="21"/>
      <c r="O113" s="21"/>
    </row>
    <row r="114" spans="2:15" ht="15.75" thickBot="1">
      <c r="B114" s="68"/>
      <c r="C114" s="37"/>
      <c r="D114" s="68"/>
      <c r="M114" s="21"/>
      <c r="N114" s="21"/>
      <c r="O114" s="21"/>
    </row>
    <row r="115" spans="2:16" ht="44.25" customHeight="1">
      <c r="B115" s="68"/>
      <c r="C115" s="37"/>
      <c r="D115" s="68"/>
      <c r="L115" s="709" t="s">
        <v>157</v>
      </c>
      <c r="M115" s="706" t="s">
        <v>1034</v>
      </c>
      <c r="N115" s="707"/>
      <c r="O115" s="708"/>
      <c r="P115" s="743" t="s">
        <v>158</v>
      </c>
    </row>
    <row r="116" spans="9:16" s="21" customFormat="1" ht="27.75" customHeight="1" thickBot="1">
      <c r="I116" s="31"/>
      <c r="J116" s="31"/>
      <c r="K116" s="169"/>
      <c r="L116" s="710"/>
      <c r="M116" s="128" t="s">
        <v>159</v>
      </c>
      <c r="N116" s="128" t="s">
        <v>1035</v>
      </c>
      <c r="O116" s="128" t="s">
        <v>1036</v>
      </c>
      <c r="P116" s="744"/>
    </row>
    <row r="117" spans="9:16" ht="14.25">
      <c r="I117" s="31"/>
      <c r="J117" s="31"/>
      <c r="K117" s="169"/>
      <c r="L117" s="52" t="s">
        <v>152</v>
      </c>
      <c r="M117" s="53">
        <f>O99+O100+O101+O102+O103+O104+O106</f>
        <v>66500</v>
      </c>
      <c r="N117" s="54"/>
      <c r="O117" s="54"/>
      <c r="P117" s="52">
        <v>7</v>
      </c>
    </row>
    <row r="118" spans="9:16" ht="14.25">
      <c r="I118" s="31"/>
      <c r="J118" s="31"/>
      <c r="K118" s="169"/>
      <c r="L118" s="340" t="s">
        <v>154</v>
      </c>
      <c r="M118" s="146">
        <f>O91+O92+O93+O94+O95+O96+O97+O98</f>
        <v>189006</v>
      </c>
      <c r="N118" s="176"/>
      <c r="O118" s="176"/>
      <c r="P118" s="340">
        <v>8</v>
      </c>
    </row>
    <row r="119" spans="6:16" ht="15" thickBot="1">
      <c r="F119" s="50"/>
      <c r="I119" s="31"/>
      <c r="J119" s="31"/>
      <c r="K119" s="31"/>
      <c r="L119" s="56" t="s">
        <v>16</v>
      </c>
      <c r="M119" s="57"/>
      <c r="N119" s="14">
        <f>SUM(M18:M105)</f>
        <v>406307</v>
      </c>
      <c r="O119" s="14">
        <f>SUM(N18:N105)</f>
        <v>1736644</v>
      </c>
      <c r="P119" s="56">
        <v>74</v>
      </c>
    </row>
    <row r="120" spans="6:16" ht="15" thickBot="1">
      <c r="F120" s="51"/>
      <c r="I120" s="31"/>
      <c r="J120" s="31"/>
      <c r="K120" s="31"/>
      <c r="L120" s="16" t="s">
        <v>160</v>
      </c>
      <c r="M120" s="18">
        <f>SUM(M117:M119)</f>
        <v>255506</v>
      </c>
      <c r="N120" s="18">
        <f>SUM(N117:N119)</f>
        <v>406307</v>
      </c>
      <c r="O120" s="19">
        <f>SUM(O117:O119)</f>
        <v>1736644</v>
      </c>
      <c r="P120" s="325">
        <f>SUM(P117:P119)</f>
        <v>89</v>
      </c>
    </row>
    <row r="121" spans="6:14" ht="18.75" thickBot="1">
      <c r="F121" s="50"/>
      <c r="I121" s="31"/>
      <c r="J121" s="31"/>
      <c r="K121" s="147"/>
      <c r="M121" s="58" t="s">
        <v>161</v>
      </c>
      <c r="N121" s="323">
        <f>SUM(M120:O120)</f>
        <v>2398457</v>
      </c>
    </row>
    <row r="122" spans="6:16" ht="18">
      <c r="F122" s="50"/>
      <c r="I122" s="31"/>
      <c r="J122" s="31"/>
      <c r="K122" s="31"/>
      <c r="L122" s="239"/>
      <c r="M122" s="235"/>
      <c r="N122" s="31"/>
      <c r="O122" s="31"/>
      <c r="P122" s="31"/>
    </row>
    <row r="123" spans="9:16" ht="14.25">
      <c r="I123" s="31"/>
      <c r="J123" s="31"/>
      <c r="K123" s="31"/>
      <c r="L123" s="31"/>
      <c r="M123" s="31"/>
      <c r="N123" s="154"/>
      <c r="O123" s="31"/>
      <c r="P123" s="31"/>
    </row>
    <row r="124" spans="9:16" ht="14.25">
      <c r="I124" s="31"/>
      <c r="J124" s="31"/>
      <c r="K124" s="31"/>
      <c r="L124" s="31"/>
      <c r="M124" s="31"/>
      <c r="N124" s="31"/>
      <c r="O124" s="31"/>
      <c r="P124" s="31"/>
    </row>
    <row r="135" spans="13:15" ht="14.25">
      <c r="M135" s="21"/>
      <c r="N135" s="21"/>
      <c r="O135" s="21"/>
    </row>
    <row r="136" spans="13:15" ht="14.25">
      <c r="M136" s="21"/>
      <c r="N136" s="21"/>
      <c r="O136" s="21"/>
    </row>
    <row r="137" spans="13:15" ht="14.25">
      <c r="M137" s="21"/>
      <c r="N137" s="21"/>
      <c r="O137" s="21"/>
    </row>
    <row r="138" spans="13:15" ht="14.25">
      <c r="M138" s="21"/>
      <c r="N138" s="21"/>
      <c r="O138" s="21"/>
    </row>
    <row r="139" spans="13:15" ht="14.25">
      <c r="M139" s="21"/>
      <c r="N139" s="21"/>
      <c r="O139" s="21"/>
    </row>
    <row r="140" spans="13:15" ht="14.25">
      <c r="M140" s="21"/>
      <c r="N140" s="21"/>
      <c r="O140" s="21"/>
    </row>
    <row r="141" spans="13:15" ht="14.25">
      <c r="M141" s="21"/>
      <c r="N141" s="21"/>
      <c r="O141" s="21"/>
    </row>
    <row r="142" spans="13:15" ht="14.25">
      <c r="M142" s="21"/>
      <c r="N142" s="21"/>
      <c r="O142" s="21"/>
    </row>
    <row r="143" spans="13:15" ht="14.25">
      <c r="M143" s="21"/>
      <c r="N143" s="21"/>
      <c r="O143" s="21"/>
    </row>
    <row r="144" spans="13:15" ht="14.25">
      <c r="M144" s="21"/>
      <c r="N144" s="21"/>
      <c r="O144" s="21"/>
    </row>
    <row r="145" spans="13:15" ht="14.25">
      <c r="M145" s="21"/>
      <c r="N145" s="21"/>
      <c r="O145" s="21"/>
    </row>
    <row r="146" spans="13:15" ht="14.25">
      <c r="M146" s="21"/>
      <c r="N146" s="21"/>
      <c r="O146" s="21"/>
    </row>
    <row r="147" spans="13:15" ht="14.25">
      <c r="M147" s="21"/>
      <c r="N147" s="21"/>
      <c r="O147" s="21"/>
    </row>
    <row r="148" spans="13:15" ht="14.25">
      <c r="M148" s="21"/>
      <c r="N148" s="21"/>
      <c r="O148" s="21"/>
    </row>
    <row r="149" spans="13:15" ht="14.25">
      <c r="M149" s="21"/>
      <c r="N149" s="21"/>
      <c r="O149" s="21"/>
    </row>
    <row r="150" spans="13:15" ht="14.25">
      <c r="M150" s="21"/>
      <c r="N150" s="21"/>
      <c r="O150" s="21"/>
    </row>
    <row r="151" spans="13:15" ht="14.25">
      <c r="M151" s="21"/>
      <c r="N151" s="21"/>
      <c r="O151" s="21"/>
    </row>
    <row r="152" spans="13:15" ht="14.25">
      <c r="M152" s="21"/>
      <c r="N152" s="21"/>
      <c r="O152" s="21"/>
    </row>
    <row r="153" spans="13:15" ht="14.25">
      <c r="M153" s="21"/>
      <c r="N153" s="21"/>
      <c r="O153" s="21"/>
    </row>
    <row r="154" spans="13:15" ht="14.25">
      <c r="M154" s="21"/>
      <c r="N154" s="21"/>
      <c r="O154" s="21"/>
    </row>
    <row r="155" spans="13:15" ht="14.25">
      <c r="M155" s="21"/>
      <c r="N155" s="21"/>
      <c r="O155" s="21"/>
    </row>
    <row r="156" spans="13:15" ht="14.25">
      <c r="M156" s="21"/>
      <c r="N156" s="21"/>
      <c r="O156" s="21"/>
    </row>
    <row r="157" spans="13:15" ht="14.25">
      <c r="M157" s="21"/>
      <c r="N157" s="21"/>
      <c r="O157" s="21"/>
    </row>
    <row r="158" spans="13:15" ht="14.25">
      <c r="M158" s="21"/>
      <c r="N158" s="21"/>
      <c r="O158" s="21"/>
    </row>
    <row r="159" spans="13:15" ht="14.25">
      <c r="M159" s="21"/>
      <c r="N159" s="21"/>
      <c r="O159" s="21"/>
    </row>
    <row r="160" spans="13:15" ht="14.25">
      <c r="M160" s="21"/>
      <c r="N160" s="21"/>
      <c r="O160" s="21"/>
    </row>
    <row r="161" spans="13:15" ht="14.25">
      <c r="M161" s="21"/>
      <c r="N161" s="21"/>
      <c r="O161" s="21"/>
    </row>
    <row r="162" spans="13:15" ht="14.25">
      <c r="M162" s="21"/>
      <c r="N162" s="21"/>
      <c r="O162" s="21"/>
    </row>
    <row r="163" spans="13:15" ht="14.25">
      <c r="M163" s="21"/>
      <c r="N163" s="21"/>
      <c r="O163" s="21"/>
    </row>
    <row r="164" spans="13:15" ht="14.25">
      <c r="M164" s="21"/>
      <c r="N164" s="21"/>
      <c r="O164" s="21"/>
    </row>
    <row r="165" spans="13:15" ht="14.25">
      <c r="M165" s="21"/>
      <c r="N165" s="21"/>
      <c r="O165" s="21"/>
    </row>
  </sheetData>
  <sheetProtection/>
  <mergeCells count="19">
    <mergeCell ref="B1:K1"/>
    <mergeCell ref="L115:L116"/>
    <mergeCell ref="M115:O115"/>
    <mergeCell ref="P115:P116"/>
    <mergeCell ref="A15:A17"/>
    <mergeCell ref="B15:B17"/>
    <mergeCell ref="C15:C17"/>
    <mergeCell ref="D15:D17"/>
    <mergeCell ref="E15:E17"/>
    <mergeCell ref="F15:F17"/>
    <mergeCell ref="G15:G17"/>
    <mergeCell ref="J15:J17"/>
    <mergeCell ref="B3:I3"/>
    <mergeCell ref="B5:I5"/>
    <mergeCell ref="I15:I17"/>
    <mergeCell ref="L16:O16"/>
    <mergeCell ref="K15:K17"/>
    <mergeCell ref="H15:H17"/>
    <mergeCell ref="L15:O15"/>
  </mergeCells>
  <printOptions/>
  <pageMargins left="0.7" right="0.7" top="0.75" bottom="0.75" header="0.3" footer="0.3"/>
  <pageSetup orientation="portrait" paperSize="9" r:id="rId1"/>
  <ignoredErrors>
    <ignoredError sqref="O1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8"/>
  <sheetViews>
    <sheetView zoomScale="80" zoomScaleNormal="80" zoomScalePageLayoutView="0" workbookViewId="0" topLeftCell="A153">
      <selection activeCell="B7" sqref="B7:B8"/>
    </sheetView>
  </sheetViews>
  <sheetFormatPr defaultColWidth="8.796875" defaultRowHeight="14.25"/>
  <cols>
    <col min="1" max="1" width="10.8984375" style="0" customWidth="1"/>
    <col min="2" max="2" width="12.5" style="0" customWidth="1"/>
    <col min="3" max="3" width="14.69921875" style="0" customWidth="1"/>
    <col min="4" max="4" width="11.8984375" style="0" customWidth="1"/>
    <col min="5" max="5" width="14.09765625" style="0" customWidth="1"/>
    <col min="6" max="6" width="12.5" style="0" customWidth="1"/>
    <col min="7" max="7" width="14.09765625" style="0" customWidth="1"/>
    <col min="8" max="8" width="26" style="0" customWidth="1"/>
    <col min="9" max="9" width="21.69921875" style="0" customWidth="1"/>
    <col min="10" max="10" width="12.59765625" style="0" customWidth="1"/>
    <col min="11" max="11" width="12.5" style="1" customWidth="1"/>
    <col min="12" max="12" width="13.09765625" style="2" customWidth="1"/>
    <col min="13" max="13" width="15.5" style="2" customWidth="1"/>
    <col min="14" max="14" width="18.19921875" style="2" customWidth="1"/>
    <col min="15" max="15" width="21.09765625" style="2" customWidth="1"/>
    <col min="16" max="16" width="13.19921875" style="0" customWidth="1"/>
    <col min="17" max="17" width="12.8984375" style="0" customWidth="1"/>
    <col min="18" max="18" width="14.59765625" style="0" customWidth="1"/>
    <col min="19" max="19" width="15.19921875" style="0" customWidth="1"/>
    <col min="20" max="20" width="22.59765625" style="0" customWidth="1"/>
    <col min="21" max="21" width="23" style="0" customWidth="1"/>
  </cols>
  <sheetData>
    <row r="1" spans="2:10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</row>
    <row r="2" spans="2:10" ht="15">
      <c r="B2" s="220"/>
      <c r="C2" s="220"/>
      <c r="D2" s="220"/>
      <c r="E2" s="220"/>
      <c r="F2" s="220"/>
      <c r="G2" s="220"/>
      <c r="H2" s="221"/>
      <c r="I2" s="222"/>
      <c r="J2" s="225"/>
    </row>
    <row r="3" spans="2:10" ht="26.25" customHeight="1">
      <c r="B3" s="745" t="s">
        <v>1055</v>
      </c>
      <c r="C3" s="746"/>
      <c r="D3" s="746"/>
      <c r="E3" s="746"/>
      <c r="F3" s="746"/>
      <c r="G3" s="746"/>
      <c r="H3" s="746"/>
      <c r="I3" s="747"/>
      <c r="J3" s="225"/>
    </row>
    <row r="4" spans="2:10" ht="15">
      <c r="B4" s="221"/>
      <c r="C4" s="221"/>
      <c r="D4" s="221"/>
      <c r="E4" s="221"/>
      <c r="F4" s="221"/>
      <c r="G4" s="221"/>
      <c r="H4" s="221"/>
      <c r="I4" s="222"/>
      <c r="J4" s="225"/>
    </row>
    <row r="5" spans="2:10" ht="15.75" customHeight="1">
      <c r="B5" s="736" t="s">
        <v>1029</v>
      </c>
      <c r="C5" s="736"/>
      <c r="D5" s="736"/>
      <c r="E5" s="736"/>
      <c r="F5" s="736"/>
      <c r="G5" s="736"/>
      <c r="H5" s="736"/>
      <c r="I5" s="736"/>
      <c r="J5" s="225"/>
    </row>
    <row r="6" spans="2:10" ht="17.25" customHeight="1">
      <c r="B6" s="221"/>
      <c r="C6" s="221"/>
      <c r="D6" s="221"/>
      <c r="E6" s="221"/>
      <c r="F6" s="221"/>
      <c r="G6" s="221"/>
      <c r="H6" s="221"/>
      <c r="I6" s="222"/>
      <c r="J6" s="225"/>
    </row>
    <row r="7" spans="2:10" ht="15.75">
      <c r="B7" s="502" t="s">
        <v>967</v>
      </c>
      <c r="C7" s="220"/>
      <c r="D7" s="221"/>
      <c r="E7" s="221"/>
      <c r="F7" s="221"/>
      <c r="G7" s="220"/>
      <c r="H7" s="221"/>
      <c r="I7" s="222"/>
      <c r="J7" s="225"/>
    </row>
    <row r="8" spans="2:10" ht="15.75">
      <c r="B8" s="502" t="s">
        <v>2098</v>
      </c>
      <c r="C8" s="220"/>
      <c r="D8" s="221"/>
      <c r="E8" s="221"/>
      <c r="F8" s="221"/>
      <c r="G8" s="220"/>
      <c r="H8" s="221"/>
      <c r="I8" s="222"/>
      <c r="J8" s="225"/>
    </row>
    <row r="9" spans="2:10" ht="15.75">
      <c r="B9" s="224" t="s">
        <v>2087</v>
      </c>
      <c r="C9" s="220"/>
      <c r="D9" s="225"/>
      <c r="E9" s="221"/>
      <c r="F9" s="221"/>
      <c r="G9" s="220"/>
      <c r="H9" s="221"/>
      <c r="I9" s="222"/>
      <c r="J9" s="225"/>
    </row>
    <row r="10" spans="2:10" ht="15.75">
      <c r="B10" s="224" t="s">
        <v>1663</v>
      </c>
      <c r="C10" s="220"/>
      <c r="D10" s="225"/>
      <c r="E10" s="221"/>
      <c r="F10" s="221"/>
      <c r="G10" s="220"/>
      <c r="H10" s="221"/>
      <c r="I10" s="222"/>
      <c r="J10" s="225"/>
    </row>
    <row r="11" spans="2:10" ht="15">
      <c r="B11" s="220" t="s">
        <v>1046</v>
      </c>
      <c r="C11" s="220"/>
      <c r="D11" s="220"/>
      <c r="E11" s="220"/>
      <c r="F11" s="220"/>
      <c r="G11" s="220"/>
      <c r="H11" s="221"/>
      <c r="I11" s="222"/>
      <c r="J11" s="225"/>
    </row>
    <row r="12" spans="2:10" ht="15.75">
      <c r="B12" s="226"/>
      <c r="C12" s="227"/>
      <c r="D12" s="225"/>
      <c r="E12" s="225"/>
      <c r="F12" s="225"/>
      <c r="G12" s="225"/>
      <c r="H12" s="228"/>
      <c r="I12" s="220"/>
      <c r="J12" s="225"/>
    </row>
    <row r="13" spans="2:10" ht="15.75">
      <c r="B13" s="226" t="s">
        <v>1032</v>
      </c>
      <c r="C13" s="223" t="s">
        <v>1033</v>
      </c>
      <c r="D13" s="225"/>
      <c r="E13" s="225"/>
      <c r="F13" s="225"/>
      <c r="G13" s="225"/>
      <c r="H13" s="669"/>
      <c r="I13" s="220"/>
      <c r="J13" s="225"/>
    </row>
    <row r="14" spans="1:10" ht="15" thickBot="1">
      <c r="A14" s="31"/>
      <c r="B14" s="86"/>
      <c r="C14" s="31"/>
      <c r="D14" s="31"/>
      <c r="E14" s="31"/>
      <c r="F14" s="31"/>
      <c r="G14" s="31"/>
      <c r="H14" s="31"/>
      <c r="I14" s="31"/>
      <c r="J14" s="31"/>
    </row>
    <row r="15" spans="1:15" ht="48.7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5" customHeight="1">
      <c r="A16" s="712"/>
      <c r="B16" s="715"/>
      <c r="C16" s="722"/>
      <c r="D16" s="722"/>
      <c r="E16" s="698"/>
      <c r="F16" s="698"/>
      <c r="G16" s="722"/>
      <c r="H16" s="698"/>
      <c r="I16" s="698"/>
      <c r="J16" s="698"/>
      <c r="K16" s="730"/>
      <c r="L16" s="737" t="s">
        <v>1040</v>
      </c>
      <c r="M16" s="738"/>
      <c r="N16" s="738"/>
      <c r="O16" s="739"/>
    </row>
    <row r="17" spans="1:15" ht="54.75" customHeight="1" thickBot="1">
      <c r="A17" s="713"/>
      <c r="B17" s="716"/>
      <c r="C17" s="723"/>
      <c r="D17" s="723"/>
      <c r="E17" s="699"/>
      <c r="F17" s="699"/>
      <c r="G17" s="723"/>
      <c r="H17" s="699"/>
      <c r="I17" s="699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6" ht="29.25">
      <c r="A18" s="275" t="s">
        <v>11</v>
      </c>
      <c r="B18" s="60" t="s">
        <v>12</v>
      </c>
      <c r="C18" s="60" t="s">
        <v>305</v>
      </c>
      <c r="D18" s="55"/>
      <c r="E18" s="55"/>
      <c r="F18" s="55" t="s">
        <v>164</v>
      </c>
      <c r="G18" s="60" t="s">
        <v>163</v>
      </c>
      <c r="H18" s="376" t="s">
        <v>1184</v>
      </c>
      <c r="I18" s="46">
        <v>1499919</v>
      </c>
      <c r="J18" s="484" t="s">
        <v>154</v>
      </c>
      <c r="K18" s="62">
        <v>1.4</v>
      </c>
      <c r="L18" s="205">
        <f>14903-7512</f>
        <v>7391</v>
      </c>
      <c r="M18" s="201"/>
      <c r="N18" s="201"/>
      <c r="O18" s="202">
        <f>L18</f>
        <v>7391</v>
      </c>
      <c r="P18" s="2"/>
    </row>
    <row r="19" spans="1:16" ht="29.25">
      <c r="A19" s="275" t="s">
        <v>11</v>
      </c>
      <c r="B19" s="60" t="s">
        <v>12</v>
      </c>
      <c r="C19" s="60" t="s">
        <v>306</v>
      </c>
      <c r="D19" s="55"/>
      <c r="E19" s="55">
        <v>29</v>
      </c>
      <c r="F19" s="55" t="s">
        <v>164</v>
      </c>
      <c r="G19" s="60" t="s">
        <v>163</v>
      </c>
      <c r="H19" s="376" t="s">
        <v>1097</v>
      </c>
      <c r="I19" s="46">
        <v>1399796</v>
      </c>
      <c r="J19" s="484" t="s">
        <v>154</v>
      </c>
      <c r="K19" s="62">
        <v>2.2</v>
      </c>
      <c r="L19" s="205">
        <f>23495-14720</f>
        <v>8775</v>
      </c>
      <c r="M19" s="201"/>
      <c r="N19" s="201"/>
      <c r="O19" s="202">
        <f aca="true" t="shared" si="0" ref="O19:O27">L19</f>
        <v>8775</v>
      </c>
      <c r="P19" s="2"/>
    </row>
    <row r="20" spans="1:16" ht="29.25">
      <c r="A20" s="275" t="s">
        <v>11</v>
      </c>
      <c r="B20" s="60" t="s">
        <v>12</v>
      </c>
      <c r="C20" s="60" t="s">
        <v>306</v>
      </c>
      <c r="D20" s="55"/>
      <c r="E20" s="55"/>
      <c r="F20" s="55" t="s">
        <v>164</v>
      </c>
      <c r="G20" s="60" t="s">
        <v>163</v>
      </c>
      <c r="H20" s="376" t="s">
        <v>1098</v>
      </c>
      <c r="I20" s="46">
        <v>1399798</v>
      </c>
      <c r="J20" s="484" t="s">
        <v>154</v>
      </c>
      <c r="K20" s="62">
        <v>1</v>
      </c>
      <c r="L20" s="205">
        <f>16165-7826</f>
        <v>8339</v>
      </c>
      <c r="M20" s="201"/>
      <c r="N20" s="201"/>
      <c r="O20" s="202">
        <f t="shared" si="0"/>
        <v>8339</v>
      </c>
      <c r="P20" s="2"/>
    </row>
    <row r="21" spans="1:16" ht="29.25">
      <c r="A21" s="275" t="s">
        <v>11</v>
      </c>
      <c r="B21" s="60" t="s">
        <v>12</v>
      </c>
      <c r="C21" s="60" t="s">
        <v>307</v>
      </c>
      <c r="D21" s="55"/>
      <c r="E21" s="55"/>
      <c r="F21" s="55" t="s">
        <v>164</v>
      </c>
      <c r="G21" s="60" t="s">
        <v>163</v>
      </c>
      <c r="H21" s="376" t="s">
        <v>1099</v>
      </c>
      <c r="I21" s="46">
        <v>1404279</v>
      </c>
      <c r="J21" s="484" t="s">
        <v>154</v>
      </c>
      <c r="K21" s="62">
        <v>2</v>
      </c>
      <c r="L21" s="205">
        <f>19466-11638</f>
        <v>7828</v>
      </c>
      <c r="M21" s="201"/>
      <c r="N21" s="201"/>
      <c r="O21" s="202">
        <f t="shared" si="0"/>
        <v>7828</v>
      </c>
      <c r="P21" s="2"/>
    </row>
    <row r="22" spans="1:16" ht="29.25">
      <c r="A22" s="275" t="s">
        <v>11</v>
      </c>
      <c r="B22" s="60" t="s">
        <v>12</v>
      </c>
      <c r="C22" s="60" t="s">
        <v>308</v>
      </c>
      <c r="D22" s="55"/>
      <c r="E22" s="55"/>
      <c r="F22" s="55" t="s">
        <v>164</v>
      </c>
      <c r="G22" s="60" t="s">
        <v>163</v>
      </c>
      <c r="H22" s="376" t="s">
        <v>1100</v>
      </c>
      <c r="I22" s="46">
        <v>1404281</v>
      </c>
      <c r="J22" s="484" t="s">
        <v>154</v>
      </c>
      <c r="K22" s="62">
        <v>3.1</v>
      </c>
      <c r="L22" s="205">
        <f>36287-25989</f>
        <v>10298</v>
      </c>
      <c r="M22" s="201"/>
      <c r="N22" s="201"/>
      <c r="O22" s="202">
        <f t="shared" si="0"/>
        <v>10298</v>
      </c>
      <c r="P22" s="2"/>
    </row>
    <row r="23" spans="1:16" ht="29.25">
      <c r="A23" s="275" t="s">
        <v>11</v>
      </c>
      <c r="B23" s="60" t="s">
        <v>12</v>
      </c>
      <c r="C23" s="60" t="s">
        <v>307</v>
      </c>
      <c r="D23" s="55"/>
      <c r="E23" s="55">
        <v>2</v>
      </c>
      <c r="F23" s="55" t="s">
        <v>164</v>
      </c>
      <c r="G23" s="60" t="s">
        <v>163</v>
      </c>
      <c r="H23" s="376" t="s">
        <v>1101</v>
      </c>
      <c r="I23" s="46">
        <v>1387585</v>
      </c>
      <c r="J23" s="484" t="s">
        <v>154</v>
      </c>
      <c r="K23" s="62">
        <v>2</v>
      </c>
      <c r="L23" s="205">
        <f>16577-7302</f>
        <v>9275</v>
      </c>
      <c r="M23" s="201"/>
      <c r="N23" s="201"/>
      <c r="O23" s="202">
        <f t="shared" si="0"/>
        <v>9275</v>
      </c>
      <c r="P23" s="2"/>
    </row>
    <row r="24" spans="1:16" ht="29.25">
      <c r="A24" s="275" t="s">
        <v>11</v>
      </c>
      <c r="B24" s="60" t="s">
        <v>12</v>
      </c>
      <c r="C24" s="60" t="s">
        <v>309</v>
      </c>
      <c r="D24" s="55"/>
      <c r="E24" s="55"/>
      <c r="F24" s="55" t="s">
        <v>164</v>
      </c>
      <c r="G24" s="60" t="s">
        <v>163</v>
      </c>
      <c r="H24" s="376" t="s">
        <v>1102</v>
      </c>
      <c r="I24" s="46">
        <v>90695858</v>
      </c>
      <c r="J24" s="484" t="s">
        <v>154</v>
      </c>
      <c r="K24" s="62">
        <v>7</v>
      </c>
      <c r="L24" s="205">
        <f>56736-17949</f>
        <v>38787</v>
      </c>
      <c r="M24" s="201"/>
      <c r="N24" s="201"/>
      <c r="O24" s="202">
        <f t="shared" si="0"/>
        <v>38787</v>
      </c>
      <c r="P24" s="2"/>
    </row>
    <row r="25" spans="1:16" ht="29.25">
      <c r="A25" s="275" t="s">
        <v>11</v>
      </c>
      <c r="B25" s="60" t="s">
        <v>12</v>
      </c>
      <c r="C25" s="60" t="s">
        <v>309</v>
      </c>
      <c r="D25" s="55"/>
      <c r="E25" s="55">
        <v>2</v>
      </c>
      <c r="F25" s="55" t="s">
        <v>164</v>
      </c>
      <c r="G25" s="60" t="s">
        <v>163</v>
      </c>
      <c r="H25" s="376" t="s">
        <v>1103</v>
      </c>
      <c r="I25" s="46">
        <v>1403590</v>
      </c>
      <c r="J25" s="484" t="s">
        <v>154</v>
      </c>
      <c r="K25" s="62">
        <v>2</v>
      </c>
      <c r="L25" s="205">
        <f>29304-24226</f>
        <v>5078</v>
      </c>
      <c r="M25" s="201"/>
      <c r="N25" s="201"/>
      <c r="O25" s="202">
        <f t="shared" si="0"/>
        <v>5078</v>
      </c>
      <c r="P25" s="2"/>
    </row>
    <row r="26" spans="1:16" ht="29.25">
      <c r="A26" s="275" t="s">
        <v>11</v>
      </c>
      <c r="B26" s="60" t="s">
        <v>12</v>
      </c>
      <c r="C26" s="60" t="s">
        <v>308</v>
      </c>
      <c r="D26" s="55"/>
      <c r="E26" s="55">
        <v>2</v>
      </c>
      <c r="F26" s="55" t="s">
        <v>164</v>
      </c>
      <c r="G26" s="60" t="s">
        <v>163</v>
      </c>
      <c r="H26" s="376" t="s">
        <v>1104</v>
      </c>
      <c r="I26" s="46">
        <v>83426451</v>
      </c>
      <c r="J26" s="484" t="s">
        <v>154</v>
      </c>
      <c r="K26" s="62">
        <v>1</v>
      </c>
      <c r="L26" s="205">
        <f>7718-4054</f>
        <v>3664</v>
      </c>
      <c r="M26" s="201"/>
      <c r="N26" s="201"/>
      <c r="O26" s="202">
        <f t="shared" si="0"/>
        <v>3664</v>
      </c>
      <c r="P26" s="2"/>
    </row>
    <row r="27" spans="1:16" ht="29.25">
      <c r="A27" s="275" t="s">
        <v>11</v>
      </c>
      <c r="B27" s="60" t="s">
        <v>12</v>
      </c>
      <c r="C27" s="60" t="s">
        <v>310</v>
      </c>
      <c r="D27" s="55"/>
      <c r="E27" s="55"/>
      <c r="F27" s="55" t="s">
        <v>164</v>
      </c>
      <c r="G27" s="60" t="s">
        <v>163</v>
      </c>
      <c r="H27" s="376" t="s">
        <v>1105</v>
      </c>
      <c r="I27" s="46">
        <v>1399803</v>
      </c>
      <c r="J27" s="484" t="s">
        <v>154</v>
      </c>
      <c r="K27" s="62">
        <v>2.1</v>
      </c>
      <c r="L27" s="205">
        <f>20598-10546</f>
        <v>10052</v>
      </c>
      <c r="M27" s="201"/>
      <c r="N27" s="201"/>
      <c r="O27" s="202">
        <f t="shared" si="0"/>
        <v>10052</v>
      </c>
      <c r="P27" s="2"/>
    </row>
    <row r="28" spans="1:16" ht="29.25">
      <c r="A28" s="275" t="s">
        <v>11</v>
      </c>
      <c r="B28" s="60" t="s">
        <v>12</v>
      </c>
      <c r="C28" s="63" t="s">
        <v>311</v>
      </c>
      <c r="D28" s="55"/>
      <c r="E28" s="55"/>
      <c r="F28" s="55" t="s">
        <v>164</v>
      </c>
      <c r="G28" s="60" t="s">
        <v>163</v>
      </c>
      <c r="H28" s="376" t="s">
        <v>1109</v>
      </c>
      <c r="I28" s="46">
        <v>1399799</v>
      </c>
      <c r="J28" s="484" t="s">
        <v>154</v>
      </c>
      <c r="K28" s="62">
        <v>2.2</v>
      </c>
      <c r="L28" s="205">
        <f>9842-5729</f>
        <v>4113</v>
      </c>
      <c r="M28" s="201"/>
      <c r="N28" s="201"/>
      <c r="O28" s="202">
        <f>L28</f>
        <v>4113</v>
      </c>
      <c r="P28" s="2"/>
    </row>
    <row r="29" spans="1:16" ht="29.25">
      <c r="A29" s="275" t="s">
        <v>11</v>
      </c>
      <c r="B29" s="60" t="s">
        <v>12</v>
      </c>
      <c r="C29" s="60" t="s">
        <v>311</v>
      </c>
      <c r="D29" s="55"/>
      <c r="E29" s="55"/>
      <c r="F29" s="55" t="s">
        <v>164</v>
      </c>
      <c r="G29" s="60" t="s">
        <v>163</v>
      </c>
      <c r="H29" s="376" t="s">
        <v>1110</v>
      </c>
      <c r="I29" s="46">
        <v>1403579</v>
      </c>
      <c r="J29" s="484" t="s">
        <v>154</v>
      </c>
      <c r="K29" s="62">
        <v>0.5</v>
      </c>
      <c r="L29" s="205">
        <f>11323-6399</f>
        <v>4924</v>
      </c>
      <c r="M29" s="201"/>
      <c r="N29" s="201"/>
      <c r="O29" s="202">
        <f>L29</f>
        <v>4924</v>
      </c>
      <c r="P29" s="2"/>
    </row>
    <row r="30" spans="1:16" ht="29.25">
      <c r="A30" s="275" t="s">
        <v>11</v>
      </c>
      <c r="B30" s="60" t="s">
        <v>12</v>
      </c>
      <c r="C30" s="60" t="s">
        <v>312</v>
      </c>
      <c r="D30" s="55"/>
      <c r="E30" s="55"/>
      <c r="F30" s="55" t="s">
        <v>164</v>
      </c>
      <c r="G30" s="60" t="s">
        <v>163</v>
      </c>
      <c r="H30" s="376" t="s">
        <v>1116</v>
      </c>
      <c r="I30" s="46">
        <v>1393863</v>
      </c>
      <c r="J30" s="484" t="s">
        <v>154</v>
      </c>
      <c r="K30" s="62">
        <v>2.2</v>
      </c>
      <c r="L30" s="205">
        <f>6515-3985</f>
        <v>2530</v>
      </c>
      <c r="M30" s="201"/>
      <c r="N30" s="201"/>
      <c r="O30" s="202">
        <f>L30</f>
        <v>2530</v>
      </c>
      <c r="P30" s="2"/>
    </row>
    <row r="31" spans="1:16" ht="29.25">
      <c r="A31" s="275" t="s">
        <v>11</v>
      </c>
      <c r="B31" s="60" t="s">
        <v>12</v>
      </c>
      <c r="C31" s="60" t="s">
        <v>313</v>
      </c>
      <c r="D31" s="55"/>
      <c r="E31" s="55">
        <v>32</v>
      </c>
      <c r="F31" s="55" t="s">
        <v>164</v>
      </c>
      <c r="G31" s="60" t="s">
        <v>163</v>
      </c>
      <c r="H31" s="376" t="s">
        <v>1082</v>
      </c>
      <c r="I31" s="46">
        <v>83426573</v>
      </c>
      <c r="J31" s="484" t="s">
        <v>154</v>
      </c>
      <c r="K31" s="62">
        <v>2.2</v>
      </c>
      <c r="L31" s="205">
        <f>12362-6572</f>
        <v>5790</v>
      </c>
      <c r="M31" s="201"/>
      <c r="N31" s="201"/>
      <c r="O31" s="202">
        <f aca="true" t="shared" si="1" ref="O31:O38">L31</f>
        <v>5790</v>
      </c>
      <c r="P31" s="2"/>
    </row>
    <row r="32" spans="1:16" ht="29.25">
      <c r="A32" s="275" t="s">
        <v>11</v>
      </c>
      <c r="B32" s="60" t="s">
        <v>12</v>
      </c>
      <c r="C32" s="60" t="s">
        <v>313</v>
      </c>
      <c r="D32" s="55"/>
      <c r="E32" s="60" t="s">
        <v>314</v>
      </c>
      <c r="F32" s="55" t="s">
        <v>164</v>
      </c>
      <c r="G32" s="60" t="s">
        <v>163</v>
      </c>
      <c r="H32" s="376" t="s">
        <v>1083</v>
      </c>
      <c r="I32" s="46">
        <v>1399809</v>
      </c>
      <c r="J32" s="484" t="s">
        <v>154</v>
      </c>
      <c r="K32" s="62">
        <v>1.8</v>
      </c>
      <c r="L32" s="205">
        <f>32161-21396</f>
        <v>10765</v>
      </c>
      <c r="M32" s="201"/>
      <c r="N32" s="201"/>
      <c r="O32" s="202">
        <f t="shared" si="1"/>
        <v>10765</v>
      </c>
      <c r="P32" s="2"/>
    </row>
    <row r="33" spans="1:16" ht="29.25">
      <c r="A33" s="275" t="s">
        <v>11</v>
      </c>
      <c r="B33" s="60" t="s">
        <v>12</v>
      </c>
      <c r="C33" s="60" t="s">
        <v>315</v>
      </c>
      <c r="D33" s="60"/>
      <c r="E33" s="55"/>
      <c r="F33" s="55" t="s">
        <v>164</v>
      </c>
      <c r="G33" s="60" t="s">
        <v>163</v>
      </c>
      <c r="H33" s="376" t="s">
        <v>1084</v>
      </c>
      <c r="I33" s="46">
        <v>1481793</v>
      </c>
      <c r="J33" s="484" t="s">
        <v>154</v>
      </c>
      <c r="K33" s="62">
        <v>2.2</v>
      </c>
      <c r="L33" s="205">
        <f>8292-4703</f>
        <v>3589</v>
      </c>
      <c r="M33" s="201"/>
      <c r="N33" s="201"/>
      <c r="O33" s="202">
        <f t="shared" si="1"/>
        <v>3589</v>
      </c>
      <c r="P33" s="2"/>
    </row>
    <row r="34" spans="1:16" ht="29.25">
      <c r="A34" s="275" t="s">
        <v>11</v>
      </c>
      <c r="B34" s="60" t="s">
        <v>12</v>
      </c>
      <c r="C34" s="60" t="s">
        <v>316</v>
      </c>
      <c r="D34" s="60" t="s">
        <v>317</v>
      </c>
      <c r="E34" s="55"/>
      <c r="F34" s="55" t="s">
        <v>164</v>
      </c>
      <c r="G34" s="60" t="s">
        <v>163</v>
      </c>
      <c r="H34" s="376" t="s">
        <v>1085</v>
      </c>
      <c r="I34" s="46">
        <v>83425910</v>
      </c>
      <c r="J34" s="484" t="s">
        <v>154</v>
      </c>
      <c r="K34" s="62">
        <v>2.2</v>
      </c>
      <c r="L34" s="205">
        <f>11862-8336</f>
        <v>3526</v>
      </c>
      <c r="M34" s="201"/>
      <c r="N34" s="201"/>
      <c r="O34" s="202">
        <f t="shared" si="1"/>
        <v>3526</v>
      </c>
      <c r="P34" s="2"/>
    </row>
    <row r="35" spans="1:16" ht="29.25">
      <c r="A35" s="275" t="s">
        <v>11</v>
      </c>
      <c r="B35" s="60" t="s">
        <v>12</v>
      </c>
      <c r="C35" s="60" t="s">
        <v>316</v>
      </c>
      <c r="D35" s="60" t="s">
        <v>318</v>
      </c>
      <c r="E35" s="55"/>
      <c r="F35" s="55" t="s">
        <v>164</v>
      </c>
      <c r="G35" s="60" t="s">
        <v>163</v>
      </c>
      <c r="H35" s="376" t="s">
        <v>1086</v>
      </c>
      <c r="I35" s="46">
        <v>83426424</v>
      </c>
      <c r="J35" s="484" t="s">
        <v>154</v>
      </c>
      <c r="K35" s="62">
        <v>1</v>
      </c>
      <c r="L35" s="205">
        <f>9985-5533</f>
        <v>4452</v>
      </c>
      <c r="M35" s="201"/>
      <c r="N35" s="201"/>
      <c r="O35" s="202">
        <f t="shared" si="1"/>
        <v>4452</v>
      </c>
      <c r="P35" s="2"/>
    </row>
    <row r="36" spans="1:16" ht="29.25">
      <c r="A36" s="275" t="s">
        <v>11</v>
      </c>
      <c r="B36" s="60" t="s">
        <v>12</v>
      </c>
      <c r="C36" s="60" t="s">
        <v>316</v>
      </c>
      <c r="D36" s="55"/>
      <c r="E36" s="55"/>
      <c r="F36" s="55" t="s">
        <v>164</v>
      </c>
      <c r="G36" s="60" t="s">
        <v>163</v>
      </c>
      <c r="H36" s="376" t="s">
        <v>1087</v>
      </c>
      <c r="I36" s="46">
        <v>83426416</v>
      </c>
      <c r="J36" s="484" t="s">
        <v>154</v>
      </c>
      <c r="K36" s="62">
        <v>2.5</v>
      </c>
      <c r="L36" s="205">
        <f>9885-6147</f>
        <v>3738</v>
      </c>
      <c r="M36" s="201"/>
      <c r="N36" s="201"/>
      <c r="O36" s="202">
        <f t="shared" si="1"/>
        <v>3738</v>
      </c>
      <c r="P36" s="2"/>
    </row>
    <row r="37" spans="1:16" ht="29.25">
      <c r="A37" s="275" t="s">
        <v>11</v>
      </c>
      <c r="B37" s="60" t="s">
        <v>12</v>
      </c>
      <c r="C37" s="60" t="s">
        <v>316</v>
      </c>
      <c r="D37" s="55"/>
      <c r="E37" s="60" t="s">
        <v>319</v>
      </c>
      <c r="F37" s="55" t="s">
        <v>164</v>
      </c>
      <c r="G37" s="60" t="s">
        <v>163</v>
      </c>
      <c r="H37" s="376" t="s">
        <v>1088</v>
      </c>
      <c r="I37" s="46">
        <v>1398938</v>
      </c>
      <c r="J37" s="484" t="s">
        <v>154</v>
      </c>
      <c r="K37" s="62">
        <v>2.2</v>
      </c>
      <c r="L37" s="205">
        <f>15894-13609</f>
        <v>2285</v>
      </c>
      <c r="M37" s="201"/>
      <c r="N37" s="201"/>
      <c r="O37" s="202">
        <f t="shared" si="1"/>
        <v>2285</v>
      </c>
      <c r="P37" s="2"/>
    </row>
    <row r="38" spans="1:16" ht="29.25">
      <c r="A38" s="275" t="s">
        <v>11</v>
      </c>
      <c r="B38" s="60" t="s">
        <v>12</v>
      </c>
      <c r="C38" s="60" t="s">
        <v>316</v>
      </c>
      <c r="D38" s="60" t="s">
        <v>320</v>
      </c>
      <c r="E38" s="55"/>
      <c r="F38" s="55" t="s">
        <v>164</v>
      </c>
      <c r="G38" s="60" t="s">
        <v>163</v>
      </c>
      <c r="H38" s="376" t="s">
        <v>1089</v>
      </c>
      <c r="I38" s="46">
        <v>83426574</v>
      </c>
      <c r="J38" s="484" t="s">
        <v>154</v>
      </c>
      <c r="K38" s="62">
        <v>2.2</v>
      </c>
      <c r="L38" s="205">
        <f>2526-1081</f>
        <v>1445</v>
      </c>
      <c r="M38" s="201"/>
      <c r="N38" s="201"/>
      <c r="O38" s="202">
        <f t="shared" si="1"/>
        <v>1445</v>
      </c>
      <c r="P38" s="2"/>
    </row>
    <row r="39" spans="1:16" ht="29.25">
      <c r="A39" s="275" t="s">
        <v>11</v>
      </c>
      <c r="B39" s="60" t="s">
        <v>12</v>
      </c>
      <c r="C39" s="60" t="s">
        <v>316</v>
      </c>
      <c r="D39" s="55"/>
      <c r="E39" s="55"/>
      <c r="F39" s="55" t="s">
        <v>164</v>
      </c>
      <c r="G39" s="60" t="s">
        <v>163</v>
      </c>
      <c r="H39" s="376" t="s">
        <v>1090</v>
      </c>
      <c r="I39" s="46">
        <v>1501024</v>
      </c>
      <c r="J39" s="484" t="s">
        <v>154</v>
      </c>
      <c r="K39" s="62">
        <v>6.6</v>
      </c>
      <c r="L39" s="205">
        <f>22696-10000</f>
        <v>12696</v>
      </c>
      <c r="M39" s="201"/>
      <c r="N39" s="201"/>
      <c r="O39" s="202">
        <f>L39</f>
        <v>12696</v>
      </c>
      <c r="P39" s="2"/>
    </row>
    <row r="40" spans="1:16" ht="29.25">
      <c r="A40" s="275" t="s">
        <v>11</v>
      </c>
      <c r="B40" s="60" t="s">
        <v>12</v>
      </c>
      <c r="C40" s="60" t="s">
        <v>316</v>
      </c>
      <c r="D40" s="60" t="s">
        <v>58</v>
      </c>
      <c r="E40" s="55"/>
      <c r="F40" s="55" t="s">
        <v>164</v>
      </c>
      <c r="G40" s="60" t="s">
        <v>163</v>
      </c>
      <c r="H40" s="376" t="s">
        <v>1091</v>
      </c>
      <c r="I40" s="46">
        <v>83246705</v>
      </c>
      <c r="J40" s="484" t="s">
        <v>154</v>
      </c>
      <c r="K40" s="62">
        <v>2.2</v>
      </c>
      <c r="L40" s="205">
        <f>3845-1746</f>
        <v>2099</v>
      </c>
      <c r="M40" s="201"/>
      <c r="N40" s="201"/>
      <c r="O40" s="202">
        <f>L40</f>
        <v>2099</v>
      </c>
      <c r="P40" s="2"/>
    </row>
    <row r="41" spans="1:16" ht="29.25">
      <c r="A41" s="275" t="s">
        <v>11</v>
      </c>
      <c r="B41" s="60" t="s">
        <v>12</v>
      </c>
      <c r="C41" s="60" t="s">
        <v>321</v>
      </c>
      <c r="D41" s="60" t="s">
        <v>322</v>
      </c>
      <c r="E41" s="55">
        <v>5</v>
      </c>
      <c r="F41" s="55" t="s">
        <v>164</v>
      </c>
      <c r="G41" s="60" t="s">
        <v>163</v>
      </c>
      <c r="H41" s="376" t="s">
        <v>1092</v>
      </c>
      <c r="I41" s="46">
        <v>83426580</v>
      </c>
      <c r="J41" s="484" t="s">
        <v>154</v>
      </c>
      <c r="K41" s="62">
        <v>3.1</v>
      </c>
      <c r="L41" s="205">
        <f>38151-20958</f>
        <v>17193</v>
      </c>
      <c r="M41" s="201"/>
      <c r="N41" s="201"/>
      <c r="O41" s="202">
        <f aca="true" t="shared" si="2" ref="O41:O47">L41</f>
        <v>17193</v>
      </c>
      <c r="P41" s="2"/>
    </row>
    <row r="42" spans="1:16" ht="29.25">
      <c r="A42" s="275" t="s">
        <v>11</v>
      </c>
      <c r="B42" s="60" t="s">
        <v>12</v>
      </c>
      <c r="C42" s="60" t="s">
        <v>321</v>
      </c>
      <c r="D42" s="55"/>
      <c r="E42" s="55">
        <v>12</v>
      </c>
      <c r="F42" s="55" t="s">
        <v>164</v>
      </c>
      <c r="G42" s="60" t="s">
        <v>163</v>
      </c>
      <c r="H42" s="376" t="s">
        <v>1727</v>
      </c>
      <c r="I42" s="46">
        <v>1387583</v>
      </c>
      <c r="J42" s="484" t="s">
        <v>154</v>
      </c>
      <c r="K42" s="62">
        <v>2.2</v>
      </c>
      <c r="L42" s="205">
        <f>10115-6785</f>
        <v>3330</v>
      </c>
      <c r="M42" s="201"/>
      <c r="N42" s="201"/>
      <c r="O42" s="202">
        <f t="shared" si="2"/>
        <v>3330</v>
      </c>
      <c r="P42" s="2"/>
    </row>
    <row r="43" spans="1:16" ht="29.25">
      <c r="A43" s="275" t="s">
        <v>11</v>
      </c>
      <c r="B43" s="60" t="s">
        <v>12</v>
      </c>
      <c r="C43" s="60" t="s">
        <v>323</v>
      </c>
      <c r="D43" s="55"/>
      <c r="E43" s="55"/>
      <c r="F43" s="55" t="s">
        <v>164</v>
      </c>
      <c r="G43" s="60" t="s">
        <v>163</v>
      </c>
      <c r="H43" s="376" t="s">
        <v>1093</v>
      </c>
      <c r="I43" s="46">
        <v>1387593</v>
      </c>
      <c r="J43" s="484" t="s">
        <v>154</v>
      </c>
      <c r="K43" s="62">
        <v>0.6</v>
      </c>
      <c r="L43" s="205">
        <f>7110-4440</f>
        <v>2670</v>
      </c>
      <c r="M43" s="201"/>
      <c r="N43" s="201"/>
      <c r="O43" s="202">
        <f t="shared" si="2"/>
        <v>2670</v>
      </c>
      <c r="P43" s="2"/>
    </row>
    <row r="44" spans="1:16" ht="29.25">
      <c r="A44" s="275" t="s">
        <v>11</v>
      </c>
      <c r="B44" s="60" t="s">
        <v>12</v>
      </c>
      <c r="C44" s="60" t="s">
        <v>323</v>
      </c>
      <c r="D44" s="55"/>
      <c r="E44" s="55">
        <v>8</v>
      </c>
      <c r="F44" s="55" t="s">
        <v>164</v>
      </c>
      <c r="G44" s="60" t="s">
        <v>163</v>
      </c>
      <c r="H44" s="376" t="s">
        <v>1094</v>
      </c>
      <c r="I44" s="46">
        <v>1403577</v>
      </c>
      <c r="J44" s="484" t="s">
        <v>154</v>
      </c>
      <c r="K44" s="62">
        <v>2.2</v>
      </c>
      <c r="L44" s="205">
        <f>16215-11822</f>
        <v>4393</v>
      </c>
      <c r="M44" s="201"/>
      <c r="N44" s="201"/>
      <c r="O44" s="202">
        <f t="shared" si="2"/>
        <v>4393</v>
      </c>
      <c r="P44" s="2"/>
    </row>
    <row r="45" spans="1:16" ht="29.25">
      <c r="A45" s="275" t="s">
        <v>11</v>
      </c>
      <c r="B45" s="60" t="s">
        <v>12</v>
      </c>
      <c r="C45" s="60" t="s">
        <v>324</v>
      </c>
      <c r="D45" s="55"/>
      <c r="E45" s="55">
        <v>2</v>
      </c>
      <c r="F45" s="55" t="s">
        <v>164</v>
      </c>
      <c r="G45" s="60" t="s">
        <v>163</v>
      </c>
      <c r="H45" s="376" t="s">
        <v>1095</v>
      </c>
      <c r="I45" s="46">
        <v>1401633</v>
      </c>
      <c r="J45" s="484" t="s">
        <v>154</v>
      </c>
      <c r="K45" s="62">
        <v>2.2</v>
      </c>
      <c r="L45" s="205">
        <f>14808-9183</f>
        <v>5625</v>
      </c>
      <c r="M45" s="201"/>
      <c r="N45" s="201"/>
      <c r="O45" s="202">
        <f t="shared" si="2"/>
        <v>5625</v>
      </c>
      <c r="P45" s="2"/>
    </row>
    <row r="46" spans="1:16" ht="29.25">
      <c r="A46" s="275" t="s">
        <v>11</v>
      </c>
      <c r="B46" s="60" t="s">
        <v>12</v>
      </c>
      <c r="C46" s="60" t="s">
        <v>321</v>
      </c>
      <c r="D46" s="55"/>
      <c r="E46" s="55">
        <v>4</v>
      </c>
      <c r="F46" s="55" t="s">
        <v>164</v>
      </c>
      <c r="G46" s="60" t="s">
        <v>163</v>
      </c>
      <c r="H46" s="376" t="s">
        <v>1096</v>
      </c>
      <c r="I46" s="46">
        <v>83426412</v>
      </c>
      <c r="J46" s="484" t="s">
        <v>154</v>
      </c>
      <c r="K46" s="62">
        <v>0.5</v>
      </c>
      <c r="L46" s="205">
        <f>4375-2135</f>
        <v>2240</v>
      </c>
      <c r="M46" s="201"/>
      <c r="N46" s="201"/>
      <c r="O46" s="202">
        <f t="shared" si="2"/>
        <v>2240</v>
      </c>
      <c r="P46" s="2"/>
    </row>
    <row r="47" spans="1:16" ht="29.25">
      <c r="A47" s="275" t="s">
        <v>11</v>
      </c>
      <c r="B47" s="60" t="s">
        <v>12</v>
      </c>
      <c r="C47" s="60" t="s">
        <v>325</v>
      </c>
      <c r="D47" s="55"/>
      <c r="E47" s="55">
        <v>13</v>
      </c>
      <c r="F47" s="55" t="s">
        <v>164</v>
      </c>
      <c r="G47" s="60" t="s">
        <v>163</v>
      </c>
      <c r="H47" s="376" t="s">
        <v>1107</v>
      </c>
      <c r="I47" s="46">
        <v>383425900</v>
      </c>
      <c r="J47" s="484" t="s">
        <v>154</v>
      </c>
      <c r="K47" s="62">
        <v>2.2</v>
      </c>
      <c r="L47" s="205">
        <f>15529-6743</f>
        <v>8786</v>
      </c>
      <c r="M47" s="201"/>
      <c r="N47" s="201"/>
      <c r="O47" s="202">
        <f t="shared" si="2"/>
        <v>8786</v>
      </c>
      <c r="P47" s="2"/>
    </row>
    <row r="48" spans="1:16" ht="29.25">
      <c r="A48" s="275" t="s">
        <v>11</v>
      </c>
      <c r="B48" s="60" t="s">
        <v>12</v>
      </c>
      <c r="C48" s="60" t="s">
        <v>324</v>
      </c>
      <c r="D48" s="55"/>
      <c r="E48" s="55">
        <v>34</v>
      </c>
      <c r="F48" s="55" t="s">
        <v>164</v>
      </c>
      <c r="G48" s="60" t="s">
        <v>163</v>
      </c>
      <c r="H48" s="376" t="s">
        <v>1108</v>
      </c>
      <c r="I48" s="46">
        <v>90695884</v>
      </c>
      <c r="J48" s="484" t="s">
        <v>154</v>
      </c>
      <c r="K48" s="62">
        <v>6.6</v>
      </c>
      <c r="L48" s="205">
        <f>14017-4433</f>
        <v>9584</v>
      </c>
      <c r="M48" s="201"/>
      <c r="N48" s="201"/>
      <c r="O48" s="202">
        <f aca="true" t="shared" si="3" ref="O48:O54">L48</f>
        <v>9584</v>
      </c>
      <c r="P48" s="2"/>
    </row>
    <row r="49" spans="1:16" ht="29.25">
      <c r="A49" s="275" t="s">
        <v>11</v>
      </c>
      <c r="B49" s="60" t="s">
        <v>12</v>
      </c>
      <c r="C49" s="60" t="s">
        <v>326</v>
      </c>
      <c r="D49" s="55"/>
      <c r="E49" s="55"/>
      <c r="F49" s="55" t="s">
        <v>164</v>
      </c>
      <c r="G49" s="60" t="s">
        <v>163</v>
      </c>
      <c r="H49" s="376" t="s">
        <v>1111</v>
      </c>
      <c r="I49" s="46">
        <v>1399804</v>
      </c>
      <c r="J49" s="484" t="s">
        <v>154</v>
      </c>
      <c r="K49" s="62">
        <v>2.2</v>
      </c>
      <c r="L49" s="205">
        <f>5101-3575</f>
        <v>1526</v>
      </c>
      <c r="M49" s="201"/>
      <c r="N49" s="201"/>
      <c r="O49" s="202">
        <f t="shared" si="3"/>
        <v>1526</v>
      </c>
      <c r="P49" s="2"/>
    </row>
    <row r="50" spans="1:16" ht="29.25">
      <c r="A50" s="275" t="s">
        <v>11</v>
      </c>
      <c r="B50" s="60" t="s">
        <v>12</v>
      </c>
      <c r="C50" s="60" t="s">
        <v>326</v>
      </c>
      <c r="D50" s="55"/>
      <c r="E50" s="55">
        <v>34</v>
      </c>
      <c r="F50" s="55" t="s">
        <v>164</v>
      </c>
      <c r="G50" s="60" t="s">
        <v>163</v>
      </c>
      <c r="H50" s="376" t="s">
        <v>1112</v>
      </c>
      <c r="I50" s="46">
        <v>1387575</v>
      </c>
      <c r="J50" s="484" t="s">
        <v>154</v>
      </c>
      <c r="K50" s="62">
        <v>2.2</v>
      </c>
      <c r="L50" s="205">
        <f>9066-7425</f>
        <v>1641</v>
      </c>
      <c r="M50" s="201"/>
      <c r="N50" s="201"/>
      <c r="O50" s="202">
        <f t="shared" si="3"/>
        <v>1641</v>
      </c>
      <c r="P50" s="2"/>
    </row>
    <row r="51" spans="1:16" ht="29.25">
      <c r="A51" s="275" t="s">
        <v>11</v>
      </c>
      <c r="B51" s="60" t="s">
        <v>12</v>
      </c>
      <c r="C51" s="60" t="s">
        <v>327</v>
      </c>
      <c r="D51" s="55"/>
      <c r="E51" s="55"/>
      <c r="F51" s="55" t="s">
        <v>164</v>
      </c>
      <c r="G51" s="60" t="s">
        <v>163</v>
      </c>
      <c r="H51" s="376" t="s">
        <v>1113</v>
      </c>
      <c r="I51" s="46">
        <v>1399808</v>
      </c>
      <c r="J51" s="484" t="s">
        <v>154</v>
      </c>
      <c r="K51" s="62">
        <v>1</v>
      </c>
      <c r="L51" s="205">
        <f>7905-3605</f>
        <v>4300</v>
      </c>
      <c r="M51" s="201"/>
      <c r="N51" s="201"/>
      <c r="O51" s="202">
        <f t="shared" si="3"/>
        <v>4300</v>
      </c>
      <c r="P51" s="2"/>
    </row>
    <row r="52" spans="1:16" ht="29.25">
      <c r="A52" s="275" t="s">
        <v>11</v>
      </c>
      <c r="B52" s="60" t="s">
        <v>12</v>
      </c>
      <c r="C52" s="60" t="s">
        <v>328</v>
      </c>
      <c r="D52" s="55"/>
      <c r="E52" s="55">
        <v>7</v>
      </c>
      <c r="F52" s="55" t="s">
        <v>164</v>
      </c>
      <c r="G52" s="60" t="s">
        <v>163</v>
      </c>
      <c r="H52" s="376" t="s">
        <v>1114</v>
      </c>
      <c r="I52" s="46">
        <v>1399797</v>
      </c>
      <c r="J52" s="484" t="s">
        <v>154</v>
      </c>
      <c r="K52" s="62">
        <v>2.2</v>
      </c>
      <c r="L52" s="205">
        <f>15215-8176</f>
        <v>7039</v>
      </c>
      <c r="M52" s="201"/>
      <c r="N52" s="201"/>
      <c r="O52" s="202">
        <f t="shared" si="3"/>
        <v>7039</v>
      </c>
      <c r="P52" s="2"/>
    </row>
    <row r="53" spans="1:16" ht="29.25">
      <c r="A53" s="275" t="s">
        <v>11</v>
      </c>
      <c r="B53" s="60" t="s">
        <v>12</v>
      </c>
      <c r="C53" s="60" t="s">
        <v>329</v>
      </c>
      <c r="D53" s="55"/>
      <c r="E53" s="55"/>
      <c r="F53" s="55" t="s">
        <v>164</v>
      </c>
      <c r="G53" s="60" t="s">
        <v>163</v>
      </c>
      <c r="H53" s="376" t="s">
        <v>1115</v>
      </c>
      <c r="I53" s="46">
        <v>1399805</v>
      </c>
      <c r="J53" s="484" t="s">
        <v>154</v>
      </c>
      <c r="K53" s="62">
        <v>1.1</v>
      </c>
      <c r="L53" s="205">
        <f>17799-9847</f>
        <v>7952</v>
      </c>
      <c r="M53" s="201"/>
      <c r="N53" s="201"/>
      <c r="O53" s="202">
        <f t="shared" si="3"/>
        <v>7952</v>
      </c>
      <c r="P53" s="2"/>
    </row>
    <row r="54" spans="1:16" ht="29.25">
      <c r="A54" s="275" t="s">
        <v>11</v>
      </c>
      <c r="B54" s="60" t="s">
        <v>12</v>
      </c>
      <c r="C54" s="60" t="s">
        <v>330</v>
      </c>
      <c r="D54" s="55"/>
      <c r="E54" s="55">
        <v>55</v>
      </c>
      <c r="F54" s="55" t="s">
        <v>164</v>
      </c>
      <c r="G54" s="60" t="s">
        <v>163</v>
      </c>
      <c r="H54" s="376" t="s">
        <v>1117</v>
      </c>
      <c r="I54" s="46">
        <v>1394967</v>
      </c>
      <c r="J54" s="484" t="s">
        <v>154</v>
      </c>
      <c r="K54" s="62">
        <v>2.5</v>
      </c>
      <c r="L54" s="205">
        <f>25061-11507</f>
        <v>13554</v>
      </c>
      <c r="M54" s="201"/>
      <c r="N54" s="201"/>
      <c r="O54" s="202">
        <f t="shared" si="3"/>
        <v>13554</v>
      </c>
      <c r="P54" s="2"/>
    </row>
    <row r="55" spans="1:16" ht="29.25">
      <c r="A55" s="275" t="s">
        <v>11</v>
      </c>
      <c r="B55" s="60" t="s">
        <v>12</v>
      </c>
      <c r="C55" s="60" t="s">
        <v>331</v>
      </c>
      <c r="D55" s="55"/>
      <c r="E55" s="55">
        <v>14</v>
      </c>
      <c r="F55" s="55" t="s">
        <v>164</v>
      </c>
      <c r="G55" s="60" t="s">
        <v>163</v>
      </c>
      <c r="H55" s="376" t="s">
        <v>1118</v>
      </c>
      <c r="I55" s="46">
        <v>1404287</v>
      </c>
      <c r="J55" s="484" t="s">
        <v>154</v>
      </c>
      <c r="K55" s="62">
        <v>2.2</v>
      </c>
      <c r="L55" s="205">
        <f>13489-6487</f>
        <v>7002</v>
      </c>
      <c r="M55" s="201"/>
      <c r="N55" s="201"/>
      <c r="O55" s="202">
        <f aca="true" t="shared" si="4" ref="O55:O86">L55</f>
        <v>7002</v>
      </c>
      <c r="P55" s="2"/>
    </row>
    <row r="56" spans="1:16" ht="29.25">
      <c r="A56" s="275" t="s">
        <v>11</v>
      </c>
      <c r="B56" s="60" t="s">
        <v>12</v>
      </c>
      <c r="C56" s="60" t="s">
        <v>331</v>
      </c>
      <c r="D56" s="55"/>
      <c r="E56" s="55">
        <v>2</v>
      </c>
      <c r="F56" s="55" t="s">
        <v>164</v>
      </c>
      <c r="G56" s="60" t="s">
        <v>163</v>
      </c>
      <c r="H56" s="376" t="s">
        <v>1119</v>
      </c>
      <c r="I56" s="46">
        <v>90695801</v>
      </c>
      <c r="J56" s="484" t="s">
        <v>154</v>
      </c>
      <c r="K56" s="62">
        <v>6.6</v>
      </c>
      <c r="L56" s="205">
        <f>23563-7242</f>
        <v>16321</v>
      </c>
      <c r="M56" s="201"/>
      <c r="N56" s="201"/>
      <c r="O56" s="202">
        <f t="shared" si="4"/>
        <v>16321</v>
      </c>
      <c r="P56" s="2"/>
    </row>
    <row r="57" spans="1:16" ht="29.25">
      <c r="A57" s="275" t="s">
        <v>11</v>
      </c>
      <c r="B57" s="60" t="s">
        <v>12</v>
      </c>
      <c r="C57" s="60" t="s">
        <v>331</v>
      </c>
      <c r="D57" s="55"/>
      <c r="E57" s="55"/>
      <c r="F57" s="55" t="s">
        <v>164</v>
      </c>
      <c r="G57" s="60" t="s">
        <v>163</v>
      </c>
      <c r="H57" s="376" t="s">
        <v>1120</v>
      </c>
      <c r="I57" s="46">
        <v>90695793</v>
      </c>
      <c r="J57" s="484" t="s">
        <v>154</v>
      </c>
      <c r="K57" s="62">
        <v>6.6</v>
      </c>
      <c r="L57" s="205">
        <f>10899-3690</f>
        <v>7209</v>
      </c>
      <c r="M57" s="201"/>
      <c r="N57" s="201"/>
      <c r="O57" s="202">
        <f t="shared" si="4"/>
        <v>7209</v>
      </c>
      <c r="P57" s="2"/>
    </row>
    <row r="58" spans="1:16" ht="29.25">
      <c r="A58" s="275" t="s">
        <v>11</v>
      </c>
      <c r="B58" s="60" t="s">
        <v>12</v>
      </c>
      <c r="C58" s="60" t="s">
        <v>331</v>
      </c>
      <c r="D58" s="60" t="s">
        <v>81</v>
      </c>
      <c r="E58" s="55"/>
      <c r="F58" s="55" t="s">
        <v>164</v>
      </c>
      <c r="G58" s="60" t="s">
        <v>163</v>
      </c>
      <c r="H58" s="376" t="s">
        <v>1121</v>
      </c>
      <c r="I58" s="46">
        <v>1404280</v>
      </c>
      <c r="J58" s="484" t="s">
        <v>154</v>
      </c>
      <c r="K58" s="62">
        <v>1</v>
      </c>
      <c r="L58" s="205">
        <f>9156-5627</f>
        <v>3529</v>
      </c>
      <c r="M58" s="201"/>
      <c r="N58" s="201"/>
      <c r="O58" s="202">
        <f t="shared" si="4"/>
        <v>3529</v>
      </c>
      <c r="P58" s="2"/>
    </row>
    <row r="59" spans="1:16" ht="29.25">
      <c r="A59" s="275" t="s">
        <v>11</v>
      </c>
      <c r="B59" s="60" t="s">
        <v>12</v>
      </c>
      <c r="C59" s="60" t="s">
        <v>330</v>
      </c>
      <c r="D59" s="55"/>
      <c r="E59" s="55"/>
      <c r="F59" s="55" t="s">
        <v>164</v>
      </c>
      <c r="G59" s="60" t="s">
        <v>163</v>
      </c>
      <c r="H59" s="376" t="s">
        <v>1122</v>
      </c>
      <c r="I59" s="46">
        <v>1399811</v>
      </c>
      <c r="J59" s="484" t="s">
        <v>154</v>
      </c>
      <c r="K59" s="62">
        <v>2.2</v>
      </c>
      <c r="L59" s="205">
        <f>12114-7436</f>
        <v>4678</v>
      </c>
      <c r="M59" s="201"/>
      <c r="N59" s="201"/>
      <c r="O59" s="202">
        <f t="shared" si="4"/>
        <v>4678</v>
      </c>
      <c r="P59" s="2"/>
    </row>
    <row r="60" spans="1:16" ht="29.25">
      <c r="A60" s="275" t="s">
        <v>11</v>
      </c>
      <c r="B60" s="60" t="s">
        <v>12</v>
      </c>
      <c r="C60" s="60" t="s">
        <v>330</v>
      </c>
      <c r="D60" s="55"/>
      <c r="E60" s="55">
        <v>26</v>
      </c>
      <c r="F60" s="55" t="s">
        <v>164</v>
      </c>
      <c r="G60" s="60" t="s">
        <v>163</v>
      </c>
      <c r="H60" s="376" t="s">
        <v>1123</v>
      </c>
      <c r="I60" s="46">
        <v>83425873</v>
      </c>
      <c r="J60" s="484" t="s">
        <v>154</v>
      </c>
      <c r="K60" s="62">
        <v>2.2</v>
      </c>
      <c r="L60" s="205">
        <f>13301-7333</f>
        <v>5968</v>
      </c>
      <c r="M60" s="201"/>
      <c r="N60" s="201"/>
      <c r="O60" s="202">
        <f t="shared" si="4"/>
        <v>5968</v>
      </c>
      <c r="P60" s="2"/>
    </row>
    <row r="61" spans="1:16" ht="29.25">
      <c r="A61" s="275" t="s">
        <v>11</v>
      </c>
      <c r="B61" s="60" t="s">
        <v>12</v>
      </c>
      <c r="C61" s="60" t="s">
        <v>332</v>
      </c>
      <c r="D61" s="55"/>
      <c r="E61" s="55"/>
      <c r="F61" s="55" t="s">
        <v>164</v>
      </c>
      <c r="G61" s="60" t="s">
        <v>163</v>
      </c>
      <c r="H61" s="376" t="s">
        <v>1124</v>
      </c>
      <c r="I61" s="46">
        <v>1393845</v>
      </c>
      <c r="J61" s="484" t="s">
        <v>154</v>
      </c>
      <c r="K61" s="62">
        <v>0.6</v>
      </c>
      <c r="L61" s="205">
        <f>9157-5018</f>
        <v>4139</v>
      </c>
      <c r="M61" s="201"/>
      <c r="N61" s="201"/>
      <c r="O61" s="202">
        <f t="shared" si="4"/>
        <v>4139</v>
      </c>
      <c r="P61" s="2"/>
    </row>
    <row r="62" spans="1:16" ht="29.25">
      <c r="A62" s="275" t="s">
        <v>11</v>
      </c>
      <c r="B62" s="60" t="s">
        <v>12</v>
      </c>
      <c r="C62" s="60" t="s">
        <v>332</v>
      </c>
      <c r="D62" s="55"/>
      <c r="E62" s="55"/>
      <c r="F62" s="55" t="s">
        <v>164</v>
      </c>
      <c r="G62" s="60" t="s">
        <v>163</v>
      </c>
      <c r="H62" s="376" t="s">
        <v>1125</v>
      </c>
      <c r="I62" s="46">
        <v>1399800</v>
      </c>
      <c r="J62" s="484" t="s">
        <v>154</v>
      </c>
      <c r="K62" s="62">
        <v>2.2</v>
      </c>
      <c r="L62" s="205">
        <f>12488-8420</f>
        <v>4068</v>
      </c>
      <c r="M62" s="201"/>
      <c r="N62" s="201"/>
      <c r="O62" s="202">
        <f t="shared" si="4"/>
        <v>4068</v>
      </c>
      <c r="P62" s="2"/>
    </row>
    <row r="63" spans="1:16" ht="29.25">
      <c r="A63" s="275" t="s">
        <v>11</v>
      </c>
      <c r="B63" s="60" t="s">
        <v>12</v>
      </c>
      <c r="C63" s="60" t="s">
        <v>333</v>
      </c>
      <c r="D63" s="60" t="s">
        <v>139</v>
      </c>
      <c r="E63" s="55"/>
      <c r="F63" s="55" t="s">
        <v>164</v>
      </c>
      <c r="G63" s="60" t="s">
        <v>163</v>
      </c>
      <c r="H63" s="376" t="s">
        <v>1127</v>
      </c>
      <c r="I63" s="46">
        <v>83425926</v>
      </c>
      <c r="J63" s="484" t="s">
        <v>154</v>
      </c>
      <c r="K63" s="62">
        <v>0.6</v>
      </c>
      <c r="L63" s="205">
        <f>21299-12513</f>
        <v>8786</v>
      </c>
      <c r="M63" s="201"/>
      <c r="N63" s="201"/>
      <c r="O63" s="202">
        <f t="shared" si="4"/>
        <v>8786</v>
      </c>
      <c r="P63" s="2"/>
    </row>
    <row r="64" spans="1:16" ht="29.25">
      <c r="A64" s="275" t="s">
        <v>11</v>
      </c>
      <c r="B64" s="60" t="s">
        <v>12</v>
      </c>
      <c r="C64" s="60" t="s">
        <v>333</v>
      </c>
      <c r="D64" s="60" t="s">
        <v>169</v>
      </c>
      <c r="E64" s="55"/>
      <c r="F64" s="55" t="s">
        <v>164</v>
      </c>
      <c r="G64" s="60" t="s">
        <v>163</v>
      </c>
      <c r="H64" s="376" t="s">
        <v>1129</v>
      </c>
      <c r="I64" s="46">
        <v>1404277</v>
      </c>
      <c r="J64" s="484" t="s">
        <v>154</v>
      </c>
      <c r="K64" s="62">
        <v>2.5</v>
      </c>
      <c r="L64" s="205">
        <f>37342-24099</f>
        <v>13243</v>
      </c>
      <c r="M64" s="201"/>
      <c r="N64" s="201"/>
      <c r="O64" s="202">
        <f t="shared" si="4"/>
        <v>13243</v>
      </c>
      <c r="P64" s="2"/>
    </row>
    <row r="65" spans="1:16" ht="29.25">
      <c r="A65" s="275" t="s">
        <v>11</v>
      </c>
      <c r="B65" s="60" t="s">
        <v>12</v>
      </c>
      <c r="C65" s="60" t="s">
        <v>333</v>
      </c>
      <c r="D65" s="55"/>
      <c r="E65" s="55"/>
      <c r="F65" s="55" t="s">
        <v>164</v>
      </c>
      <c r="G65" s="60" t="s">
        <v>163</v>
      </c>
      <c r="H65" s="376" t="s">
        <v>1130</v>
      </c>
      <c r="I65" s="46">
        <v>1399795</v>
      </c>
      <c r="J65" s="484" t="s">
        <v>154</v>
      </c>
      <c r="K65" s="62">
        <v>3.8</v>
      </c>
      <c r="L65" s="205">
        <f>29351-15081</f>
        <v>14270</v>
      </c>
      <c r="M65" s="201"/>
      <c r="N65" s="201"/>
      <c r="O65" s="202">
        <f t="shared" si="4"/>
        <v>14270</v>
      </c>
      <c r="P65" s="2"/>
    </row>
    <row r="66" spans="1:16" ht="29.25">
      <c r="A66" s="275" t="s">
        <v>11</v>
      </c>
      <c r="B66" s="60" t="s">
        <v>12</v>
      </c>
      <c r="C66" s="60" t="s">
        <v>1950</v>
      </c>
      <c r="D66" s="55"/>
      <c r="E66" s="55"/>
      <c r="F66" s="55" t="s">
        <v>164</v>
      </c>
      <c r="G66" s="60" t="s">
        <v>163</v>
      </c>
      <c r="H66" s="376" t="s">
        <v>1131</v>
      </c>
      <c r="I66" s="46">
        <v>83425858</v>
      </c>
      <c r="J66" s="484" t="s">
        <v>154</v>
      </c>
      <c r="K66" s="62">
        <v>2.2</v>
      </c>
      <c r="L66" s="205">
        <f>23181-11924</f>
        <v>11257</v>
      </c>
      <c r="M66" s="201"/>
      <c r="N66" s="201"/>
      <c r="O66" s="202">
        <f t="shared" si="4"/>
        <v>11257</v>
      </c>
      <c r="P66" s="2"/>
    </row>
    <row r="67" spans="1:16" ht="29.25">
      <c r="A67" s="275" t="s">
        <v>11</v>
      </c>
      <c r="B67" s="60" t="s">
        <v>12</v>
      </c>
      <c r="C67" s="60" t="s">
        <v>312</v>
      </c>
      <c r="D67" s="55"/>
      <c r="E67" s="55"/>
      <c r="F67" s="55" t="s">
        <v>164</v>
      </c>
      <c r="G67" s="60" t="s">
        <v>163</v>
      </c>
      <c r="H67" s="376" t="s">
        <v>1132</v>
      </c>
      <c r="I67" s="46">
        <v>1403592</v>
      </c>
      <c r="J67" s="484" t="s">
        <v>154</v>
      </c>
      <c r="K67" s="62">
        <v>2</v>
      </c>
      <c r="L67" s="205">
        <f>10922-5615</f>
        <v>5307</v>
      </c>
      <c r="M67" s="201"/>
      <c r="N67" s="201"/>
      <c r="O67" s="202">
        <f t="shared" si="4"/>
        <v>5307</v>
      </c>
      <c r="P67" s="2"/>
    </row>
    <row r="68" spans="1:16" ht="29.25">
      <c r="A68" s="275" t="s">
        <v>11</v>
      </c>
      <c r="B68" s="60" t="s">
        <v>12</v>
      </c>
      <c r="C68" s="60" t="s">
        <v>335</v>
      </c>
      <c r="D68" s="55"/>
      <c r="E68" s="55"/>
      <c r="F68" s="55" t="s">
        <v>164</v>
      </c>
      <c r="G68" s="60" t="s">
        <v>163</v>
      </c>
      <c r="H68" s="376" t="s">
        <v>1133</v>
      </c>
      <c r="I68" s="46">
        <v>1404275</v>
      </c>
      <c r="J68" s="484" t="s">
        <v>154</v>
      </c>
      <c r="K68" s="62">
        <v>1.3</v>
      </c>
      <c r="L68" s="205">
        <f>18999-9239</f>
        <v>9760</v>
      </c>
      <c r="M68" s="201"/>
      <c r="N68" s="201"/>
      <c r="O68" s="202">
        <f t="shared" si="4"/>
        <v>9760</v>
      </c>
      <c r="P68" s="2"/>
    </row>
    <row r="69" spans="1:16" ht="29.25">
      <c r="A69" s="275" t="s">
        <v>11</v>
      </c>
      <c r="B69" s="60" t="s">
        <v>12</v>
      </c>
      <c r="C69" s="60" t="s">
        <v>335</v>
      </c>
      <c r="D69" s="55"/>
      <c r="E69" s="55"/>
      <c r="F69" s="55" t="s">
        <v>164</v>
      </c>
      <c r="G69" s="60" t="s">
        <v>163</v>
      </c>
      <c r="H69" s="376" t="s">
        <v>1134</v>
      </c>
      <c r="I69" s="46">
        <v>1441885</v>
      </c>
      <c r="J69" s="484" t="s">
        <v>154</v>
      </c>
      <c r="K69" s="62">
        <v>1.8</v>
      </c>
      <c r="L69" s="205">
        <f>20398-11012</f>
        <v>9386</v>
      </c>
      <c r="M69" s="201"/>
      <c r="N69" s="201"/>
      <c r="O69" s="202">
        <f t="shared" si="4"/>
        <v>9386</v>
      </c>
      <c r="P69" s="2"/>
    </row>
    <row r="70" spans="1:16" ht="29.25">
      <c r="A70" s="275" t="s">
        <v>11</v>
      </c>
      <c r="B70" s="60" t="s">
        <v>12</v>
      </c>
      <c r="C70" s="60" t="s">
        <v>335</v>
      </c>
      <c r="D70" s="55"/>
      <c r="E70" s="55"/>
      <c r="F70" s="55" t="s">
        <v>164</v>
      </c>
      <c r="G70" s="60" t="s">
        <v>163</v>
      </c>
      <c r="H70" s="376" t="s">
        <v>1135</v>
      </c>
      <c r="I70" s="46">
        <v>1399801</v>
      </c>
      <c r="J70" s="484" t="s">
        <v>154</v>
      </c>
      <c r="K70" s="62">
        <v>2.3</v>
      </c>
      <c r="L70" s="205">
        <f>29055-16792</f>
        <v>12263</v>
      </c>
      <c r="M70" s="201"/>
      <c r="N70" s="201"/>
      <c r="O70" s="202">
        <f t="shared" si="4"/>
        <v>12263</v>
      </c>
      <c r="P70" s="2"/>
    </row>
    <row r="71" spans="1:16" ht="29.25">
      <c r="A71" s="275" t="s">
        <v>11</v>
      </c>
      <c r="B71" s="60" t="s">
        <v>12</v>
      </c>
      <c r="C71" s="60" t="s">
        <v>336</v>
      </c>
      <c r="D71" s="55"/>
      <c r="E71" s="55"/>
      <c r="F71" s="55" t="s">
        <v>164</v>
      </c>
      <c r="G71" s="60" t="s">
        <v>163</v>
      </c>
      <c r="H71" s="376" t="s">
        <v>1136</v>
      </c>
      <c r="I71" s="46">
        <v>1387589</v>
      </c>
      <c r="J71" s="484" t="s">
        <v>154</v>
      </c>
      <c r="K71" s="62">
        <v>2.5</v>
      </c>
      <c r="L71" s="205">
        <f>29487-15599</f>
        <v>13888</v>
      </c>
      <c r="M71" s="201"/>
      <c r="N71" s="201"/>
      <c r="O71" s="202">
        <f t="shared" si="4"/>
        <v>13888</v>
      </c>
      <c r="P71" s="2"/>
    </row>
    <row r="72" spans="1:16" ht="29.25">
      <c r="A72" s="275" t="s">
        <v>11</v>
      </c>
      <c r="B72" s="60" t="s">
        <v>12</v>
      </c>
      <c r="C72" s="60" t="s">
        <v>337</v>
      </c>
      <c r="D72" s="55"/>
      <c r="E72" s="55"/>
      <c r="F72" s="55" t="s">
        <v>164</v>
      </c>
      <c r="G72" s="60" t="s">
        <v>163</v>
      </c>
      <c r="H72" s="376" t="s">
        <v>1137</v>
      </c>
      <c r="I72" s="46">
        <v>89114957</v>
      </c>
      <c r="J72" s="484" t="s">
        <v>154</v>
      </c>
      <c r="K72" s="62">
        <v>1.5</v>
      </c>
      <c r="L72" s="205">
        <v>3000</v>
      </c>
      <c r="M72" s="201"/>
      <c r="N72" s="201"/>
      <c r="O72" s="202">
        <f t="shared" si="4"/>
        <v>3000</v>
      </c>
      <c r="P72" s="2"/>
    </row>
    <row r="73" spans="1:16" ht="29.25">
      <c r="A73" s="275" t="s">
        <v>11</v>
      </c>
      <c r="B73" s="60" t="s">
        <v>12</v>
      </c>
      <c r="C73" s="60" t="s">
        <v>335</v>
      </c>
      <c r="D73" s="55"/>
      <c r="E73" s="55"/>
      <c r="F73" s="55" t="s">
        <v>164</v>
      </c>
      <c r="G73" s="60" t="s">
        <v>163</v>
      </c>
      <c r="H73" s="376" t="s">
        <v>1138</v>
      </c>
      <c r="I73" s="46">
        <v>1387587</v>
      </c>
      <c r="J73" s="484" t="s">
        <v>154</v>
      </c>
      <c r="K73" s="62">
        <v>2.8</v>
      </c>
      <c r="L73" s="205">
        <f>11319-6393</f>
        <v>4926</v>
      </c>
      <c r="M73" s="201"/>
      <c r="N73" s="201"/>
      <c r="O73" s="202">
        <f t="shared" si="4"/>
        <v>4926</v>
      </c>
      <c r="P73" s="2"/>
    </row>
    <row r="74" spans="1:16" ht="29.25">
      <c r="A74" s="275" t="s">
        <v>11</v>
      </c>
      <c r="B74" s="60" t="s">
        <v>12</v>
      </c>
      <c r="C74" s="60" t="s">
        <v>335</v>
      </c>
      <c r="D74" s="55"/>
      <c r="E74" s="55"/>
      <c r="F74" s="55" t="s">
        <v>164</v>
      </c>
      <c r="G74" s="60" t="s">
        <v>163</v>
      </c>
      <c r="H74" s="376" t="s">
        <v>1139</v>
      </c>
      <c r="I74" s="46">
        <v>1387584</v>
      </c>
      <c r="J74" s="484" t="s">
        <v>154</v>
      </c>
      <c r="K74" s="62">
        <v>0.5</v>
      </c>
      <c r="L74" s="205">
        <f>19988-14150</f>
        <v>5838</v>
      </c>
      <c r="M74" s="201"/>
      <c r="N74" s="201"/>
      <c r="O74" s="202">
        <f t="shared" si="4"/>
        <v>5838</v>
      </c>
      <c r="P74" s="2"/>
    </row>
    <row r="75" spans="1:16" ht="29.25">
      <c r="A75" s="275" t="s">
        <v>11</v>
      </c>
      <c r="B75" s="60" t="s">
        <v>12</v>
      </c>
      <c r="C75" s="60" t="s">
        <v>338</v>
      </c>
      <c r="D75" s="60" t="s">
        <v>339</v>
      </c>
      <c r="E75" s="55"/>
      <c r="F75" s="55" t="s">
        <v>164</v>
      </c>
      <c r="G75" s="60" t="s">
        <v>163</v>
      </c>
      <c r="H75" s="376" t="s">
        <v>1141</v>
      </c>
      <c r="I75" s="46">
        <v>1482536</v>
      </c>
      <c r="J75" s="484" t="s">
        <v>154</v>
      </c>
      <c r="K75" s="62">
        <v>0.3</v>
      </c>
      <c r="L75" s="205">
        <f>15521-11393</f>
        <v>4128</v>
      </c>
      <c r="M75" s="201"/>
      <c r="N75" s="201"/>
      <c r="O75" s="202">
        <f t="shared" si="4"/>
        <v>4128</v>
      </c>
      <c r="P75" s="2"/>
    </row>
    <row r="76" spans="1:16" ht="29.25">
      <c r="A76" s="275" t="s">
        <v>11</v>
      </c>
      <c r="B76" s="60" t="s">
        <v>12</v>
      </c>
      <c r="C76" s="60" t="s">
        <v>335</v>
      </c>
      <c r="D76" s="60" t="s">
        <v>209</v>
      </c>
      <c r="E76" s="55"/>
      <c r="F76" s="55" t="s">
        <v>164</v>
      </c>
      <c r="G76" s="60" t="s">
        <v>163</v>
      </c>
      <c r="H76" s="376" t="s">
        <v>1142</v>
      </c>
      <c r="I76" s="46">
        <v>1494935</v>
      </c>
      <c r="J76" s="484" t="s">
        <v>154</v>
      </c>
      <c r="K76" s="62">
        <v>0.5</v>
      </c>
      <c r="L76" s="205">
        <f>4429-2470</f>
        <v>1959</v>
      </c>
      <c r="M76" s="201"/>
      <c r="N76" s="201"/>
      <c r="O76" s="202">
        <f t="shared" si="4"/>
        <v>1959</v>
      </c>
      <c r="P76" s="2"/>
    </row>
    <row r="77" spans="1:16" ht="29.25">
      <c r="A77" s="275" t="s">
        <v>11</v>
      </c>
      <c r="B77" s="60" t="s">
        <v>12</v>
      </c>
      <c r="C77" s="60" t="s">
        <v>340</v>
      </c>
      <c r="D77" s="55"/>
      <c r="E77" s="55"/>
      <c r="F77" s="55" t="s">
        <v>164</v>
      </c>
      <c r="G77" s="60" t="s">
        <v>163</v>
      </c>
      <c r="H77" s="376" t="s">
        <v>1143</v>
      </c>
      <c r="I77" s="46">
        <v>1404286</v>
      </c>
      <c r="J77" s="484" t="s">
        <v>154</v>
      </c>
      <c r="K77" s="62">
        <v>0.7</v>
      </c>
      <c r="L77" s="205">
        <f>22905-12407</f>
        <v>10498</v>
      </c>
      <c r="M77" s="201"/>
      <c r="N77" s="201"/>
      <c r="O77" s="202">
        <f t="shared" si="4"/>
        <v>10498</v>
      </c>
      <c r="P77" s="2"/>
    </row>
    <row r="78" spans="1:16" ht="29.25">
      <c r="A78" s="275" t="s">
        <v>11</v>
      </c>
      <c r="B78" s="60" t="s">
        <v>12</v>
      </c>
      <c r="C78" s="60" t="s">
        <v>341</v>
      </c>
      <c r="D78" s="60" t="s">
        <v>238</v>
      </c>
      <c r="E78" s="55">
        <v>33</v>
      </c>
      <c r="F78" s="55" t="s">
        <v>164</v>
      </c>
      <c r="G78" s="60" t="s">
        <v>163</v>
      </c>
      <c r="H78" s="376" t="s">
        <v>1144</v>
      </c>
      <c r="I78" s="46">
        <v>1394958</v>
      </c>
      <c r="J78" s="484" t="s">
        <v>154</v>
      </c>
      <c r="K78" s="62">
        <v>2.2</v>
      </c>
      <c r="L78" s="205">
        <f>18400-12786</f>
        <v>5614</v>
      </c>
      <c r="M78" s="201"/>
      <c r="N78" s="201"/>
      <c r="O78" s="202">
        <f t="shared" si="4"/>
        <v>5614</v>
      </c>
      <c r="P78" s="2"/>
    </row>
    <row r="79" spans="1:16" ht="29.25">
      <c r="A79" s="275" t="s">
        <v>11</v>
      </c>
      <c r="B79" s="60" t="s">
        <v>12</v>
      </c>
      <c r="C79" s="60" t="s">
        <v>342</v>
      </c>
      <c r="D79" s="60" t="s">
        <v>343</v>
      </c>
      <c r="E79" s="55"/>
      <c r="F79" s="55" t="s">
        <v>164</v>
      </c>
      <c r="G79" s="60" t="s">
        <v>163</v>
      </c>
      <c r="H79" s="376" t="s">
        <v>1145</v>
      </c>
      <c r="I79" s="46">
        <v>1387579</v>
      </c>
      <c r="J79" s="484" t="s">
        <v>154</v>
      </c>
      <c r="K79" s="62">
        <v>2.2</v>
      </c>
      <c r="L79" s="205">
        <f>30722-16484</f>
        <v>14238</v>
      </c>
      <c r="M79" s="201"/>
      <c r="N79" s="201"/>
      <c r="O79" s="202">
        <f t="shared" si="4"/>
        <v>14238</v>
      </c>
      <c r="P79" s="2"/>
    </row>
    <row r="80" spans="1:16" ht="29.25">
      <c r="A80" s="275" t="s">
        <v>11</v>
      </c>
      <c r="B80" s="60" t="s">
        <v>12</v>
      </c>
      <c r="C80" s="60" t="s">
        <v>342</v>
      </c>
      <c r="D80" s="60" t="s">
        <v>344</v>
      </c>
      <c r="E80" s="60" t="s">
        <v>345</v>
      </c>
      <c r="F80" s="55" t="s">
        <v>164</v>
      </c>
      <c r="G80" s="60" t="s">
        <v>163</v>
      </c>
      <c r="H80" s="376" t="s">
        <v>1146</v>
      </c>
      <c r="I80" s="46">
        <v>1404289</v>
      </c>
      <c r="J80" s="484" t="s">
        <v>154</v>
      </c>
      <c r="K80" s="62">
        <v>1.1</v>
      </c>
      <c r="L80" s="205">
        <f>12769-6913</f>
        <v>5856</v>
      </c>
      <c r="M80" s="201"/>
      <c r="N80" s="201"/>
      <c r="O80" s="202">
        <f t="shared" si="4"/>
        <v>5856</v>
      </c>
      <c r="P80" s="2"/>
    </row>
    <row r="81" spans="1:16" ht="29.25">
      <c r="A81" s="275" t="s">
        <v>11</v>
      </c>
      <c r="B81" s="60" t="s">
        <v>12</v>
      </c>
      <c r="C81" s="60" t="s">
        <v>342</v>
      </c>
      <c r="D81" s="60" t="s">
        <v>346</v>
      </c>
      <c r="E81" s="60" t="s">
        <v>347</v>
      </c>
      <c r="F81" s="55" t="s">
        <v>164</v>
      </c>
      <c r="G81" s="60" t="s">
        <v>163</v>
      </c>
      <c r="H81" s="376" t="s">
        <v>1147</v>
      </c>
      <c r="I81" s="46">
        <v>1387590</v>
      </c>
      <c r="J81" s="484" t="s">
        <v>154</v>
      </c>
      <c r="K81" s="62">
        <v>1.6</v>
      </c>
      <c r="L81" s="205">
        <f>24899-15224</f>
        <v>9675</v>
      </c>
      <c r="M81" s="201"/>
      <c r="N81" s="201"/>
      <c r="O81" s="202">
        <f t="shared" si="4"/>
        <v>9675</v>
      </c>
      <c r="P81" s="2"/>
    </row>
    <row r="82" spans="1:16" ht="29.25">
      <c r="A82" s="275" t="s">
        <v>11</v>
      </c>
      <c r="B82" s="60" t="s">
        <v>12</v>
      </c>
      <c r="C82" s="60" t="s">
        <v>348</v>
      </c>
      <c r="D82" s="60" t="s">
        <v>349</v>
      </c>
      <c r="E82" s="55"/>
      <c r="F82" s="55" t="s">
        <v>164</v>
      </c>
      <c r="G82" s="60" t="s">
        <v>163</v>
      </c>
      <c r="H82" s="376" t="s">
        <v>1148</v>
      </c>
      <c r="I82" s="46">
        <v>1394968</v>
      </c>
      <c r="J82" s="484" t="s">
        <v>154</v>
      </c>
      <c r="K82" s="62">
        <v>2.2</v>
      </c>
      <c r="L82" s="205">
        <f>11145-7567</f>
        <v>3578</v>
      </c>
      <c r="M82" s="201"/>
      <c r="N82" s="201"/>
      <c r="O82" s="202">
        <f t="shared" si="4"/>
        <v>3578</v>
      </c>
      <c r="P82" s="2"/>
    </row>
    <row r="83" spans="1:16" ht="29.25">
      <c r="A83" s="275" t="s">
        <v>11</v>
      </c>
      <c r="B83" s="60" t="s">
        <v>12</v>
      </c>
      <c r="C83" s="60" t="s">
        <v>342</v>
      </c>
      <c r="D83" s="60" t="s">
        <v>339</v>
      </c>
      <c r="E83" s="55">
        <v>5</v>
      </c>
      <c r="F83" s="55" t="s">
        <v>164</v>
      </c>
      <c r="G83" s="60" t="s">
        <v>163</v>
      </c>
      <c r="H83" s="376" t="s">
        <v>1149</v>
      </c>
      <c r="I83" s="46">
        <v>1394962</v>
      </c>
      <c r="J83" s="484" t="s">
        <v>154</v>
      </c>
      <c r="K83" s="62">
        <v>1.1</v>
      </c>
      <c r="L83" s="205">
        <f>13852-9232</f>
        <v>4620</v>
      </c>
      <c r="M83" s="201"/>
      <c r="N83" s="201"/>
      <c r="O83" s="202">
        <f t="shared" si="4"/>
        <v>4620</v>
      </c>
      <c r="P83" s="2"/>
    </row>
    <row r="84" spans="1:16" ht="29.25">
      <c r="A84" s="275" t="s">
        <v>11</v>
      </c>
      <c r="B84" s="60" t="s">
        <v>12</v>
      </c>
      <c r="C84" s="60" t="s">
        <v>342</v>
      </c>
      <c r="D84" s="60" t="s">
        <v>350</v>
      </c>
      <c r="E84" s="55"/>
      <c r="F84" s="55" t="s">
        <v>164</v>
      </c>
      <c r="G84" s="60" t="s">
        <v>163</v>
      </c>
      <c r="H84" s="376" t="s">
        <v>1150</v>
      </c>
      <c r="I84" s="46">
        <v>1394966</v>
      </c>
      <c r="J84" s="484" t="s">
        <v>154</v>
      </c>
      <c r="K84" s="62">
        <v>1.3</v>
      </c>
      <c r="L84" s="205">
        <f>20681-13333</f>
        <v>7348</v>
      </c>
      <c r="M84" s="201"/>
      <c r="N84" s="201"/>
      <c r="O84" s="202">
        <f t="shared" si="4"/>
        <v>7348</v>
      </c>
      <c r="P84" s="2"/>
    </row>
    <row r="85" spans="1:16" ht="29.25">
      <c r="A85" s="275" t="s">
        <v>11</v>
      </c>
      <c r="B85" s="60" t="s">
        <v>12</v>
      </c>
      <c r="C85" s="60" t="s">
        <v>342</v>
      </c>
      <c r="D85" s="60" t="s">
        <v>339</v>
      </c>
      <c r="E85" s="55"/>
      <c r="F85" s="55" t="s">
        <v>164</v>
      </c>
      <c r="G85" s="60" t="s">
        <v>163</v>
      </c>
      <c r="H85" s="376" t="s">
        <v>1151</v>
      </c>
      <c r="I85" s="46">
        <v>1387581</v>
      </c>
      <c r="J85" s="484" t="s">
        <v>154</v>
      </c>
      <c r="K85" s="62">
        <v>2.2</v>
      </c>
      <c r="L85" s="205">
        <f>14680-10268</f>
        <v>4412</v>
      </c>
      <c r="M85" s="201"/>
      <c r="N85" s="201"/>
      <c r="O85" s="202">
        <f t="shared" si="4"/>
        <v>4412</v>
      </c>
      <c r="P85" s="2"/>
    </row>
    <row r="86" spans="1:16" ht="29.25">
      <c r="A86" s="275" t="s">
        <v>11</v>
      </c>
      <c r="B86" s="60" t="s">
        <v>12</v>
      </c>
      <c r="C86" s="60" t="s">
        <v>351</v>
      </c>
      <c r="D86" s="55"/>
      <c r="E86" s="55"/>
      <c r="F86" s="55" t="s">
        <v>164</v>
      </c>
      <c r="G86" s="60" t="s">
        <v>163</v>
      </c>
      <c r="H86" s="376" t="s">
        <v>1152</v>
      </c>
      <c r="I86" s="46">
        <v>83143604</v>
      </c>
      <c r="J86" s="484" t="s">
        <v>154</v>
      </c>
      <c r="K86" s="62">
        <v>1.5</v>
      </c>
      <c r="L86" s="205">
        <f>19888-8882</f>
        <v>11006</v>
      </c>
      <c r="M86" s="201"/>
      <c r="N86" s="201"/>
      <c r="O86" s="202">
        <f t="shared" si="4"/>
        <v>11006</v>
      </c>
      <c r="P86" s="2"/>
    </row>
    <row r="87" spans="1:16" ht="29.25">
      <c r="A87" s="275" t="s">
        <v>11</v>
      </c>
      <c r="B87" s="60" t="s">
        <v>12</v>
      </c>
      <c r="C87" s="60" t="s">
        <v>351</v>
      </c>
      <c r="D87" s="55"/>
      <c r="E87" s="55"/>
      <c r="F87" s="55" t="s">
        <v>164</v>
      </c>
      <c r="G87" s="60" t="s">
        <v>163</v>
      </c>
      <c r="H87" s="376" t="s">
        <v>1153</v>
      </c>
      <c r="I87" s="46">
        <v>1395739</v>
      </c>
      <c r="J87" s="484" t="s">
        <v>154</v>
      </c>
      <c r="K87" s="62">
        <v>0.9</v>
      </c>
      <c r="L87" s="205">
        <f>12643-7131</f>
        <v>5512</v>
      </c>
      <c r="M87" s="201"/>
      <c r="N87" s="201"/>
      <c r="O87" s="202">
        <f aca="true" t="shared" si="5" ref="O87:O118">L87</f>
        <v>5512</v>
      </c>
      <c r="P87" s="2"/>
    </row>
    <row r="88" spans="1:16" ht="29.25">
      <c r="A88" s="275" t="s">
        <v>11</v>
      </c>
      <c r="B88" s="60" t="s">
        <v>12</v>
      </c>
      <c r="C88" s="60" t="s">
        <v>348</v>
      </c>
      <c r="D88" s="55"/>
      <c r="E88" s="55"/>
      <c r="F88" s="55" t="s">
        <v>164</v>
      </c>
      <c r="G88" s="60" t="s">
        <v>163</v>
      </c>
      <c r="H88" s="376" t="s">
        <v>1154</v>
      </c>
      <c r="I88" s="409">
        <v>1404285</v>
      </c>
      <c r="J88" s="484" t="s">
        <v>154</v>
      </c>
      <c r="K88" s="62">
        <v>1.8</v>
      </c>
      <c r="L88" s="205">
        <f>22649-16047</f>
        <v>6602</v>
      </c>
      <c r="M88" s="201"/>
      <c r="N88" s="201"/>
      <c r="O88" s="202">
        <f t="shared" si="5"/>
        <v>6602</v>
      </c>
      <c r="P88" s="2"/>
    </row>
    <row r="89" spans="1:16" ht="29.25">
      <c r="A89" s="275" t="s">
        <v>11</v>
      </c>
      <c r="B89" s="60" t="s">
        <v>12</v>
      </c>
      <c r="C89" s="60" t="s">
        <v>351</v>
      </c>
      <c r="D89" s="60" t="s">
        <v>352</v>
      </c>
      <c r="E89" s="55"/>
      <c r="F89" s="55" t="s">
        <v>164</v>
      </c>
      <c r="G89" s="60" t="s">
        <v>163</v>
      </c>
      <c r="H89" s="376" t="s">
        <v>1155</v>
      </c>
      <c r="I89" s="46">
        <v>1404283</v>
      </c>
      <c r="J89" s="484" t="s">
        <v>154</v>
      </c>
      <c r="K89" s="62">
        <v>0.5</v>
      </c>
      <c r="L89" s="205">
        <f>16039-6811</f>
        <v>9228</v>
      </c>
      <c r="M89" s="201"/>
      <c r="N89" s="201"/>
      <c r="O89" s="202">
        <f t="shared" si="5"/>
        <v>9228</v>
      </c>
      <c r="P89" s="2"/>
    </row>
    <row r="90" spans="1:16" ht="29.25">
      <c r="A90" s="275" t="s">
        <v>11</v>
      </c>
      <c r="B90" s="60" t="s">
        <v>12</v>
      </c>
      <c r="C90" s="60" t="s">
        <v>348</v>
      </c>
      <c r="D90" s="55"/>
      <c r="E90" s="55"/>
      <c r="F90" s="55" t="s">
        <v>164</v>
      </c>
      <c r="G90" s="60" t="s">
        <v>163</v>
      </c>
      <c r="H90" s="376" t="s">
        <v>1156</v>
      </c>
      <c r="I90" s="46">
        <v>1481685</v>
      </c>
      <c r="J90" s="484" t="s">
        <v>154</v>
      </c>
      <c r="K90" s="62">
        <v>1</v>
      </c>
      <c r="L90" s="205">
        <f>38794-21456</f>
        <v>17338</v>
      </c>
      <c r="M90" s="201"/>
      <c r="N90" s="201"/>
      <c r="O90" s="202">
        <f t="shared" si="5"/>
        <v>17338</v>
      </c>
      <c r="P90" s="2"/>
    </row>
    <row r="91" spans="1:16" ht="29.25">
      <c r="A91" s="275" t="s">
        <v>11</v>
      </c>
      <c r="B91" s="60" t="s">
        <v>12</v>
      </c>
      <c r="C91" s="60" t="s">
        <v>348</v>
      </c>
      <c r="D91" s="55"/>
      <c r="E91" s="60" t="s">
        <v>353</v>
      </c>
      <c r="F91" s="55" t="s">
        <v>164</v>
      </c>
      <c r="G91" s="60" t="s">
        <v>163</v>
      </c>
      <c r="H91" s="376" t="s">
        <v>1157</v>
      </c>
      <c r="I91" s="46">
        <v>1401617</v>
      </c>
      <c r="J91" s="484" t="s">
        <v>154</v>
      </c>
      <c r="K91" s="62">
        <v>1.4</v>
      </c>
      <c r="L91" s="205">
        <f>14818-7694</f>
        <v>7124</v>
      </c>
      <c r="M91" s="201"/>
      <c r="N91" s="201"/>
      <c r="O91" s="202">
        <f t="shared" si="5"/>
        <v>7124</v>
      </c>
      <c r="P91" s="2"/>
    </row>
    <row r="92" spans="1:16" ht="29.25">
      <c r="A92" s="275" t="s">
        <v>11</v>
      </c>
      <c r="B92" s="60" t="s">
        <v>12</v>
      </c>
      <c r="C92" s="60" t="s">
        <v>348</v>
      </c>
      <c r="D92" s="55"/>
      <c r="E92" s="55"/>
      <c r="F92" s="55" t="s">
        <v>164</v>
      </c>
      <c r="G92" s="60" t="s">
        <v>163</v>
      </c>
      <c r="H92" s="376" t="s">
        <v>1158</v>
      </c>
      <c r="I92" s="46">
        <v>1398833</v>
      </c>
      <c r="J92" s="484" t="s">
        <v>154</v>
      </c>
      <c r="K92" s="62">
        <v>1.4</v>
      </c>
      <c r="L92" s="205">
        <f>26550-17505</f>
        <v>9045</v>
      </c>
      <c r="M92" s="201"/>
      <c r="N92" s="201"/>
      <c r="O92" s="202">
        <f t="shared" si="5"/>
        <v>9045</v>
      </c>
      <c r="P92" s="2"/>
    </row>
    <row r="93" spans="1:16" ht="29.25">
      <c r="A93" s="275" t="s">
        <v>11</v>
      </c>
      <c r="B93" s="60" t="s">
        <v>12</v>
      </c>
      <c r="C93" s="60" t="s">
        <v>348</v>
      </c>
      <c r="D93" s="55"/>
      <c r="E93" s="55"/>
      <c r="F93" s="55" t="s">
        <v>164</v>
      </c>
      <c r="G93" s="60" t="s">
        <v>163</v>
      </c>
      <c r="H93" s="376" t="s">
        <v>1159</v>
      </c>
      <c r="I93" s="46">
        <v>1403593</v>
      </c>
      <c r="J93" s="484" t="s">
        <v>154</v>
      </c>
      <c r="K93" s="62">
        <v>0.6</v>
      </c>
      <c r="L93" s="205">
        <f>12372-7946</f>
        <v>4426</v>
      </c>
      <c r="M93" s="201"/>
      <c r="N93" s="201"/>
      <c r="O93" s="202">
        <f t="shared" si="5"/>
        <v>4426</v>
      </c>
      <c r="P93" s="2"/>
    </row>
    <row r="94" spans="1:16" ht="29.25">
      <c r="A94" s="275" t="s">
        <v>11</v>
      </c>
      <c r="B94" s="60" t="s">
        <v>12</v>
      </c>
      <c r="C94" s="60" t="s">
        <v>348</v>
      </c>
      <c r="D94" s="55"/>
      <c r="E94" s="60" t="s">
        <v>354</v>
      </c>
      <c r="F94" s="55" t="s">
        <v>164</v>
      </c>
      <c r="G94" s="60" t="s">
        <v>163</v>
      </c>
      <c r="H94" s="376" t="s">
        <v>1160</v>
      </c>
      <c r="I94" s="46">
        <v>1387578</v>
      </c>
      <c r="J94" s="484" t="s">
        <v>154</v>
      </c>
      <c r="K94" s="62">
        <v>1.3</v>
      </c>
      <c r="L94" s="205">
        <f>12870-5413</f>
        <v>7457</v>
      </c>
      <c r="M94" s="201"/>
      <c r="N94" s="201"/>
      <c r="O94" s="202">
        <f t="shared" si="5"/>
        <v>7457</v>
      </c>
      <c r="P94" s="2"/>
    </row>
    <row r="95" spans="1:16" ht="29.25">
      <c r="A95" s="275" t="s">
        <v>11</v>
      </c>
      <c r="B95" s="60" t="s">
        <v>12</v>
      </c>
      <c r="C95" s="60" t="s">
        <v>348</v>
      </c>
      <c r="D95" s="55"/>
      <c r="E95" s="55"/>
      <c r="F95" s="55" t="s">
        <v>164</v>
      </c>
      <c r="G95" s="60" t="s">
        <v>163</v>
      </c>
      <c r="H95" s="376" t="s">
        <v>1161</v>
      </c>
      <c r="I95" s="46">
        <v>1398829</v>
      </c>
      <c r="J95" s="484" t="s">
        <v>154</v>
      </c>
      <c r="K95" s="62">
        <v>0.7</v>
      </c>
      <c r="L95" s="205">
        <f>27434-17623</f>
        <v>9811</v>
      </c>
      <c r="M95" s="201"/>
      <c r="N95" s="201"/>
      <c r="O95" s="202">
        <f t="shared" si="5"/>
        <v>9811</v>
      </c>
      <c r="P95" s="2"/>
    </row>
    <row r="96" spans="1:16" ht="29.25">
      <c r="A96" s="275" t="s">
        <v>11</v>
      </c>
      <c r="B96" s="60" t="s">
        <v>12</v>
      </c>
      <c r="C96" s="60" t="s">
        <v>348</v>
      </c>
      <c r="D96" s="55"/>
      <c r="E96" s="55"/>
      <c r="F96" s="55" t="s">
        <v>164</v>
      </c>
      <c r="G96" s="60" t="s">
        <v>163</v>
      </c>
      <c r="H96" s="376" t="s">
        <v>1162</v>
      </c>
      <c r="I96" s="46">
        <v>1399806</v>
      </c>
      <c r="J96" s="484" t="s">
        <v>154</v>
      </c>
      <c r="K96" s="62">
        <v>0.5</v>
      </c>
      <c r="L96" s="205">
        <f>20487-15268</f>
        <v>5219</v>
      </c>
      <c r="M96" s="201"/>
      <c r="N96" s="201"/>
      <c r="O96" s="202">
        <f t="shared" si="5"/>
        <v>5219</v>
      </c>
      <c r="P96" s="2"/>
    </row>
    <row r="97" spans="1:16" ht="29.25">
      <c r="A97" s="275" t="s">
        <v>11</v>
      </c>
      <c r="B97" s="60" t="s">
        <v>12</v>
      </c>
      <c r="C97" s="60" t="s">
        <v>355</v>
      </c>
      <c r="D97" s="60" t="s">
        <v>356</v>
      </c>
      <c r="E97" s="55"/>
      <c r="F97" s="55" t="s">
        <v>164</v>
      </c>
      <c r="G97" s="60" t="s">
        <v>163</v>
      </c>
      <c r="H97" s="376" t="s">
        <v>1163</v>
      </c>
      <c r="I97" s="46">
        <v>1382663</v>
      </c>
      <c r="J97" s="484" t="s">
        <v>154</v>
      </c>
      <c r="K97" s="62">
        <v>2.1</v>
      </c>
      <c r="L97" s="205">
        <f>28878-16408</f>
        <v>12470</v>
      </c>
      <c r="M97" s="201"/>
      <c r="N97" s="201"/>
      <c r="O97" s="202">
        <f t="shared" si="5"/>
        <v>12470</v>
      </c>
      <c r="P97" s="2"/>
    </row>
    <row r="98" spans="1:16" ht="29.25">
      <c r="A98" s="275" t="s">
        <v>11</v>
      </c>
      <c r="B98" s="60" t="s">
        <v>12</v>
      </c>
      <c r="C98" s="60" t="s">
        <v>357</v>
      </c>
      <c r="D98" s="60" t="s">
        <v>117</v>
      </c>
      <c r="E98" s="55">
        <v>12</v>
      </c>
      <c r="F98" s="55" t="s">
        <v>164</v>
      </c>
      <c r="G98" s="60" t="s">
        <v>163</v>
      </c>
      <c r="H98" s="376" t="s">
        <v>1166</v>
      </c>
      <c r="I98" s="46">
        <v>1404290</v>
      </c>
      <c r="J98" s="484" t="s">
        <v>154</v>
      </c>
      <c r="K98" s="62">
        <v>2.5</v>
      </c>
      <c r="L98" s="205">
        <f>56152-38258</f>
        <v>17894</v>
      </c>
      <c r="M98" s="201"/>
      <c r="N98" s="201"/>
      <c r="O98" s="202">
        <f t="shared" si="5"/>
        <v>17894</v>
      </c>
      <c r="P98" s="2"/>
    </row>
    <row r="99" spans="1:16" ht="29.25">
      <c r="A99" s="275" t="s">
        <v>11</v>
      </c>
      <c r="B99" s="60" t="s">
        <v>12</v>
      </c>
      <c r="C99" s="60" t="s">
        <v>351</v>
      </c>
      <c r="D99" s="55"/>
      <c r="E99" s="55">
        <v>6</v>
      </c>
      <c r="F99" s="55" t="s">
        <v>164</v>
      </c>
      <c r="G99" s="60" t="s">
        <v>163</v>
      </c>
      <c r="H99" s="376" t="s">
        <v>1167</v>
      </c>
      <c r="I99" s="46">
        <v>1404291</v>
      </c>
      <c r="J99" s="484" t="s">
        <v>154</v>
      </c>
      <c r="K99" s="62">
        <v>1.8</v>
      </c>
      <c r="L99" s="205">
        <f>12253-7202</f>
        <v>5051</v>
      </c>
      <c r="M99" s="201"/>
      <c r="N99" s="201"/>
      <c r="O99" s="202">
        <f t="shared" si="5"/>
        <v>5051</v>
      </c>
      <c r="P99" s="2"/>
    </row>
    <row r="100" spans="1:16" ht="29.25">
      <c r="A100" s="275" t="s">
        <v>11</v>
      </c>
      <c r="B100" s="60" t="s">
        <v>12</v>
      </c>
      <c r="C100" s="60" t="s">
        <v>351</v>
      </c>
      <c r="D100" s="60" t="s">
        <v>358</v>
      </c>
      <c r="E100" s="55">
        <v>5</v>
      </c>
      <c r="F100" s="55" t="s">
        <v>164</v>
      </c>
      <c r="G100" s="60" t="s">
        <v>163</v>
      </c>
      <c r="H100" s="376" t="s">
        <v>1168</v>
      </c>
      <c r="I100" s="46">
        <v>83247338</v>
      </c>
      <c r="J100" s="484" t="s">
        <v>154</v>
      </c>
      <c r="K100" s="62">
        <v>1.8</v>
      </c>
      <c r="L100" s="205">
        <f>11883-5111</f>
        <v>6772</v>
      </c>
      <c r="M100" s="201"/>
      <c r="N100" s="201"/>
      <c r="O100" s="202">
        <f t="shared" si="5"/>
        <v>6772</v>
      </c>
      <c r="P100" s="2"/>
    </row>
    <row r="101" spans="1:16" ht="29.25">
      <c r="A101" s="275" t="s">
        <v>11</v>
      </c>
      <c r="B101" s="60" t="s">
        <v>12</v>
      </c>
      <c r="C101" s="60" t="s">
        <v>359</v>
      </c>
      <c r="D101" s="55"/>
      <c r="E101" s="55"/>
      <c r="F101" s="55" t="s">
        <v>164</v>
      </c>
      <c r="G101" s="60" t="s">
        <v>163</v>
      </c>
      <c r="H101" s="376" t="s">
        <v>1169</v>
      </c>
      <c r="I101" s="46">
        <v>83426520</v>
      </c>
      <c r="J101" s="484" t="s">
        <v>154</v>
      </c>
      <c r="K101" s="62">
        <v>0.8</v>
      </c>
      <c r="L101" s="205">
        <f>3790-1469</f>
        <v>2321</v>
      </c>
      <c r="M101" s="201"/>
      <c r="N101" s="201"/>
      <c r="O101" s="202">
        <f t="shared" si="5"/>
        <v>2321</v>
      </c>
      <c r="P101" s="2"/>
    </row>
    <row r="102" spans="1:16" ht="29.25">
      <c r="A102" s="275" t="s">
        <v>11</v>
      </c>
      <c r="B102" s="60" t="s">
        <v>12</v>
      </c>
      <c r="C102" s="60" t="s">
        <v>359</v>
      </c>
      <c r="D102" s="55"/>
      <c r="E102" s="55"/>
      <c r="F102" s="55" t="s">
        <v>164</v>
      </c>
      <c r="G102" s="60" t="s">
        <v>163</v>
      </c>
      <c r="H102" s="376" t="s">
        <v>1170</v>
      </c>
      <c r="I102" s="46">
        <v>83426143</v>
      </c>
      <c r="J102" s="484" t="s">
        <v>154</v>
      </c>
      <c r="K102" s="62">
        <v>1</v>
      </c>
      <c r="L102" s="205">
        <f>7779-3353</f>
        <v>4426</v>
      </c>
      <c r="M102" s="201"/>
      <c r="N102" s="201"/>
      <c r="O102" s="202">
        <f t="shared" si="5"/>
        <v>4426</v>
      </c>
      <c r="P102" s="2"/>
    </row>
    <row r="103" spans="1:16" ht="29.25">
      <c r="A103" s="275" t="s">
        <v>11</v>
      </c>
      <c r="B103" s="60" t="s">
        <v>12</v>
      </c>
      <c r="C103" s="60" t="s">
        <v>360</v>
      </c>
      <c r="D103" s="55"/>
      <c r="E103" s="55"/>
      <c r="F103" s="55" t="s">
        <v>164</v>
      </c>
      <c r="G103" s="60" t="s">
        <v>163</v>
      </c>
      <c r="H103" s="376" t="s">
        <v>1171</v>
      </c>
      <c r="I103" s="46">
        <v>83426540</v>
      </c>
      <c r="J103" s="484" t="s">
        <v>154</v>
      </c>
      <c r="K103" s="62">
        <v>2.2</v>
      </c>
      <c r="L103" s="205">
        <f>10106-4132</f>
        <v>5974</v>
      </c>
      <c r="M103" s="201"/>
      <c r="N103" s="201"/>
      <c r="O103" s="202">
        <f t="shared" si="5"/>
        <v>5974</v>
      </c>
      <c r="P103" s="2"/>
    </row>
    <row r="104" spans="1:16" ht="29.25">
      <c r="A104" s="275" t="s">
        <v>11</v>
      </c>
      <c r="B104" s="60" t="s">
        <v>12</v>
      </c>
      <c r="C104" s="60" t="s">
        <v>361</v>
      </c>
      <c r="D104" s="60" t="s">
        <v>362</v>
      </c>
      <c r="E104" s="55"/>
      <c r="F104" s="55" t="s">
        <v>164</v>
      </c>
      <c r="G104" s="60" t="s">
        <v>163</v>
      </c>
      <c r="H104" s="376" t="s">
        <v>1172</v>
      </c>
      <c r="I104" s="46">
        <v>83426446</v>
      </c>
      <c r="J104" s="484" t="s">
        <v>154</v>
      </c>
      <c r="K104" s="62">
        <v>1</v>
      </c>
      <c r="L104" s="205">
        <f>17835-9736</f>
        <v>8099</v>
      </c>
      <c r="M104" s="201"/>
      <c r="N104" s="201"/>
      <c r="O104" s="202">
        <f t="shared" si="5"/>
        <v>8099</v>
      </c>
      <c r="P104" s="2"/>
    </row>
    <row r="105" spans="1:16" ht="29.25">
      <c r="A105" s="275" t="s">
        <v>11</v>
      </c>
      <c r="B105" s="60" t="s">
        <v>12</v>
      </c>
      <c r="C105" s="60" t="s">
        <v>361</v>
      </c>
      <c r="D105" s="60" t="s">
        <v>61</v>
      </c>
      <c r="E105" s="55"/>
      <c r="F105" s="55" t="s">
        <v>164</v>
      </c>
      <c r="G105" s="60" t="s">
        <v>163</v>
      </c>
      <c r="H105" s="376" t="s">
        <v>1173</v>
      </c>
      <c r="I105" s="46">
        <v>83426439</v>
      </c>
      <c r="J105" s="484" t="s">
        <v>154</v>
      </c>
      <c r="K105" s="62">
        <v>1</v>
      </c>
      <c r="L105" s="205">
        <f>3545-1956</f>
        <v>1589</v>
      </c>
      <c r="M105" s="201"/>
      <c r="N105" s="201"/>
      <c r="O105" s="202">
        <f t="shared" si="5"/>
        <v>1589</v>
      </c>
      <c r="P105" s="2"/>
    </row>
    <row r="106" spans="1:16" ht="29.25">
      <c r="A106" s="275" t="s">
        <v>11</v>
      </c>
      <c r="B106" s="60" t="s">
        <v>12</v>
      </c>
      <c r="C106" s="60" t="s">
        <v>361</v>
      </c>
      <c r="D106" s="60" t="s">
        <v>363</v>
      </c>
      <c r="E106" s="55"/>
      <c r="F106" s="55" t="s">
        <v>164</v>
      </c>
      <c r="G106" s="60" t="s">
        <v>163</v>
      </c>
      <c r="H106" s="376" t="s">
        <v>1174</v>
      </c>
      <c r="I106" s="46">
        <v>1393859</v>
      </c>
      <c r="J106" s="484" t="s">
        <v>154</v>
      </c>
      <c r="K106" s="62">
        <v>1.8</v>
      </c>
      <c r="L106" s="205">
        <f>14881-9614</f>
        <v>5267</v>
      </c>
      <c r="M106" s="201"/>
      <c r="N106" s="201"/>
      <c r="O106" s="202">
        <f t="shared" si="5"/>
        <v>5267</v>
      </c>
      <c r="P106" s="2"/>
    </row>
    <row r="107" spans="1:16" ht="29.25">
      <c r="A107" s="275" t="s">
        <v>11</v>
      </c>
      <c r="B107" s="60" t="s">
        <v>12</v>
      </c>
      <c r="C107" s="60" t="s">
        <v>361</v>
      </c>
      <c r="D107" s="60" t="s">
        <v>364</v>
      </c>
      <c r="E107" s="55"/>
      <c r="F107" s="55" t="s">
        <v>164</v>
      </c>
      <c r="G107" s="60" t="s">
        <v>163</v>
      </c>
      <c r="H107" s="376" t="s">
        <v>1175</v>
      </c>
      <c r="I107" s="46">
        <v>83426433</v>
      </c>
      <c r="J107" s="484" t="s">
        <v>154</v>
      </c>
      <c r="K107" s="62">
        <v>1.7</v>
      </c>
      <c r="L107" s="205">
        <f>14883-8341</f>
        <v>6542</v>
      </c>
      <c r="M107" s="201"/>
      <c r="N107" s="201"/>
      <c r="O107" s="202">
        <f t="shared" si="5"/>
        <v>6542</v>
      </c>
      <c r="P107" s="2"/>
    </row>
    <row r="108" spans="1:16" ht="29.25">
      <c r="A108" s="275" t="s">
        <v>11</v>
      </c>
      <c r="B108" s="60" t="s">
        <v>12</v>
      </c>
      <c r="C108" s="60" t="s">
        <v>361</v>
      </c>
      <c r="D108" s="60" t="s">
        <v>365</v>
      </c>
      <c r="E108" s="55"/>
      <c r="F108" s="55" t="s">
        <v>164</v>
      </c>
      <c r="G108" s="60" t="s">
        <v>163</v>
      </c>
      <c r="H108" s="376" t="s">
        <v>1186</v>
      </c>
      <c r="I108" s="46">
        <v>83426429</v>
      </c>
      <c r="J108" s="484" t="s">
        <v>154</v>
      </c>
      <c r="K108" s="62">
        <v>0.6</v>
      </c>
      <c r="L108" s="205">
        <f>4961-2387</f>
        <v>2574</v>
      </c>
      <c r="M108" s="201"/>
      <c r="N108" s="201"/>
      <c r="O108" s="202">
        <f t="shared" si="5"/>
        <v>2574</v>
      </c>
      <c r="P108" s="2"/>
    </row>
    <row r="109" spans="1:16" ht="29.25">
      <c r="A109" s="275" t="s">
        <v>11</v>
      </c>
      <c r="B109" s="60" t="s">
        <v>12</v>
      </c>
      <c r="C109" s="60" t="s">
        <v>361</v>
      </c>
      <c r="D109" s="60" t="s">
        <v>199</v>
      </c>
      <c r="E109" s="55"/>
      <c r="F109" s="55" t="s">
        <v>164</v>
      </c>
      <c r="G109" s="60" t="s">
        <v>163</v>
      </c>
      <c r="H109" s="376" t="s">
        <v>1176</v>
      </c>
      <c r="I109" s="46">
        <v>83426462</v>
      </c>
      <c r="J109" s="484" t="s">
        <v>154</v>
      </c>
      <c r="K109" s="62">
        <v>1.5</v>
      </c>
      <c r="L109" s="205">
        <f>11790-6320</f>
        <v>5470</v>
      </c>
      <c r="M109" s="201"/>
      <c r="N109" s="201"/>
      <c r="O109" s="202">
        <f t="shared" si="5"/>
        <v>5470</v>
      </c>
      <c r="P109" s="2"/>
    </row>
    <row r="110" spans="1:16" ht="29.25">
      <c r="A110" s="275" t="s">
        <v>11</v>
      </c>
      <c r="B110" s="60" t="s">
        <v>12</v>
      </c>
      <c r="C110" s="60" t="s">
        <v>361</v>
      </c>
      <c r="D110" s="55"/>
      <c r="E110" s="55"/>
      <c r="F110" s="55" t="s">
        <v>164</v>
      </c>
      <c r="G110" s="60" t="s">
        <v>163</v>
      </c>
      <c r="H110" s="376" t="s">
        <v>1177</v>
      </c>
      <c r="I110" s="46">
        <v>83426463</v>
      </c>
      <c r="J110" s="484" t="s">
        <v>154</v>
      </c>
      <c r="K110" s="62">
        <v>2.1</v>
      </c>
      <c r="L110" s="205">
        <f>11473-6248</f>
        <v>5225</v>
      </c>
      <c r="M110" s="201"/>
      <c r="N110" s="201"/>
      <c r="O110" s="202">
        <f t="shared" si="5"/>
        <v>5225</v>
      </c>
      <c r="P110" s="2"/>
    </row>
    <row r="111" spans="1:16" ht="29.25">
      <c r="A111" s="275" t="s">
        <v>11</v>
      </c>
      <c r="B111" s="60" t="s">
        <v>12</v>
      </c>
      <c r="C111" s="60" t="s">
        <v>360</v>
      </c>
      <c r="D111" s="55"/>
      <c r="E111" s="55"/>
      <c r="F111" s="55" t="s">
        <v>164</v>
      </c>
      <c r="G111" s="60" t="s">
        <v>163</v>
      </c>
      <c r="H111" s="376" t="s">
        <v>1178</v>
      </c>
      <c r="I111" s="46">
        <v>1393864</v>
      </c>
      <c r="J111" s="484" t="s">
        <v>154</v>
      </c>
      <c r="K111" s="62">
        <v>0.9</v>
      </c>
      <c r="L111" s="205">
        <f>15668-9070</f>
        <v>6598</v>
      </c>
      <c r="M111" s="201"/>
      <c r="N111" s="201"/>
      <c r="O111" s="202">
        <f t="shared" si="5"/>
        <v>6598</v>
      </c>
      <c r="P111" s="2"/>
    </row>
    <row r="112" spans="1:16" ht="29.25">
      <c r="A112" s="275" t="s">
        <v>11</v>
      </c>
      <c r="B112" s="60" t="s">
        <v>12</v>
      </c>
      <c r="C112" s="60" t="s">
        <v>366</v>
      </c>
      <c r="D112" s="55"/>
      <c r="E112" s="55"/>
      <c r="F112" s="55" t="s">
        <v>164</v>
      </c>
      <c r="G112" s="60" t="s">
        <v>163</v>
      </c>
      <c r="H112" s="376" t="s">
        <v>1179</v>
      </c>
      <c r="I112" s="46">
        <v>83426460</v>
      </c>
      <c r="J112" s="484" t="s">
        <v>154</v>
      </c>
      <c r="K112" s="62">
        <v>2.2</v>
      </c>
      <c r="L112" s="205">
        <f>9693-4700</f>
        <v>4993</v>
      </c>
      <c r="M112" s="201"/>
      <c r="N112" s="201"/>
      <c r="O112" s="202">
        <f t="shared" si="5"/>
        <v>4993</v>
      </c>
      <c r="P112" s="2"/>
    </row>
    <row r="113" spans="1:16" ht="29.25">
      <c r="A113" s="275" t="s">
        <v>11</v>
      </c>
      <c r="B113" s="60" t="s">
        <v>12</v>
      </c>
      <c r="C113" s="60" t="s">
        <v>366</v>
      </c>
      <c r="D113" s="55"/>
      <c r="E113" s="55">
        <v>22</v>
      </c>
      <c r="F113" s="55" t="s">
        <v>164</v>
      </c>
      <c r="G113" s="60" t="s">
        <v>163</v>
      </c>
      <c r="H113" s="376" t="s">
        <v>1180</v>
      </c>
      <c r="I113" s="46">
        <v>1399802</v>
      </c>
      <c r="J113" s="484" t="s">
        <v>154</v>
      </c>
      <c r="K113" s="62">
        <v>1.5</v>
      </c>
      <c r="L113" s="205">
        <f>20159-11622</f>
        <v>8537</v>
      </c>
      <c r="M113" s="201"/>
      <c r="N113" s="201"/>
      <c r="O113" s="202">
        <f t="shared" si="5"/>
        <v>8537</v>
      </c>
      <c r="P113" s="2"/>
    </row>
    <row r="114" spans="1:16" ht="29.25">
      <c r="A114" s="275" t="s">
        <v>11</v>
      </c>
      <c r="B114" s="60" t="s">
        <v>12</v>
      </c>
      <c r="C114" s="60" t="s">
        <v>366</v>
      </c>
      <c r="D114" s="55"/>
      <c r="E114" s="55"/>
      <c r="F114" s="55" t="s">
        <v>164</v>
      </c>
      <c r="G114" s="60" t="s">
        <v>163</v>
      </c>
      <c r="H114" s="376" t="s">
        <v>1181</v>
      </c>
      <c r="I114" s="46">
        <v>83426537</v>
      </c>
      <c r="J114" s="484" t="s">
        <v>154</v>
      </c>
      <c r="K114" s="62">
        <v>2.2</v>
      </c>
      <c r="L114" s="205">
        <f>10106-3500</f>
        <v>6606</v>
      </c>
      <c r="M114" s="201"/>
      <c r="N114" s="201"/>
      <c r="O114" s="202">
        <f t="shared" si="5"/>
        <v>6606</v>
      </c>
      <c r="P114" s="2"/>
    </row>
    <row r="115" spans="1:16" ht="29.25">
      <c r="A115" s="275" t="s">
        <v>11</v>
      </c>
      <c r="B115" s="60" t="s">
        <v>12</v>
      </c>
      <c r="C115" s="60" t="s">
        <v>305</v>
      </c>
      <c r="D115" s="55"/>
      <c r="E115" s="55"/>
      <c r="F115" s="55" t="s">
        <v>164</v>
      </c>
      <c r="G115" s="60" t="s">
        <v>163</v>
      </c>
      <c r="H115" s="376" t="s">
        <v>1182</v>
      </c>
      <c r="I115" s="46">
        <v>1398828</v>
      </c>
      <c r="J115" s="484" t="s">
        <v>154</v>
      </c>
      <c r="K115" s="62">
        <v>2.2</v>
      </c>
      <c r="L115" s="205">
        <f>18808-11773</f>
        <v>7035</v>
      </c>
      <c r="M115" s="201"/>
      <c r="N115" s="201"/>
      <c r="O115" s="202">
        <f t="shared" si="5"/>
        <v>7035</v>
      </c>
      <c r="P115" s="2"/>
    </row>
    <row r="116" spans="1:16" ht="29.25">
      <c r="A116" s="275" t="s">
        <v>11</v>
      </c>
      <c r="B116" s="60" t="s">
        <v>12</v>
      </c>
      <c r="C116" s="60" t="s">
        <v>305</v>
      </c>
      <c r="D116" s="55"/>
      <c r="E116" s="55"/>
      <c r="F116" s="55" t="s">
        <v>164</v>
      </c>
      <c r="G116" s="60" t="s">
        <v>163</v>
      </c>
      <c r="H116" s="376" t="s">
        <v>1183</v>
      </c>
      <c r="I116" s="46">
        <v>83425927</v>
      </c>
      <c r="J116" s="484" t="s">
        <v>154</v>
      </c>
      <c r="K116" s="62">
        <v>2.2</v>
      </c>
      <c r="L116" s="205">
        <f>31133-17012</f>
        <v>14121</v>
      </c>
      <c r="M116" s="201"/>
      <c r="N116" s="201"/>
      <c r="O116" s="202">
        <f t="shared" si="5"/>
        <v>14121</v>
      </c>
      <c r="P116" s="2"/>
    </row>
    <row r="117" spans="1:16" ht="29.25">
      <c r="A117" s="275" t="s">
        <v>11</v>
      </c>
      <c r="B117" s="60" t="s">
        <v>12</v>
      </c>
      <c r="C117" s="60" t="s">
        <v>1949</v>
      </c>
      <c r="D117" s="60" t="s">
        <v>1723</v>
      </c>
      <c r="E117" s="55"/>
      <c r="F117" s="55" t="s">
        <v>164</v>
      </c>
      <c r="G117" s="60" t="s">
        <v>163</v>
      </c>
      <c r="H117" s="376" t="s">
        <v>1080</v>
      </c>
      <c r="I117" s="46">
        <v>1404293</v>
      </c>
      <c r="J117" s="484" t="s">
        <v>154</v>
      </c>
      <c r="K117" s="62">
        <v>3</v>
      </c>
      <c r="L117" s="205">
        <f>15783-10489</f>
        <v>5294</v>
      </c>
      <c r="M117" s="201"/>
      <c r="N117" s="201"/>
      <c r="O117" s="202">
        <f t="shared" si="5"/>
        <v>5294</v>
      </c>
      <c r="P117" s="2"/>
    </row>
    <row r="118" spans="1:16" ht="29.25">
      <c r="A118" s="275" t="s">
        <v>11</v>
      </c>
      <c r="B118" s="60" t="s">
        <v>12</v>
      </c>
      <c r="C118" s="60" t="s">
        <v>367</v>
      </c>
      <c r="D118" s="55"/>
      <c r="E118" s="55"/>
      <c r="F118" s="55" t="s">
        <v>164</v>
      </c>
      <c r="G118" s="60" t="s">
        <v>163</v>
      </c>
      <c r="H118" s="376" t="s">
        <v>1081</v>
      </c>
      <c r="I118" s="46">
        <v>83426435</v>
      </c>
      <c r="J118" s="484" t="s">
        <v>154</v>
      </c>
      <c r="K118" s="62">
        <v>1.4</v>
      </c>
      <c r="L118" s="205">
        <f>17161-9107</f>
        <v>8054</v>
      </c>
      <c r="M118" s="201"/>
      <c r="N118" s="201"/>
      <c r="O118" s="202">
        <f t="shared" si="5"/>
        <v>8054</v>
      </c>
      <c r="P118" s="2"/>
    </row>
    <row r="119" spans="1:19" ht="29.25">
      <c r="A119" s="275" t="s">
        <v>11</v>
      </c>
      <c r="B119" s="60" t="s">
        <v>12</v>
      </c>
      <c r="C119" s="60" t="s">
        <v>355</v>
      </c>
      <c r="D119" s="55"/>
      <c r="E119" s="55"/>
      <c r="F119" s="55" t="s">
        <v>164</v>
      </c>
      <c r="G119" s="60" t="s">
        <v>163</v>
      </c>
      <c r="H119" s="376" t="s">
        <v>1165</v>
      </c>
      <c r="I119" s="46">
        <v>1494941</v>
      </c>
      <c r="J119" s="484" t="s">
        <v>154</v>
      </c>
      <c r="K119" s="408">
        <v>0.3</v>
      </c>
      <c r="L119" s="205">
        <f>2883-1582</f>
        <v>1301</v>
      </c>
      <c r="M119" s="201"/>
      <c r="N119" s="201"/>
      <c r="O119" s="202">
        <f aca="true" t="shared" si="6" ref="O119:O125">L119</f>
        <v>1301</v>
      </c>
      <c r="P119" s="2"/>
      <c r="S119" s="21"/>
    </row>
    <row r="120" spans="1:16" ht="29.25">
      <c r="A120" s="275" t="s">
        <v>11</v>
      </c>
      <c r="B120" s="60" t="s">
        <v>12</v>
      </c>
      <c r="C120" s="60" t="s">
        <v>338</v>
      </c>
      <c r="D120" s="55"/>
      <c r="E120" s="55"/>
      <c r="F120" s="55" t="s">
        <v>164</v>
      </c>
      <c r="G120" s="60" t="s">
        <v>163</v>
      </c>
      <c r="H120" s="376" t="s">
        <v>1140</v>
      </c>
      <c r="I120" s="46">
        <v>1387592</v>
      </c>
      <c r="J120" s="484" t="s">
        <v>154</v>
      </c>
      <c r="K120" s="408">
        <v>3.7</v>
      </c>
      <c r="L120" s="205">
        <f>56487-35172</f>
        <v>21315</v>
      </c>
      <c r="M120" s="201"/>
      <c r="N120" s="201"/>
      <c r="O120" s="202">
        <f t="shared" si="6"/>
        <v>21315</v>
      </c>
      <c r="P120" s="2"/>
    </row>
    <row r="121" spans="1:16" ht="29.25">
      <c r="A121" s="275" t="s">
        <v>11</v>
      </c>
      <c r="B121" s="60" t="s">
        <v>12</v>
      </c>
      <c r="C121" s="60" t="s">
        <v>332</v>
      </c>
      <c r="D121" s="55"/>
      <c r="E121" s="55"/>
      <c r="F121" s="55" t="s">
        <v>164</v>
      </c>
      <c r="G121" s="60" t="s">
        <v>163</v>
      </c>
      <c r="H121" s="376" t="s">
        <v>1126</v>
      </c>
      <c r="I121" s="46">
        <v>90695786</v>
      </c>
      <c r="J121" s="484" t="s">
        <v>154</v>
      </c>
      <c r="K121" s="62">
        <v>1</v>
      </c>
      <c r="L121" s="205">
        <f>4729-1665</f>
        <v>3064</v>
      </c>
      <c r="M121" s="201"/>
      <c r="N121" s="201"/>
      <c r="O121" s="202">
        <f t="shared" si="6"/>
        <v>3064</v>
      </c>
      <c r="P121" s="2"/>
    </row>
    <row r="122" spans="1:16" ht="29.25">
      <c r="A122" s="275" t="s">
        <v>11</v>
      </c>
      <c r="B122" s="60" t="s">
        <v>12</v>
      </c>
      <c r="C122" s="60" t="s">
        <v>333</v>
      </c>
      <c r="D122" s="60" t="s">
        <v>139</v>
      </c>
      <c r="E122" s="55"/>
      <c r="F122" s="55" t="s">
        <v>164</v>
      </c>
      <c r="G122" s="60" t="s">
        <v>163</v>
      </c>
      <c r="H122" s="376" t="s">
        <v>1128</v>
      </c>
      <c r="I122" s="46">
        <v>83425933</v>
      </c>
      <c r="J122" s="484" t="s">
        <v>154</v>
      </c>
      <c r="K122" s="207">
        <v>0.7</v>
      </c>
      <c r="L122" s="205">
        <f>7086-3943</f>
        <v>3143</v>
      </c>
      <c r="M122" s="201"/>
      <c r="N122" s="201"/>
      <c r="O122" s="202">
        <f t="shared" si="6"/>
        <v>3143</v>
      </c>
      <c r="P122" s="2"/>
    </row>
    <row r="123" spans="1:16" ht="29.25">
      <c r="A123" s="275" t="s">
        <v>11</v>
      </c>
      <c r="B123" s="64" t="s">
        <v>12</v>
      </c>
      <c r="C123" s="64" t="s">
        <v>368</v>
      </c>
      <c r="D123" s="56"/>
      <c r="E123" s="56"/>
      <c r="F123" s="55" t="s">
        <v>164</v>
      </c>
      <c r="G123" s="60" t="s">
        <v>163</v>
      </c>
      <c r="H123" s="376" t="s">
        <v>1106</v>
      </c>
      <c r="I123" s="46">
        <v>1403588</v>
      </c>
      <c r="J123" s="484" t="s">
        <v>154</v>
      </c>
      <c r="K123" s="62">
        <v>2.2</v>
      </c>
      <c r="L123" s="205">
        <f>17999-11595</f>
        <v>6404</v>
      </c>
      <c r="M123" s="201"/>
      <c r="N123" s="201"/>
      <c r="O123" s="202">
        <f t="shared" si="6"/>
        <v>6404</v>
      </c>
      <c r="P123" s="2"/>
    </row>
    <row r="124" spans="1:16" ht="29.25">
      <c r="A124" s="275" t="s">
        <v>11</v>
      </c>
      <c r="B124" s="60" t="s">
        <v>12</v>
      </c>
      <c r="C124" s="60" t="s">
        <v>310</v>
      </c>
      <c r="D124" s="60" t="s">
        <v>369</v>
      </c>
      <c r="E124" s="55">
        <v>178</v>
      </c>
      <c r="F124" s="55" t="s">
        <v>164</v>
      </c>
      <c r="G124" s="60" t="s">
        <v>163</v>
      </c>
      <c r="H124" s="376" t="s">
        <v>1164</v>
      </c>
      <c r="I124" s="46">
        <v>1403587</v>
      </c>
      <c r="J124" s="484" t="s">
        <v>154</v>
      </c>
      <c r="K124" s="62">
        <v>3.3</v>
      </c>
      <c r="L124" s="205">
        <f>14105-5448</f>
        <v>8657</v>
      </c>
      <c r="M124" s="201"/>
      <c r="N124" s="201"/>
      <c r="O124" s="202">
        <f t="shared" si="6"/>
        <v>8657</v>
      </c>
      <c r="P124" s="2"/>
    </row>
    <row r="125" spans="1:16" ht="29.25">
      <c r="A125" s="274" t="s">
        <v>11</v>
      </c>
      <c r="B125" s="185" t="s">
        <v>1302</v>
      </c>
      <c r="C125" s="206" t="s">
        <v>331</v>
      </c>
      <c r="D125" s="198" t="s">
        <v>81</v>
      </c>
      <c r="E125" s="209"/>
      <c r="F125" s="42" t="s">
        <v>164</v>
      </c>
      <c r="G125" s="23" t="s">
        <v>163</v>
      </c>
      <c r="H125" s="482" t="s">
        <v>1728</v>
      </c>
      <c r="I125" s="241">
        <v>1404288</v>
      </c>
      <c r="J125" s="484" t="s">
        <v>154</v>
      </c>
      <c r="K125" s="207">
        <v>2.9</v>
      </c>
      <c r="L125" s="205">
        <f>20477-11220</f>
        <v>9257</v>
      </c>
      <c r="M125" s="201"/>
      <c r="N125" s="201"/>
      <c r="O125" s="202">
        <f t="shared" si="6"/>
        <v>9257</v>
      </c>
      <c r="P125" s="2"/>
    </row>
    <row r="126" spans="1:16" ht="29.25">
      <c r="A126" s="275" t="s">
        <v>11</v>
      </c>
      <c r="B126" s="184" t="s">
        <v>1302</v>
      </c>
      <c r="C126" s="184" t="s">
        <v>334</v>
      </c>
      <c r="D126" s="61"/>
      <c r="E126" s="208"/>
      <c r="F126" s="46" t="s">
        <v>164</v>
      </c>
      <c r="G126" s="27" t="s">
        <v>163</v>
      </c>
      <c r="H126" s="478" t="s">
        <v>1729</v>
      </c>
      <c r="I126" s="72">
        <v>1398819</v>
      </c>
      <c r="J126" s="157" t="s">
        <v>154</v>
      </c>
      <c r="K126" s="204">
        <v>0.4</v>
      </c>
      <c r="L126" s="205">
        <f>8488-7638</f>
        <v>850</v>
      </c>
      <c r="M126" s="201"/>
      <c r="N126" s="201"/>
      <c r="O126" s="202">
        <f>L126</f>
        <v>850</v>
      </c>
      <c r="P126" s="2"/>
    </row>
    <row r="127" spans="1:16" ht="29.25">
      <c r="A127" s="275" t="s">
        <v>11</v>
      </c>
      <c r="B127" s="184" t="s">
        <v>1302</v>
      </c>
      <c r="C127" s="184" t="s">
        <v>316</v>
      </c>
      <c r="D127" s="61" t="s">
        <v>363</v>
      </c>
      <c r="E127" s="55"/>
      <c r="F127" s="46" t="s">
        <v>164</v>
      </c>
      <c r="G127" s="27" t="s">
        <v>163</v>
      </c>
      <c r="H127" s="478" t="s">
        <v>1726</v>
      </c>
      <c r="I127" s="72">
        <v>83426488</v>
      </c>
      <c r="J127" s="157" t="s">
        <v>154</v>
      </c>
      <c r="K127" s="204">
        <v>0.5</v>
      </c>
      <c r="L127" s="205">
        <f>7296-3109</f>
        <v>4187</v>
      </c>
      <c r="M127" s="201"/>
      <c r="N127" s="201"/>
      <c r="O127" s="202">
        <f>L127</f>
        <v>4187</v>
      </c>
      <c r="P127" s="2"/>
    </row>
    <row r="128" spans="1:16" ht="29.25">
      <c r="A128" s="275" t="s">
        <v>11</v>
      </c>
      <c r="B128" s="184" t="s">
        <v>1302</v>
      </c>
      <c r="C128" s="184" t="s">
        <v>163</v>
      </c>
      <c r="D128" s="61" t="s">
        <v>1303</v>
      </c>
      <c r="E128" s="55"/>
      <c r="F128" s="46" t="s">
        <v>164</v>
      </c>
      <c r="G128" s="27" t="s">
        <v>163</v>
      </c>
      <c r="H128" s="478" t="s">
        <v>1724</v>
      </c>
      <c r="I128" s="72">
        <v>90695874</v>
      </c>
      <c r="J128" s="157" t="s">
        <v>154</v>
      </c>
      <c r="K128" s="204">
        <v>12</v>
      </c>
      <c r="L128" s="205">
        <f>34123-9350</f>
        <v>24773</v>
      </c>
      <c r="M128" s="201"/>
      <c r="N128" s="201"/>
      <c r="O128" s="202">
        <f>SUM(L128:N128)</f>
        <v>24773</v>
      </c>
      <c r="P128" s="2"/>
    </row>
    <row r="129" spans="1:16" ht="43.5">
      <c r="A129" s="275" t="s">
        <v>11</v>
      </c>
      <c r="B129" s="330" t="s">
        <v>1304</v>
      </c>
      <c r="C129" s="330" t="s">
        <v>316</v>
      </c>
      <c r="D129" s="331" t="s">
        <v>209</v>
      </c>
      <c r="E129" s="56"/>
      <c r="F129" s="46" t="s">
        <v>164</v>
      </c>
      <c r="G129" s="27" t="s">
        <v>163</v>
      </c>
      <c r="H129" s="478" t="s">
        <v>1725</v>
      </c>
      <c r="I129" s="72">
        <v>90695804</v>
      </c>
      <c r="J129" s="483" t="s">
        <v>154</v>
      </c>
      <c r="K129" s="204">
        <v>20</v>
      </c>
      <c r="L129" s="205">
        <f>71571-22420</f>
        <v>49151</v>
      </c>
      <c r="M129" s="201"/>
      <c r="N129" s="201"/>
      <c r="O129" s="202">
        <f>SUM(L129:N129)</f>
        <v>49151</v>
      </c>
      <c r="P129" s="2"/>
    </row>
    <row r="130" spans="1:16" ht="29.25">
      <c r="A130" s="400" t="s">
        <v>11</v>
      </c>
      <c r="B130" s="32" t="s">
        <v>12</v>
      </c>
      <c r="C130" s="32" t="s">
        <v>351</v>
      </c>
      <c r="D130" s="32" t="s">
        <v>1723</v>
      </c>
      <c r="E130" s="32" t="s">
        <v>371</v>
      </c>
      <c r="F130" s="49" t="s">
        <v>164</v>
      </c>
      <c r="G130" s="32" t="s">
        <v>163</v>
      </c>
      <c r="H130" s="377" t="s">
        <v>1185</v>
      </c>
      <c r="I130" s="49">
        <v>1404282</v>
      </c>
      <c r="J130" s="483" t="s">
        <v>154</v>
      </c>
      <c r="K130" s="479">
        <v>0.4</v>
      </c>
      <c r="L130" s="205">
        <f>12148-8196</f>
        <v>3952</v>
      </c>
      <c r="M130" s="201"/>
      <c r="N130" s="201"/>
      <c r="O130" s="202">
        <f>SUM(L130:N130)</f>
        <v>3952</v>
      </c>
      <c r="P130" s="2"/>
    </row>
    <row r="131" spans="1:16" ht="29.25">
      <c r="A131" s="275" t="s">
        <v>11</v>
      </c>
      <c r="B131" s="32" t="s">
        <v>12</v>
      </c>
      <c r="C131" s="32" t="s">
        <v>357</v>
      </c>
      <c r="D131" s="32" t="s">
        <v>191</v>
      </c>
      <c r="E131" s="32"/>
      <c r="F131" s="46" t="s">
        <v>164</v>
      </c>
      <c r="G131" s="27" t="s">
        <v>163</v>
      </c>
      <c r="H131" s="478" t="s">
        <v>1932</v>
      </c>
      <c r="I131" s="46">
        <v>1441106</v>
      </c>
      <c r="J131" s="157" t="s">
        <v>154</v>
      </c>
      <c r="K131" s="48">
        <v>1.1</v>
      </c>
      <c r="L131" s="30">
        <f>15756-2916</f>
        <v>12840</v>
      </c>
      <c r="M131" s="201"/>
      <c r="N131" s="201"/>
      <c r="O131" s="30">
        <f aca="true" t="shared" si="7" ref="O131:O148">L131</f>
        <v>12840</v>
      </c>
      <c r="P131" s="2"/>
    </row>
    <row r="132" spans="1:16" ht="29.25">
      <c r="A132" s="275" t="s">
        <v>11</v>
      </c>
      <c r="B132" s="32" t="s">
        <v>12</v>
      </c>
      <c r="C132" s="32" t="s">
        <v>321</v>
      </c>
      <c r="D132" s="32" t="s">
        <v>504</v>
      </c>
      <c r="E132" s="32"/>
      <c r="F132" s="49" t="s">
        <v>164</v>
      </c>
      <c r="G132" s="27" t="s">
        <v>163</v>
      </c>
      <c r="H132" s="478" t="s">
        <v>1933</v>
      </c>
      <c r="I132" s="46">
        <v>1502946</v>
      </c>
      <c r="J132" s="157" t="s">
        <v>154</v>
      </c>
      <c r="K132" s="48">
        <v>3</v>
      </c>
      <c r="L132" s="30">
        <f>3100-493</f>
        <v>2607</v>
      </c>
      <c r="M132" s="201"/>
      <c r="N132" s="201"/>
      <c r="O132" s="30">
        <f t="shared" si="7"/>
        <v>2607</v>
      </c>
      <c r="P132" s="2"/>
    </row>
    <row r="133" spans="1:16" ht="29.25">
      <c r="A133" s="275" t="s">
        <v>11</v>
      </c>
      <c r="B133" s="32" t="s">
        <v>12</v>
      </c>
      <c r="C133" s="32" t="s">
        <v>316</v>
      </c>
      <c r="D133" s="32" t="s">
        <v>1934</v>
      </c>
      <c r="E133" s="32"/>
      <c r="F133" s="46" t="s">
        <v>164</v>
      </c>
      <c r="G133" s="27" t="s">
        <v>163</v>
      </c>
      <c r="H133" s="478" t="s">
        <v>1935</v>
      </c>
      <c r="I133" s="46">
        <v>1502949</v>
      </c>
      <c r="J133" s="157" t="s">
        <v>154</v>
      </c>
      <c r="K133" s="48">
        <v>0.3</v>
      </c>
      <c r="L133" s="30">
        <f>2659-1199</f>
        <v>1460</v>
      </c>
      <c r="M133" s="201"/>
      <c r="N133" s="201"/>
      <c r="O133" s="30">
        <f t="shared" si="7"/>
        <v>1460</v>
      </c>
      <c r="P133" s="2"/>
    </row>
    <row r="134" spans="1:16" ht="29.25">
      <c r="A134" s="275" t="s">
        <v>11</v>
      </c>
      <c r="B134" s="32" t="s">
        <v>12</v>
      </c>
      <c r="C134" s="32" t="s">
        <v>316</v>
      </c>
      <c r="D134" s="32" t="s">
        <v>1934</v>
      </c>
      <c r="E134" s="32"/>
      <c r="F134" s="49" t="s">
        <v>164</v>
      </c>
      <c r="G134" s="27" t="s">
        <v>163</v>
      </c>
      <c r="H134" s="478" t="s">
        <v>1936</v>
      </c>
      <c r="I134" s="46">
        <v>1442091</v>
      </c>
      <c r="J134" s="157" t="s">
        <v>154</v>
      </c>
      <c r="K134" s="48">
        <v>0.5</v>
      </c>
      <c r="L134" s="30">
        <f>3422-2350</f>
        <v>1072</v>
      </c>
      <c r="M134" s="201"/>
      <c r="N134" s="201"/>
      <c r="O134" s="30">
        <f t="shared" si="7"/>
        <v>1072</v>
      </c>
      <c r="P134" s="2"/>
    </row>
    <row r="135" spans="1:16" ht="29.25">
      <c r="A135" s="275" t="s">
        <v>11</v>
      </c>
      <c r="B135" s="32" t="s">
        <v>12</v>
      </c>
      <c r="C135" s="32" t="s">
        <v>321</v>
      </c>
      <c r="D135" s="32"/>
      <c r="E135" s="32"/>
      <c r="F135" s="49" t="s">
        <v>164</v>
      </c>
      <c r="G135" s="27" t="s">
        <v>163</v>
      </c>
      <c r="H135" s="478" t="s">
        <v>1937</v>
      </c>
      <c r="I135" s="46">
        <v>83953689</v>
      </c>
      <c r="J135" s="157" t="s">
        <v>154</v>
      </c>
      <c r="K135" s="48">
        <v>0.2</v>
      </c>
      <c r="L135" s="30">
        <f>98*12</f>
        <v>1176</v>
      </c>
      <c r="M135" s="201"/>
      <c r="N135" s="201"/>
      <c r="O135" s="30">
        <f t="shared" si="7"/>
        <v>1176</v>
      </c>
      <c r="P135" s="2"/>
    </row>
    <row r="136" spans="1:16" ht="29.25">
      <c r="A136" s="275" t="s">
        <v>11</v>
      </c>
      <c r="B136" s="32" t="s">
        <v>12</v>
      </c>
      <c r="C136" s="32" t="s">
        <v>321</v>
      </c>
      <c r="D136" s="32"/>
      <c r="E136" s="32"/>
      <c r="F136" s="49" t="s">
        <v>164</v>
      </c>
      <c r="G136" s="27" t="s">
        <v>163</v>
      </c>
      <c r="H136" s="478" t="s">
        <v>1938</v>
      </c>
      <c r="I136" s="46">
        <v>1503043</v>
      </c>
      <c r="J136" s="157" t="s">
        <v>154</v>
      </c>
      <c r="K136" s="48">
        <v>1.1</v>
      </c>
      <c r="L136" s="30">
        <f>9265-3050</f>
        <v>6215</v>
      </c>
      <c r="M136" s="201"/>
      <c r="N136" s="201"/>
      <c r="O136" s="30">
        <f t="shared" si="7"/>
        <v>6215</v>
      </c>
      <c r="P136" s="2"/>
    </row>
    <row r="137" spans="1:16" ht="29.25">
      <c r="A137" s="275" t="s">
        <v>11</v>
      </c>
      <c r="B137" s="32" t="s">
        <v>12</v>
      </c>
      <c r="C137" s="32" t="s">
        <v>333</v>
      </c>
      <c r="D137" s="32" t="s">
        <v>1697</v>
      </c>
      <c r="E137" s="32"/>
      <c r="F137" s="49" t="s">
        <v>164</v>
      </c>
      <c r="G137" s="27" t="s">
        <v>163</v>
      </c>
      <c r="H137" s="478" t="s">
        <v>1939</v>
      </c>
      <c r="I137" s="46">
        <v>1494593</v>
      </c>
      <c r="J137" s="157" t="s">
        <v>154</v>
      </c>
      <c r="K137" s="48">
        <v>2</v>
      </c>
      <c r="L137" s="30">
        <f>9800-722</f>
        <v>9078</v>
      </c>
      <c r="M137" s="201"/>
      <c r="N137" s="201"/>
      <c r="O137" s="30">
        <f t="shared" si="7"/>
        <v>9078</v>
      </c>
      <c r="P137" s="2"/>
    </row>
    <row r="138" spans="1:16" ht="29.25">
      <c r="A138" s="275" t="s">
        <v>11</v>
      </c>
      <c r="B138" s="32" t="s">
        <v>12</v>
      </c>
      <c r="C138" s="32" t="s">
        <v>1940</v>
      </c>
      <c r="D138" s="32" t="s">
        <v>61</v>
      </c>
      <c r="E138" s="32"/>
      <c r="F138" s="49" t="s">
        <v>164</v>
      </c>
      <c r="G138" s="27" t="s">
        <v>163</v>
      </c>
      <c r="H138" s="478" t="s">
        <v>1941</v>
      </c>
      <c r="I138" s="46">
        <v>83638305</v>
      </c>
      <c r="J138" s="157" t="s">
        <v>154</v>
      </c>
      <c r="K138" s="48">
        <v>0.5</v>
      </c>
      <c r="L138" s="30">
        <f>1322-109</f>
        <v>1213</v>
      </c>
      <c r="M138" s="201"/>
      <c r="N138" s="201"/>
      <c r="O138" s="30">
        <f t="shared" si="7"/>
        <v>1213</v>
      </c>
      <c r="P138" s="2"/>
    </row>
    <row r="139" spans="1:16" ht="29.25">
      <c r="A139" s="275" t="s">
        <v>11</v>
      </c>
      <c r="B139" s="32" t="s">
        <v>12</v>
      </c>
      <c r="C139" s="32" t="s">
        <v>316</v>
      </c>
      <c r="D139" s="32" t="s">
        <v>339</v>
      </c>
      <c r="E139" s="32"/>
      <c r="F139" s="49" t="s">
        <v>164</v>
      </c>
      <c r="G139" s="27" t="s">
        <v>163</v>
      </c>
      <c r="H139" s="478" t="s">
        <v>1942</v>
      </c>
      <c r="I139" s="46">
        <v>1577794</v>
      </c>
      <c r="J139" s="485" t="s">
        <v>154</v>
      </c>
      <c r="K139" s="48">
        <v>2.3</v>
      </c>
      <c r="L139" s="30">
        <f>9406-1248</f>
        <v>8158</v>
      </c>
      <c r="M139" s="201"/>
      <c r="N139" s="201"/>
      <c r="O139" s="30">
        <f t="shared" si="7"/>
        <v>8158</v>
      </c>
      <c r="P139" s="2"/>
    </row>
    <row r="140" spans="1:16" ht="29.25">
      <c r="A140" s="400" t="s">
        <v>11</v>
      </c>
      <c r="B140" s="32" t="s">
        <v>12</v>
      </c>
      <c r="C140" s="32" t="s">
        <v>305</v>
      </c>
      <c r="D140" s="32" t="s">
        <v>61</v>
      </c>
      <c r="E140" s="32"/>
      <c r="F140" s="49" t="s">
        <v>164</v>
      </c>
      <c r="G140" s="32" t="s">
        <v>163</v>
      </c>
      <c r="H140" s="480" t="s">
        <v>1943</v>
      </c>
      <c r="I140" s="49">
        <v>1494596</v>
      </c>
      <c r="J140" s="486" t="s">
        <v>154</v>
      </c>
      <c r="K140" s="479">
        <v>0.3</v>
      </c>
      <c r="L140" s="162">
        <f>3995-2104</f>
        <v>1891</v>
      </c>
      <c r="M140" s="481"/>
      <c r="N140" s="481"/>
      <c r="O140" s="162">
        <f t="shared" si="7"/>
        <v>1891</v>
      </c>
      <c r="P140" s="2"/>
    </row>
    <row r="141" spans="1:16" ht="29.25">
      <c r="A141" s="275" t="s">
        <v>11</v>
      </c>
      <c r="B141" s="27" t="s">
        <v>12</v>
      </c>
      <c r="C141" s="27" t="s">
        <v>1940</v>
      </c>
      <c r="D141" s="27" t="s">
        <v>61</v>
      </c>
      <c r="E141" s="27"/>
      <c r="F141" s="49" t="s">
        <v>164</v>
      </c>
      <c r="G141" s="27" t="s">
        <v>163</v>
      </c>
      <c r="H141" s="478" t="s">
        <v>1944</v>
      </c>
      <c r="I141" s="46">
        <v>1403680</v>
      </c>
      <c r="J141" s="485" t="s">
        <v>154</v>
      </c>
      <c r="K141" s="48">
        <v>2</v>
      </c>
      <c r="L141" s="30">
        <f>4522-522</f>
        <v>4000</v>
      </c>
      <c r="M141" s="201"/>
      <c r="N141" s="201"/>
      <c r="O141" s="30">
        <f t="shared" si="7"/>
        <v>4000</v>
      </c>
      <c r="P141" s="2"/>
    </row>
    <row r="142" spans="1:16" ht="29.25">
      <c r="A142" s="275" t="s">
        <v>11</v>
      </c>
      <c r="B142" s="27" t="s">
        <v>12</v>
      </c>
      <c r="C142" s="27" t="s">
        <v>321</v>
      </c>
      <c r="D142" s="27" t="s">
        <v>504</v>
      </c>
      <c r="E142" s="27"/>
      <c r="F142" s="49" t="s">
        <v>164</v>
      </c>
      <c r="G142" s="27" t="s">
        <v>163</v>
      </c>
      <c r="H142" s="478" t="s">
        <v>1945</v>
      </c>
      <c r="I142" s="46">
        <v>1403390</v>
      </c>
      <c r="J142" s="485" t="s">
        <v>154</v>
      </c>
      <c r="K142" s="48">
        <v>3</v>
      </c>
      <c r="L142" s="30">
        <f>10636-1321</f>
        <v>9315</v>
      </c>
      <c r="M142" s="201"/>
      <c r="N142" s="201"/>
      <c r="O142" s="30">
        <f t="shared" si="7"/>
        <v>9315</v>
      </c>
      <c r="P142" s="2"/>
    </row>
    <row r="143" spans="1:16" ht="29.25">
      <c r="A143" s="275" t="s">
        <v>11</v>
      </c>
      <c r="B143" s="27" t="s">
        <v>12</v>
      </c>
      <c r="C143" s="27" t="s">
        <v>366</v>
      </c>
      <c r="D143" s="27"/>
      <c r="E143" s="27"/>
      <c r="F143" s="49" t="s">
        <v>164</v>
      </c>
      <c r="G143" s="32" t="s">
        <v>163</v>
      </c>
      <c r="H143" s="478" t="s">
        <v>1946</v>
      </c>
      <c r="I143" s="46">
        <v>83638354</v>
      </c>
      <c r="J143" s="485" t="s">
        <v>154</v>
      </c>
      <c r="K143" s="48">
        <v>1</v>
      </c>
      <c r="L143" s="30">
        <f>3652-218</f>
        <v>3434</v>
      </c>
      <c r="M143" s="201"/>
      <c r="N143" s="201"/>
      <c r="O143" s="30">
        <f t="shared" si="7"/>
        <v>3434</v>
      </c>
      <c r="P143" s="2"/>
    </row>
    <row r="144" spans="1:16" ht="57.75">
      <c r="A144" s="275" t="s">
        <v>11</v>
      </c>
      <c r="B144" s="27" t="s">
        <v>12</v>
      </c>
      <c r="C144" s="27" t="s">
        <v>305</v>
      </c>
      <c r="D144" s="27"/>
      <c r="E144" s="27" t="s">
        <v>1947</v>
      </c>
      <c r="F144" s="49" t="s">
        <v>164</v>
      </c>
      <c r="G144" s="27" t="s">
        <v>163</v>
      </c>
      <c r="H144" s="478" t="s">
        <v>1948</v>
      </c>
      <c r="I144" s="46">
        <v>83746675</v>
      </c>
      <c r="J144" s="485" t="s">
        <v>154</v>
      </c>
      <c r="K144" s="48">
        <v>3</v>
      </c>
      <c r="L144" s="30">
        <f>2055-105</f>
        <v>1950</v>
      </c>
      <c r="M144" s="201"/>
      <c r="N144" s="201"/>
      <c r="O144" s="30">
        <f t="shared" si="7"/>
        <v>1950</v>
      </c>
      <c r="P144" s="2"/>
    </row>
    <row r="145" spans="1:16" ht="28.5">
      <c r="A145" s="275" t="s">
        <v>11</v>
      </c>
      <c r="B145" s="184" t="s">
        <v>1730</v>
      </c>
      <c r="C145" s="280" t="s">
        <v>351</v>
      </c>
      <c r="D145" s="184" t="s">
        <v>2085</v>
      </c>
      <c r="E145" s="61"/>
      <c r="F145" s="61" t="s">
        <v>164</v>
      </c>
      <c r="G145" s="314" t="s">
        <v>163</v>
      </c>
      <c r="H145" s="376" t="s">
        <v>1786</v>
      </c>
      <c r="I145" s="313">
        <v>1398832</v>
      </c>
      <c r="J145" s="316" t="s">
        <v>154</v>
      </c>
      <c r="K145" s="315">
        <v>2</v>
      </c>
      <c r="L145" s="30">
        <f>14509-8340</f>
        <v>6169</v>
      </c>
      <c r="M145" s="201"/>
      <c r="N145" s="201"/>
      <c r="O145" s="30">
        <f t="shared" si="7"/>
        <v>6169</v>
      </c>
      <c r="P145" s="2"/>
    </row>
    <row r="146" spans="1:16" ht="28.5">
      <c r="A146" s="275" t="s">
        <v>11</v>
      </c>
      <c r="B146" s="184" t="s">
        <v>1730</v>
      </c>
      <c r="C146" s="280" t="s">
        <v>367</v>
      </c>
      <c r="D146" s="61"/>
      <c r="E146" s="61"/>
      <c r="F146" s="61" t="s">
        <v>164</v>
      </c>
      <c r="G146" s="314" t="s">
        <v>163</v>
      </c>
      <c r="H146" s="376" t="s">
        <v>1787</v>
      </c>
      <c r="I146" s="313">
        <v>83426426</v>
      </c>
      <c r="J146" s="316" t="s">
        <v>154</v>
      </c>
      <c r="K146" s="315">
        <v>3</v>
      </c>
      <c r="L146" s="205">
        <f>7534-4071</f>
        <v>3463</v>
      </c>
      <c r="M146" s="201"/>
      <c r="N146" s="201"/>
      <c r="O146" s="202">
        <f t="shared" si="7"/>
        <v>3463</v>
      </c>
      <c r="P146" s="2"/>
    </row>
    <row r="147" spans="1:16" ht="28.5">
      <c r="A147" s="275" t="s">
        <v>11</v>
      </c>
      <c r="B147" s="184" t="s">
        <v>1730</v>
      </c>
      <c r="C147" s="280" t="s">
        <v>313</v>
      </c>
      <c r="D147" s="61"/>
      <c r="E147" s="61"/>
      <c r="F147" s="61" t="s">
        <v>164</v>
      </c>
      <c r="G147" s="314" t="s">
        <v>163</v>
      </c>
      <c r="H147" s="376" t="s">
        <v>1788</v>
      </c>
      <c r="I147" s="313">
        <v>83426545</v>
      </c>
      <c r="J147" s="316" t="s">
        <v>154</v>
      </c>
      <c r="K147" s="315">
        <v>3</v>
      </c>
      <c r="L147" s="205">
        <f>6736-3527</f>
        <v>3209</v>
      </c>
      <c r="M147" s="201"/>
      <c r="N147" s="201"/>
      <c r="O147" s="202">
        <f t="shared" si="7"/>
        <v>3209</v>
      </c>
      <c r="P147" s="2"/>
    </row>
    <row r="148" spans="1:16" ht="28.5">
      <c r="A148" s="275" t="s">
        <v>11</v>
      </c>
      <c r="B148" s="184" t="s">
        <v>1730</v>
      </c>
      <c r="C148" s="280" t="s">
        <v>315</v>
      </c>
      <c r="D148" s="61"/>
      <c r="E148" s="61"/>
      <c r="F148" s="61" t="s">
        <v>164</v>
      </c>
      <c r="G148" s="314" t="s">
        <v>163</v>
      </c>
      <c r="H148" s="376" t="s">
        <v>1789</v>
      </c>
      <c r="I148" s="313">
        <v>83426009</v>
      </c>
      <c r="J148" s="316" t="s">
        <v>154</v>
      </c>
      <c r="K148" s="315">
        <v>1</v>
      </c>
      <c r="L148" s="205">
        <f>10883-5936</f>
        <v>4947</v>
      </c>
      <c r="M148" s="201"/>
      <c r="N148" s="201"/>
      <c r="O148" s="202">
        <f t="shared" si="7"/>
        <v>4947</v>
      </c>
      <c r="P148" s="2"/>
    </row>
    <row r="149" spans="1:16" ht="28.5">
      <c r="A149" s="275" t="s">
        <v>11</v>
      </c>
      <c r="B149" s="185" t="s">
        <v>1730</v>
      </c>
      <c r="C149" s="319" t="s">
        <v>342</v>
      </c>
      <c r="D149" s="198" t="s">
        <v>137</v>
      </c>
      <c r="E149" s="198"/>
      <c r="F149" s="198" t="s">
        <v>164</v>
      </c>
      <c r="G149" s="326" t="s">
        <v>163</v>
      </c>
      <c r="H149" s="376" t="s">
        <v>1790</v>
      </c>
      <c r="I149" s="327">
        <v>1382666</v>
      </c>
      <c r="J149" s="316" t="s">
        <v>154</v>
      </c>
      <c r="K149" s="328">
        <v>3</v>
      </c>
      <c r="L149" s="205">
        <f>4160-3209</f>
        <v>951</v>
      </c>
      <c r="M149" s="201"/>
      <c r="N149" s="201"/>
      <c r="O149" s="202">
        <f aca="true" t="shared" si="8" ref="O149:O156">L149</f>
        <v>951</v>
      </c>
      <c r="P149" s="2"/>
    </row>
    <row r="150" spans="1:16" ht="28.5">
      <c r="A150" s="275" t="s">
        <v>11</v>
      </c>
      <c r="B150" s="184" t="s">
        <v>1730</v>
      </c>
      <c r="C150" s="280" t="s">
        <v>1731</v>
      </c>
      <c r="D150" s="61"/>
      <c r="E150" s="61"/>
      <c r="F150" s="61" t="s">
        <v>164</v>
      </c>
      <c r="G150" s="314" t="s">
        <v>163</v>
      </c>
      <c r="H150" s="376" t="s">
        <v>1791</v>
      </c>
      <c r="I150" s="313">
        <v>83247291</v>
      </c>
      <c r="J150" s="316" t="s">
        <v>154</v>
      </c>
      <c r="K150" s="315">
        <v>5</v>
      </c>
      <c r="L150" s="205">
        <f>14427-6415</f>
        <v>8012</v>
      </c>
      <c r="M150" s="201"/>
      <c r="N150" s="201"/>
      <c r="O150" s="202">
        <f t="shared" si="8"/>
        <v>8012</v>
      </c>
      <c r="P150" s="2"/>
    </row>
    <row r="151" spans="1:16" ht="28.5">
      <c r="A151" s="275" t="s">
        <v>11</v>
      </c>
      <c r="B151" s="184" t="s">
        <v>1730</v>
      </c>
      <c r="C151" s="280" t="s">
        <v>368</v>
      </c>
      <c r="D151" s="61"/>
      <c r="E151" s="61"/>
      <c r="F151" s="61" t="s">
        <v>164</v>
      </c>
      <c r="G151" s="314" t="s">
        <v>163</v>
      </c>
      <c r="H151" s="376" t="s">
        <v>2075</v>
      </c>
      <c r="I151" s="313">
        <v>83638307</v>
      </c>
      <c r="J151" s="316" t="s">
        <v>154</v>
      </c>
      <c r="K151" s="315">
        <v>0.8</v>
      </c>
      <c r="L151" s="205">
        <f>293*12</f>
        <v>3516</v>
      </c>
      <c r="M151" s="201"/>
      <c r="N151" s="201"/>
      <c r="O151" s="202">
        <f t="shared" si="8"/>
        <v>3516</v>
      </c>
      <c r="P151" s="2"/>
    </row>
    <row r="152" spans="1:16" ht="28.5">
      <c r="A152" s="275" t="s">
        <v>11</v>
      </c>
      <c r="B152" s="184" t="s">
        <v>1730</v>
      </c>
      <c r="C152" s="280" t="s">
        <v>2076</v>
      </c>
      <c r="D152" s="61"/>
      <c r="E152" s="61"/>
      <c r="F152" s="61" t="s">
        <v>164</v>
      </c>
      <c r="G152" s="314" t="s">
        <v>163</v>
      </c>
      <c r="H152" s="376" t="s">
        <v>2077</v>
      </c>
      <c r="I152" s="313">
        <v>83638352</v>
      </c>
      <c r="J152" s="316" t="s">
        <v>154</v>
      </c>
      <c r="K152" s="315">
        <v>0.2</v>
      </c>
      <c r="L152" s="205">
        <f>47*12</f>
        <v>564</v>
      </c>
      <c r="M152" s="201"/>
      <c r="N152" s="201"/>
      <c r="O152" s="202">
        <f t="shared" si="8"/>
        <v>564</v>
      </c>
      <c r="P152" s="2"/>
    </row>
    <row r="153" spans="1:16" ht="28.5">
      <c r="A153" s="275" t="s">
        <v>11</v>
      </c>
      <c r="B153" s="184" t="s">
        <v>1730</v>
      </c>
      <c r="C153" s="280" t="s">
        <v>324</v>
      </c>
      <c r="D153" s="61"/>
      <c r="E153" s="61"/>
      <c r="F153" s="61" t="s">
        <v>164</v>
      </c>
      <c r="G153" s="314" t="s">
        <v>163</v>
      </c>
      <c r="H153" s="376" t="s">
        <v>2078</v>
      </c>
      <c r="I153" s="313">
        <v>83669165</v>
      </c>
      <c r="J153" s="316" t="s">
        <v>154</v>
      </c>
      <c r="K153" s="315">
        <v>0.5</v>
      </c>
      <c r="L153" s="205">
        <f>128*12</f>
        <v>1536</v>
      </c>
      <c r="M153" s="201"/>
      <c r="N153" s="201"/>
      <c r="O153" s="202">
        <f t="shared" si="8"/>
        <v>1536</v>
      </c>
      <c r="P153" s="2"/>
    </row>
    <row r="154" spans="1:16" ht="28.5">
      <c r="A154" s="275" t="s">
        <v>11</v>
      </c>
      <c r="B154" s="184" t="s">
        <v>1730</v>
      </c>
      <c r="C154" s="280" t="s">
        <v>333</v>
      </c>
      <c r="D154" s="61" t="s">
        <v>2079</v>
      </c>
      <c r="E154" s="61"/>
      <c r="F154" s="61" t="s">
        <v>164</v>
      </c>
      <c r="G154" s="314" t="s">
        <v>163</v>
      </c>
      <c r="H154" s="376" t="s">
        <v>2080</v>
      </c>
      <c r="I154" s="313">
        <v>83699116</v>
      </c>
      <c r="J154" s="316" t="s">
        <v>154</v>
      </c>
      <c r="K154" s="315">
        <v>0.7</v>
      </c>
      <c r="L154" s="205">
        <f>48*12</f>
        <v>576</v>
      </c>
      <c r="M154" s="201"/>
      <c r="N154" s="201"/>
      <c r="O154" s="202">
        <f t="shared" si="8"/>
        <v>576</v>
      </c>
      <c r="P154" s="2"/>
    </row>
    <row r="155" spans="1:16" ht="28.5">
      <c r="A155" s="275" t="s">
        <v>11</v>
      </c>
      <c r="B155" s="184" t="s">
        <v>1730</v>
      </c>
      <c r="C155" s="280" t="s">
        <v>309</v>
      </c>
      <c r="D155" s="61"/>
      <c r="E155" s="61"/>
      <c r="F155" s="61" t="s">
        <v>164</v>
      </c>
      <c r="G155" s="314" t="s">
        <v>163</v>
      </c>
      <c r="H155" s="376" t="s">
        <v>2081</v>
      </c>
      <c r="I155" s="313">
        <v>83953227</v>
      </c>
      <c r="J155" s="316" t="s">
        <v>154</v>
      </c>
      <c r="K155" s="315">
        <v>0.5</v>
      </c>
      <c r="L155" s="205">
        <f>132*12</f>
        <v>1584</v>
      </c>
      <c r="M155" s="201"/>
      <c r="N155" s="201"/>
      <c r="O155" s="202">
        <f t="shared" si="8"/>
        <v>1584</v>
      </c>
      <c r="P155" s="2"/>
    </row>
    <row r="156" spans="1:16" ht="29.25" thickBot="1">
      <c r="A156" s="275" t="s">
        <v>11</v>
      </c>
      <c r="B156" s="184" t="s">
        <v>1730</v>
      </c>
      <c r="C156" s="280" t="s">
        <v>337</v>
      </c>
      <c r="D156" s="61" t="s">
        <v>2082</v>
      </c>
      <c r="E156" s="61"/>
      <c r="F156" s="61" t="s">
        <v>164</v>
      </c>
      <c r="G156" s="314" t="s">
        <v>163</v>
      </c>
      <c r="H156" s="376" t="s">
        <v>2083</v>
      </c>
      <c r="I156" s="313">
        <v>83698454</v>
      </c>
      <c r="J156" s="316" t="s">
        <v>154</v>
      </c>
      <c r="K156" s="315">
        <v>0.5</v>
      </c>
      <c r="L156" s="205">
        <f>86*12</f>
        <v>1032</v>
      </c>
      <c r="M156" s="201"/>
      <c r="N156" s="201"/>
      <c r="O156" s="202">
        <f t="shared" si="8"/>
        <v>1032</v>
      </c>
      <c r="P156" s="2"/>
    </row>
    <row r="157" spans="2:15" ht="20.25" customHeight="1">
      <c r="B157" s="536" t="s">
        <v>155</v>
      </c>
      <c r="C157" s="537" t="s">
        <v>372</v>
      </c>
      <c r="D157" s="34"/>
      <c r="E157" s="196"/>
      <c r="H157" s="538" t="s">
        <v>2097</v>
      </c>
      <c r="I157" s="33" t="s">
        <v>372</v>
      </c>
      <c r="J157" s="539"/>
      <c r="K157" s="540"/>
      <c r="L157" s="2" t="s">
        <v>2084</v>
      </c>
      <c r="N157" s="53" t="s">
        <v>156</v>
      </c>
      <c r="O157" s="333">
        <f>SUM(O18:O156)</f>
        <v>977738</v>
      </c>
    </row>
    <row r="158" spans="2:11" ht="15">
      <c r="B158" s="279"/>
      <c r="C158" s="67" t="s">
        <v>370</v>
      </c>
      <c r="D158" s="38"/>
      <c r="E158" s="196"/>
      <c r="H158" s="541"/>
      <c r="I158" s="37" t="s">
        <v>370</v>
      </c>
      <c r="J158" s="262"/>
      <c r="K158" s="542"/>
    </row>
    <row r="159" spans="2:11" ht="15.75" thickBot="1">
      <c r="B159" s="279"/>
      <c r="C159" s="67" t="s">
        <v>286</v>
      </c>
      <c r="D159" s="38"/>
      <c r="E159" s="68"/>
      <c r="H159" s="543"/>
      <c r="I159" s="40" t="s">
        <v>286</v>
      </c>
      <c r="J159" s="544"/>
      <c r="K159" s="545"/>
    </row>
    <row r="160" spans="2:11" ht="15">
      <c r="B160" s="279" t="s">
        <v>1670</v>
      </c>
      <c r="C160" s="67" t="s">
        <v>1963</v>
      </c>
      <c r="D160" s="38"/>
      <c r="E160" s="68"/>
      <c r="K160" s="59"/>
    </row>
    <row r="161" spans="2:13" ht="15.75" thickBot="1">
      <c r="B161" s="238" t="s">
        <v>1674</v>
      </c>
      <c r="C161" s="70" t="s">
        <v>1785</v>
      </c>
      <c r="D161" s="41"/>
      <c r="E161" s="68"/>
      <c r="K161" s="59"/>
      <c r="M161" s="2">
        <f>O157</f>
        <v>977738</v>
      </c>
    </row>
    <row r="162" spans="2:5" ht="15.75" thickBot="1">
      <c r="B162" s="68"/>
      <c r="C162" s="67"/>
      <c r="D162" s="68"/>
      <c r="E162" s="68"/>
    </row>
    <row r="163" spans="7:15" ht="44.25" customHeight="1">
      <c r="G163" s="169"/>
      <c r="H163" s="232"/>
      <c r="J163" s="236"/>
      <c r="K163" s="709" t="s">
        <v>157</v>
      </c>
      <c r="L163" s="706" t="s">
        <v>1034</v>
      </c>
      <c r="M163" s="707"/>
      <c r="N163" s="708"/>
      <c r="O163" s="743" t="s">
        <v>158</v>
      </c>
    </row>
    <row r="164" spans="7:15" ht="24.75" customHeight="1" thickBot="1">
      <c r="G164" s="233"/>
      <c r="H164" s="234"/>
      <c r="J164" s="239"/>
      <c r="K164" s="710"/>
      <c r="L164" s="128" t="s">
        <v>159</v>
      </c>
      <c r="M164" s="128" t="s">
        <v>1035</v>
      </c>
      <c r="N164" s="128" t="s">
        <v>1036</v>
      </c>
      <c r="O164" s="744"/>
    </row>
    <row r="165" spans="7:15" ht="15" thickBot="1">
      <c r="G165" s="31"/>
      <c r="H165" s="154"/>
      <c r="J165" s="31"/>
      <c r="K165" s="129" t="s">
        <v>154</v>
      </c>
      <c r="L165" s="101">
        <f>SUM(O18:O156)</f>
        <v>977738</v>
      </c>
      <c r="M165" s="161"/>
      <c r="N165" s="161"/>
      <c r="O165" s="75">
        <v>139</v>
      </c>
    </row>
    <row r="166" spans="7:15" ht="18.75" thickBot="1">
      <c r="G166" s="31"/>
      <c r="H166" s="239"/>
      <c r="I166" s="235"/>
      <c r="J166" s="31"/>
      <c r="K166" s="132" t="s">
        <v>160</v>
      </c>
      <c r="L166" s="145">
        <f>SUM(L165:L165)</f>
        <v>977738</v>
      </c>
      <c r="M166" s="18">
        <f>SUM(M165:M165)</f>
        <v>0</v>
      </c>
      <c r="N166" s="15">
        <f>SUM(N165:N165)</f>
        <v>0</v>
      </c>
      <c r="O166" s="332">
        <f>SUM(O165:O165)</f>
        <v>139</v>
      </c>
    </row>
    <row r="167" spans="7:15" ht="18.75" thickBot="1">
      <c r="G167" s="31"/>
      <c r="H167" s="31"/>
      <c r="I167" s="154"/>
      <c r="J167" s="86"/>
      <c r="K167"/>
      <c r="L167" s="58" t="s">
        <v>161</v>
      </c>
      <c r="M167" s="323">
        <f>O157</f>
        <v>977738</v>
      </c>
      <c r="N167"/>
      <c r="O167"/>
    </row>
    <row r="168" ht="14.25">
      <c r="J168" s="2"/>
    </row>
  </sheetData>
  <sheetProtection/>
  <mergeCells count="19">
    <mergeCell ref="O163:O164"/>
    <mergeCell ref="B1:J1"/>
    <mergeCell ref="K163:K164"/>
    <mergeCell ref="L163:N163"/>
    <mergeCell ref="A15:A17"/>
    <mergeCell ref="B15:B17"/>
    <mergeCell ref="C15:C17"/>
    <mergeCell ref="D15:D17"/>
    <mergeCell ref="E15:E17"/>
    <mergeCell ref="F15:F17"/>
    <mergeCell ref="L16:O16"/>
    <mergeCell ref="J15:J17"/>
    <mergeCell ref="K15:K17"/>
    <mergeCell ref="L15:O15"/>
    <mergeCell ref="B3:I3"/>
    <mergeCell ref="B5:I5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r:id="rId1"/>
  <ignoredErrors>
    <ignoredError sqref="O26 O118:O120 O35:O36 O128:O129 O41:O42 O45:O46 O31 O125 O60 O63:O64 O122 O66 O69 O76 O78 O81 O84:O85 O87 O90 O93 O96:O98 O104:O105 O107:O110 O112 O116 O1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zoomScale="80" zoomScaleNormal="80" zoomScalePageLayoutView="0" workbookViewId="0" topLeftCell="A124">
      <selection activeCell="B7" sqref="B7:B8"/>
    </sheetView>
  </sheetViews>
  <sheetFormatPr defaultColWidth="8.796875" defaultRowHeight="14.25"/>
  <cols>
    <col min="1" max="1" width="12.69921875" style="1" customWidth="1"/>
    <col min="2" max="2" width="11.69921875" style="0" customWidth="1"/>
    <col min="3" max="3" width="15.3984375" style="0" customWidth="1"/>
    <col min="4" max="4" width="15.09765625" style="0" customWidth="1"/>
    <col min="5" max="5" width="11.59765625" style="0" customWidth="1"/>
    <col min="7" max="7" width="14.3984375" style="0" customWidth="1"/>
    <col min="8" max="8" width="19" style="0" customWidth="1"/>
    <col min="9" max="9" width="26.3984375" style="0" customWidth="1"/>
    <col min="10" max="10" width="12" style="1" customWidth="1"/>
    <col min="11" max="11" width="12.8984375" style="1" customWidth="1"/>
    <col min="12" max="12" width="15" style="0" customWidth="1"/>
    <col min="13" max="13" width="15.19921875" style="0" customWidth="1"/>
    <col min="14" max="14" width="17.19921875" style="0" customWidth="1"/>
    <col min="15" max="15" width="16.5" style="0" customWidth="1"/>
    <col min="16" max="16" width="12.3984375" style="0" customWidth="1"/>
    <col min="17" max="17" width="15" style="0" customWidth="1"/>
    <col min="18" max="18" width="15.69921875" style="0" customWidth="1"/>
    <col min="19" max="19" width="17" style="0" customWidth="1"/>
    <col min="20" max="20" width="21.5" style="0" customWidth="1"/>
    <col min="21" max="21" width="20.3984375" style="0" customWidth="1"/>
  </cols>
  <sheetData>
    <row r="1" spans="1:13" ht="18">
      <c r="A1"/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31"/>
      <c r="L1" s="2"/>
      <c r="M1" s="2"/>
    </row>
    <row r="2" spans="1:13" ht="15">
      <c r="A2"/>
      <c r="B2" s="220"/>
      <c r="C2" s="220"/>
      <c r="D2" s="220"/>
      <c r="E2" s="220"/>
      <c r="F2" s="220"/>
      <c r="G2" s="220"/>
      <c r="H2" s="221"/>
      <c r="I2" s="222"/>
      <c r="J2" s="230"/>
      <c r="K2" s="31"/>
      <c r="L2" s="2"/>
      <c r="M2" s="2"/>
    </row>
    <row r="3" spans="1:13" ht="26.25" customHeight="1">
      <c r="A3"/>
      <c r="B3" s="745" t="s">
        <v>1054</v>
      </c>
      <c r="C3" s="746"/>
      <c r="D3" s="746"/>
      <c r="E3" s="746"/>
      <c r="F3" s="746"/>
      <c r="G3" s="746"/>
      <c r="H3" s="746"/>
      <c r="I3" s="747"/>
      <c r="J3" s="230"/>
      <c r="K3" s="31"/>
      <c r="L3" s="2"/>
      <c r="M3" s="2"/>
    </row>
    <row r="4" spans="1:13" ht="15">
      <c r="A4"/>
      <c r="B4" s="221"/>
      <c r="C4" s="221"/>
      <c r="D4" s="221"/>
      <c r="E4" s="221"/>
      <c r="F4" s="221"/>
      <c r="G4" s="221"/>
      <c r="H4" s="221"/>
      <c r="I4" s="222"/>
      <c r="J4" s="230"/>
      <c r="K4" s="31"/>
      <c r="L4" s="2"/>
      <c r="M4" s="2"/>
    </row>
    <row r="5" spans="1:13" ht="15">
      <c r="A5"/>
      <c r="B5" s="736" t="s">
        <v>1029</v>
      </c>
      <c r="C5" s="736"/>
      <c r="D5" s="736"/>
      <c r="E5" s="736"/>
      <c r="F5" s="736"/>
      <c r="G5" s="736"/>
      <c r="H5" s="736"/>
      <c r="I5" s="736"/>
      <c r="J5" s="230"/>
      <c r="K5" s="31"/>
      <c r="L5" s="2"/>
      <c r="M5" s="2"/>
    </row>
    <row r="6" spans="1:13" ht="15">
      <c r="A6"/>
      <c r="B6" s="221"/>
      <c r="C6" s="221"/>
      <c r="D6" s="221"/>
      <c r="E6" s="221"/>
      <c r="F6" s="221"/>
      <c r="G6" s="221"/>
      <c r="H6" s="221"/>
      <c r="I6" s="222"/>
      <c r="J6" s="230"/>
      <c r="K6" s="31"/>
      <c r="L6" s="2"/>
      <c r="M6" s="2"/>
    </row>
    <row r="7" spans="1:13" ht="15.75">
      <c r="A7"/>
      <c r="B7" s="502" t="s">
        <v>967</v>
      </c>
      <c r="C7" s="220"/>
      <c r="D7" s="221"/>
      <c r="E7" s="221"/>
      <c r="F7" s="221"/>
      <c r="G7" s="220"/>
      <c r="H7" s="221"/>
      <c r="I7" s="222"/>
      <c r="J7" s="230"/>
      <c r="K7" s="31"/>
      <c r="L7" s="2"/>
      <c r="M7" s="2"/>
    </row>
    <row r="8" spans="1:13" ht="15.75">
      <c r="A8"/>
      <c r="B8" s="502" t="s">
        <v>2098</v>
      </c>
      <c r="C8" s="220"/>
      <c r="D8" s="221"/>
      <c r="E8" s="221"/>
      <c r="F8" s="221"/>
      <c r="G8" s="220"/>
      <c r="H8" s="221"/>
      <c r="I8" s="222"/>
      <c r="J8" s="230"/>
      <c r="K8" s="31"/>
      <c r="L8" s="2"/>
      <c r="M8" s="2"/>
    </row>
    <row r="9" spans="1:13" ht="15.75">
      <c r="A9"/>
      <c r="B9" s="224" t="s">
        <v>2087</v>
      </c>
      <c r="C9" s="220"/>
      <c r="D9" s="225"/>
      <c r="E9" s="221"/>
      <c r="F9" s="221"/>
      <c r="G9" s="220"/>
      <c r="H9" s="221"/>
      <c r="I9" s="222"/>
      <c r="J9" s="230"/>
      <c r="K9" s="31"/>
      <c r="L9" s="2"/>
      <c r="M9" s="2"/>
    </row>
    <row r="10" spans="1:13" ht="15.75">
      <c r="A10"/>
      <c r="B10" s="224" t="s">
        <v>1663</v>
      </c>
      <c r="C10" s="220"/>
      <c r="D10" s="225"/>
      <c r="E10" s="221"/>
      <c r="F10" s="221"/>
      <c r="G10" s="220"/>
      <c r="H10" s="221"/>
      <c r="I10" s="222"/>
      <c r="J10" s="230"/>
      <c r="K10" s="31"/>
      <c r="L10" s="2"/>
      <c r="M10" s="2"/>
    </row>
    <row r="11" spans="1:13" ht="15">
      <c r="A11"/>
      <c r="B11" s="220" t="s">
        <v>1046</v>
      </c>
      <c r="C11" s="220"/>
      <c r="D11" s="220"/>
      <c r="E11" s="220"/>
      <c r="F11" s="220"/>
      <c r="G11" s="220"/>
      <c r="H11" s="221"/>
      <c r="I11" s="222"/>
      <c r="J11" s="230"/>
      <c r="K11" s="31"/>
      <c r="L11" s="2"/>
      <c r="M11" s="2"/>
    </row>
    <row r="12" spans="1:13" ht="15.75">
      <c r="A12"/>
      <c r="B12" s="226" t="s">
        <v>1030</v>
      </c>
      <c r="C12" s="227" t="s">
        <v>1031</v>
      </c>
      <c r="D12" s="225"/>
      <c r="E12" s="225"/>
      <c r="F12" s="225"/>
      <c r="G12" s="225"/>
      <c r="H12" s="228"/>
      <c r="I12" s="220"/>
      <c r="J12" s="230"/>
      <c r="K12" s="31"/>
      <c r="L12" s="2"/>
      <c r="M12" s="2"/>
    </row>
    <row r="13" spans="1:13" ht="15.75">
      <c r="A13"/>
      <c r="B13" s="226" t="s">
        <v>1032</v>
      </c>
      <c r="C13" s="223" t="s">
        <v>1033</v>
      </c>
      <c r="D13" s="225"/>
      <c r="E13" s="225"/>
      <c r="F13" s="225"/>
      <c r="G13" s="225"/>
      <c r="H13" s="228"/>
      <c r="I13" s="220"/>
      <c r="J13" s="230"/>
      <c r="K13" s="31"/>
      <c r="L13" s="2"/>
      <c r="M13" s="2"/>
    </row>
    <row r="14" spans="1:13" ht="15" thickBot="1">
      <c r="A14" s="31"/>
      <c r="B14" s="86"/>
      <c r="C14" s="31"/>
      <c r="D14" s="31"/>
      <c r="E14" s="31"/>
      <c r="F14" s="31"/>
      <c r="G14" s="31"/>
      <c r="H14" s="31"/>
      <c r="I14" s="31"/>
      <c r="J14" s="86"/>
      <c r="K14" s="31"/>
      <c r="L14" s="2"/>
      <c r="M14" s="2"/>
    </row>
    <row r="15" spans="1:15" ht="42" customHeight="1">
      <c r="A15" s="703" t="s">
        <v>0</v>
      </c>
      <c r="B15" s="714" t="s">
        <v>993</v>
      </c>
      <c r="C15" s="721" t="s">
        <v>2</v>
      </c>
      <c r="D15" s="721" t="s">
        <v>3</v>
      </c>
      <c r="E15" s="697" t="s">
        <v>1385</v>
      </c>
      <c r="F15" s="697" t="s">
        <v>5</v>
      </c>
      <c r="G15" s="721" t="s">
        <v>6</v>
      </c>
      <c r="H15" s="697" t="s">
        <v>753</v>
      </c>
      <c r="I15" s="697" t="s">
        <v>7</v>
      </c>
      <c r="J15" s="697" t="s">
        <v>157</v>
      </c>
      <c r="K15" s="748" t="s">
        <v>992</v>
      </c>
      <c r="L15" s="719" t="s">
        <v>1039</v>
      </c>
      <c r="M15" s="719"/>
      <c r="N15" s="719"/>
      <c r="O15" s="720"/>
    </row>
    <row r="16" spans="1:15" ht="33" customHeight="1">
      <c r="A16" s="704"/>
      <c r="B16" s="715"/>
      <c r="C16" s="722"/>
      <c r="D16" s="722"/>
      <c r="E16" s="698"/>
      <c r="F16" s="698"/>
      <c r="G16" s="722"/>
      <c r="H16" s="698"/>
      <c r="I16" s="698"/>
      <c r="J16" s="698"/>
      <c r="K16" s="749"/>
      <c r="L16" s="738" t="s">
        <v>1040</v>
      </c>
      <c r="M16" s="738"/>
      <c r="N16" s="738"/>
      <c r="O16" s="739"/>
    </row>
    <row r="17" spans="1:15" ht="27" customHeight="1" thickBot="1">
      <c r="A17" s="705"/>
      <c r="B17" s="716"/>
      <c r="C17" s="723"/>
      <c r="D17" s="723"/>
      <c r="E17" s="699"/>
      <c r="F17" s="699"/>
      <c r="G17" s="723"/>
      <c r="H17" s="699"/>
      <c r="I17" s="699"/>
      <c r="J17" s="699"/>
      <c r="K17" s="750"/>
      <c r="L17" s="135" t="s">
        <v>1041</v>
      </c>
      <c r="M17" s="135" t="s">
        <v>1035</v>
      </c>
      <c r="N17" s="135" t="s">
        <v>1036</v>
      </c>
      <c r="O17" s="136" t="s">
        <v>10</v>
      </c>
    </row>
    <row r="18" spans="1:16" ht="29.25">
      <c r="A18" s="288" t="s">
        <v>11</v>
      </c>
      <c r="B18" s="138" t="s">
        <v>12</v>
      </c>
      <c r="C18" s="138" t="s">
        <v>373</v>
      </c>
      <c r="D18" s="138" t="s">
        <v>374</v>
      </c>
      <c r="E18" s="52"/>
      <c r="F18" s="52" t="s">
        <v>375</v>
      </c>
      <c r="G18" s="52" t="s">
        <v>376</v>
      </c>
      <c r="H18" s="42">
        <v>83294601</v>
      </c>
      <c r="I18" s="387" t="s">
        <v>1581</v>
      </c>
      <c r="J18" s="163" t="s">
        <v>377</v>
      </c>
      <c r="K18" s="164">
        <v>3</v>
      </c>
      <c r="L18" s="54"/>
      <c r="M18" s="53">
        <f>707-416</f>
        <v>291</v>
      </c>
      <c r="N18" s="53">
        <f>1476-831</f>
        <v>645</v>
      </c>
      <c r="O18" s="53">
        <f aca="true" t="shared" si="0" ref="O18:O62">SUM(M18:N18)</f>
        <v>936</v>
      </c>
      <c r="P18" s="210"/>
    </row>
    <row r="19" spans="1:16" ht="29.25">
      <c r="A19" s="288" t="s">
        <v>11</v>
      </c>
      <c r="B19" s="138" t="s">
        <v>12</v>
      </c>
      <c r="C19" s="60" t="s">
        <v>378</v>
      </c>
      <c r="D19" s="60"/>
      <c r="E19" s="55"/>
      <c r="F19" s="55" t="s">
        <v>375</v>
      </c>
      <c r="G19" s="55" t="s">
        <v>376</v>
      </c>
      <c r="H19" s="46">
        <v>83111009</v>
      </c>
      <c r="I19" s="376" t="s">
        <v>1582</v>
      </c>
      <c r="J19" s="4" t="s">
        <v>377</v>
      </c>
      <c r="K19" s="62">
        <v>3</v>
      </c>
      <c r="L19" s="45"/>
      <c r="M19" s="13">
        <f>8290-5305</f>
        <v>2985</v>
      </c>
      <c r="N19" s="13">
        <f>14703-9632</f>
        <v>5071</v>
      </c>
      <c r="O19" s="13">
        <f t="shared" si="0"/>
        <v>8056</v>
      </c>
      <c r="P19" s="210"/>
    </row>
    <row r="20" spans="1:16" ht="29.25">
      <c r="A20" s="288" t="s">
        <v>11</v>
      </c>
      <c r="B20" s="138" t="s">
        <v>12</v>
      </c>
      <c r="C20" s="60" t="s">
        <v>379</v>
      </c>
      <c r="D20" s="60"/>
      <c r="E20" s="396" t="s">
        <v>1763</v>
      </c>
      <c r="F20" s="55" t="s">
        <v>375</v>
      </c>
      <c r="G20" s="55" t="s">
        <v>376</v>
      </c>
      <c r="H20" s="46">
        <v>83294585</v>
      </c>
      <c r="I20" s="376" t="s">
        <v>1583</v>
      </c>
      <c r="J20" s="4" t="s">
        <v>377</v>
      </c>
      <c r="K20" s="62">
        <v>3</v>
      </c>
      <c r="L20" s="45"/>
      <c r="M20" s="13">
        <f>4491-3640</f>
        <v>851</v>
      </c>
      <c r="N20" s="13">
        <f>9096-6528</f>
        <v>2568</v>
      </c>
      <c r="O20" s="13">
        <f t="shared" si="0"/>
        <v>3419</v>
      </c>
      <c r="P20" s="210"/>
    </row>
    <row r="21" spans="1:16" ht="29.25">
      <c r="A21" s="288" t="s">
        <v>11</v>
      </c>
      <c r="B21" s="138" t="s">
        <v>12</v>
      </c>
      <c r="C21" s="60" t="s">
        <v>376</v>
      </c>
      <c r="D21" s="60" t="s">
        <v>380</v>
      </c>
      <c r="E21" s="55"/>
      <c r="F21" s="55" t="s">
        <v>375</v>
      </c>
      <c r="G21" s="55" t="s">
        <v>376</v>
      </c>
      <c r="H21" s="46">
        <v>90104550</v>
      </c>
      <c r="I21" s="387" t="s">
        <v>1584</v>
      </c>
      <c r="J21" s="4" t="s">
        <v>377</v>
      </c>
      <c r="K21" s="62">
        <v>6</v>
      </c>
      <c r="L21" s="45"/>
      <c r="M21" s="13">
        <f>6545-3640</f>
        <v>2905</v>
      </c>
      <c r="N21" s="13">
        <f>11938-6528</f>
        <v>5410</v>
      </c>
      <c r="O21" s="13">
        <f t="shared" si="0"/>
        <v>8315</v>
      </c>
      <c r="P21" s="210"/>
    </row>
    <row r="22" spans="1:16" ht="29.25">
      <c r="A22" s="288" t="s">
        <v>11</v>
      </c>
      <c r="B22" s="138" t="s">
        <v>12</v>
      </c>
      <c r="C22" s="60" t="s">
        <v>373</v>
      </c>
      <c r="D22" s="60" t="s">
        <v>79</v>
      </c>
      <c r="E22" s="55"/>
      <c r="F22" s="55" t="s">
        <v>375</v>
      </c>
      <c r="G22" s="55" t="s">
        <v>376</v>
      </c>
      <c r="H22" s="46">
        <v>14817</v>
      </c>
      <c r="I22" s="376" t="s">
        <v>1585</v>
      </c>
      <c r="J22" s="4" t="s">
        <v>377</v>
      </c>
      <c r="K22" s="62">
        <v>7.6</v>
      </c>
      <c r="L22" s="45"/>
      <c r="M22" s="13">
        <f>56196-47724</f>
        <v>8472</v>
      </c>
      <c r="N22" s="13">
        <f>105260-89901</f>
        <v>15359</v>
      </c>
      <c r="O22" s="13">
        <f t="shared" si="0"/>
        <v>23831</v>
      </c>
      <c r="P22" s="210"/>
    </row>
    <row r="23" spans="1:16" ht="29.25">
      <c r="A23" s="288" t="s">
        <v>11</v>
      </c>
      <c r="B23" s="138" t="s">
        <v>12</v>
      </c>
      <c r="C23" s="60" t="s">
        <v>376</v>
      </c>
      <c r="D23" s="60" t="s">
        <v>381</v>
      </c>
      <c r="E23" s="55"/>
      <c r="F23" s="55" t="s">
        <v>375</v>
      </c>
      <c r="G23" s="55" t="s">
        <v>376</v>
      </c>
      <c r="H23" s="46">
        <v>90102360</v>
      </c>
      <c r="I23" s="376" t="s">
        <v>1586</v>
      </c>
      <c r="J23" s="4" t="s">
        <v>377</v>
      </c>
      <c r="K23" s="62">
        <v>11.5</v>
      </c>
      <c r="L23" s="45"/>
      <c r="M23" s="13">
        <f>26675-15607</f>
        <v>11068</v>
      </c>
      <c r="N23" s="13">
        <f>50929-28314</f>
        <v>22615</v>
      </c>
      <c r="O23" s="13">
        <f t="shared" si="0"/>
        <v>33683</v>
      </c>
      <c r="P23" s="210"/>
    </row>
    <row r="24" spans="1:16" ht="29.25">
      <c r="A24" s="288" t="s">
        <v>11</v>
      </c>
      <c r="B24" s="138" t="s">
        <v>12</v>
      </c>
      <c r="C24" s="60" t="s">
        <v>376</v>
      </c>
      <c r="D24" s="60" t="s">
        <v>382</v>
      </c>
      <c r="E24" s="55"/>
      <c r="F24" s="55" t="s">
        <v>375</v>
      </c>
      <c r="G24" s="55" t="s">
        <v>376</v>
      </c>
      <c r="H24" s="46">
        <v>90103798</v>
      </c>
      <c r="I24" s="387" t="s">
        <v>1587</v>
      </c>
      <c r="J24" s="4" t="s">
        <v>377</v>
      </c>
      <c r="K24" s="62">
        <v>6</v>
      </c>
      <c r="L24" s="45"/>
      <c r="M24" s="13">
        <f>11574-6525</f>
        <v>5049</v>
      </c>
      <c r="N24" s="13">
        <f>21136-11876</f>
        <v>9260</v>
      </c>
      <c r="O24" s="13">
        <f t="shared" si="0"/>
        <v>14309</v>
      </c>
      <c r="P24" s="210"/>
    </row>
    <row r="25" spans="1:16" ht="29.25">
      <c r="A25" s="288" t="s">
        <v>11</v>
      </c>
      <c r="B25" s="138" t="s">
        <v>12</v>
      </c>
      <c r="C25" s="60" t="s">
        <v>376</v>
      </c>
      <c r="D25" s="60" t="s">
        <v>383</v>
      </c>
      <c r="E25" s="55"/>
      <c r="F25" s="55" t="s">
        <v>375</v>
      </c>
      <c r="G25" s="55" t="s">
        <v>376</v>
      </c>
      <c r="H25" s="46">
        <v>83294379</v>
      </c>
      <c r="I25" s="376" t="s">
        <v>1588</v>
      </c>
      <c r="J25" s="4" t="s">
        <v>377</v>
      </c>
      <c r="K25" s="62">
        <v>3.2</v>
      </c>
      <c r="L25" s="45"/>
      <c r="M25" s="13">
        <f>4013-2183</f>
        <v>1830</v>
      </c>
      <c r="N25" s="13">
        <f>7127-3907</f>
        <v>3220</v>
      </c>
      <c r="O25" s="13">
        <f t="shared" si="0"/>
        <v>5050</v>
      </c>
      <c r="P25" s="210"/>
    </row>
    <row r="26" spans="1:16" ht="29.25">
      <c r="A26" s="288" t="s">
        <v>11</v>
      </c>
      <c r="B26" s="138" t="s">
        <v>12</v>
      </c>
      <c r="C26" s="60" t="s">
        <v>376</v>
      </c>
      <c r="D26" s="60" t="s">
        <v>365</v>
      </c>
      <c r="E26" s="55"/>
      <c r="F26" s="55" t="s">
        <v>375</v>
      </c>
      <c r="G26" s="55" t="s">
        <v>376</v>
      </c>
      <c r="H26" s="46">
        <v>90102084</v>
      </c>
      <c r="I26" s="376" t="s">
        <v>1589</v>
      </c>
      <c r="J26" s="4" t="s">
        <v>377</v>
      </c>
      <c r="K26" s="62">
        <v>6</v>
      </c>
      <c r="L26" s="45"/>
      <c r="M26" s="13">
        <f>9735-5105</f>
        <v>4630</v>
      </c>
      <c r="N26" s="13">
        <f>17856-9243</f>
        <v>8613</v>
      </c>
      <c r="O26" s="13">
        <f t="shared" si="0"/>
        <v>13243</v>
      </c>
      <c r="P26" s="210"/>
    </row>
    <row r="27" spans="1:16" ht="29.25">
      <c r="A27" s="288" t="s">
        <v>11</v>
      </c>
      <c r="B27" s="138" t="s">
        <v>12</v>
      </c>
      <c r="C27" s="60" t="s">
        <v>376</v>
      </c>
      <c r="D27" s="60" t="s">
        <v>94</v>
      </c>
      <c r="E27" s="55"/>
      <c r="F27" s="55" t="s">
        <v>375</v>
      </c>
      <c r="G27" s="55" t="s">
        <v>376</v>
      </c>
      <c r="H27" s="46">
        <v>90100755</v>
      </c>
      <c r="I27" s="387" t="s">
        <v>1590</v>
      </c>
      <c r="J27" s="4" t="s">
        <v>377</v>
      </c>
      <c r="K27" s="62">
        <v>11.7</v>
      </c>
      <c r="L27" s="45"/>
      <c r="M27" s="13">
        <f>23911-13591</f>
        <v>10320</v>
      </c>
      <c r="N27" s="13">
        <f>43635-24409</f>
        <v>19226</v>
      </c>
      <c r="O27" s="13">
        <f t="shared" si="0"/>
        <v>29546</v>
      </c>
      <c r="P27" s="210"/>
    </row>
    <row r="28" spans="1:16" ht="29.25">
      <c r="A28" s="288" t="s">
        <v>11</v>
      </c>
      <c r="B28" s="138" t="s">
        <v>12</v>
      </c>
      <c r="C28" s="60" t="s">
        <v>384</v>
      </c>
      <c r="D28" s="60"/>
      <c r="E28" s="55"/>
      <c r="F28" s="55" t="s">
        <v>375</v>
      </c>
      <c r="G28" s="55" t="s">
        <v>376</v>
      </c>
      <c r="H28" s="46">
        <v>32671</v>
      </c>
      <c r="I28" s="376" t="s">
        <v>1591</v>
      </c>
      <c r="J28" s="4" t="s">
        <v>377</v>
      </c>
      <c r="K28" s="62">
        <v>6</v>
      </c>
      <c r="L28" s="45"/>
      <c r="M28" s="13">
        <f>62717-55150</f>
        <v>7567</v>
      </c>
      <c r="N28" s="13">
        <f>119817-105100</f>
        <v>14717</v>
      </c>
      <c r="O28" s="13">
        <f t="shared" si="0"/>
        <v>22284</v>
      </c>
      <c r="P28" s="210"/>
    </row>
    <row r="29" spans="1:16" ht="28.5" customHeight="1">
      <c r="A29" s="288" t="s">
        <v>11</v>
      </c>
      <c r="B29" s="138" t="s">
        <v>12</v>
      </c>
      <c r="C29" s="60" t="s">
        <v>384</v>
      </c>
      <c r="D29" s="60"/>
      <c r="E29" s="55"/>
      <c r="F29" s="55" t="s">
        <v>375</v>
      </c>
      <c r="G29" s="55" t="s">
        <v>376</v>
      </c>
      <c r="H29" s="46">
        <v>14695</v>
      </c>
      <c r="I29" s="376" t="s">
        <v>1592</v>
      </c>
      <c r="J29" s="4" t="s">
        <v>377</v>
      </c>
      <c r="K29" s="62">
        <v>6</v>
      </c>
      <c r="L29" s="45"/>
      <c r="M29" s="13">
        <f>17155-14475</f>
        <v>2680</v>
      </c>
      <c r="N29" s="13">
        <f>31198-25871</f>
        <v>5327</v>
      </c>
      <c r="O29" s="13">
        <f t="shared" si="0"/>
        <v>8007</v>
      </c>
      <c r="P29" s="210"/>
    </row>
    <row r="30" spans="1:16" ht="29.25">
      <c r="A30" s="288" t="s">
        <v>11</v>
      </c>
      <c r="B30" s="138" t="s">
        <v>12</v>
      </c>
      <c r="C30" s="60" t="s">
        <v>385</v>
      </c>
      <c r="D30" s="60"/>
      <c r="E30" s="55"/>
      <c r="F30" s="55" t="s">
        <v>375</v>
      </c>
      <c r="G30" s="55" t="s">
        <v>376</v>
      </c>
      <c r="H30" s="46">
        <v>36157</v>
      </c>
      <c r="I30" s="387" t="s">
        <v>1593</v>
      </c>
      <c r="J30" s="4" t="s">
        <v>377</v>
      </c>
      <c r="K30" s="62">
        <v>6</v>
      </c>
      <c r="L30" s="45"/>
      <c r="M30" s="13">
        <f>32908-28669</f>
        <v>4239</v>
      </c>
      <c r="N30" s="13">
        <f>59218-51454</f>
        <v>7764</v>
      </c>
      <c r="O30" s="13">
        <f t="shared" si="0"/>
        <v>12003</v>
      </c>
      <c r="P30" s="210"/>
    </row>
    <row r="31" spans="1:16" ht="29.25">
      <c r="A31" s="288" t="s">
        <v>11</v>
      </c>
      <c r="B31" s="138" t="s">
        <v>12</v>
      </c>
      <c r="C31" s="60" t="s">
        <v>386</v>
      </c>
      <c r="D31" s="60"/>
      <c r="E31" s="55"/>
      <c r="F31" s="55" t="s">
        <v>375</v>
      </c>
      <c r="G31" s="55" t="s">
        <v>376</v>
      </c>
      <c r="H31" s="46">
        <v>83294576</v>
      </c>
      <c r="I31" s="376" t="s">
        <v>1594</v>
      </c>
      <c r="J31" s="4" t="s">
        <v>377</v>
      </c>
      <c r="K31" s="62">
        <v>3</v>
      </c>
      <c r="L31" s="45"/>
      <c r="M31" s="13">
        <f>6790-3735</f>
        <v>3055</v>
      </c>
      <c r="N31" s="13">
        <f>13569-7347</f>
        <v>6222</v>
      </c>
      <c r="O31" s="13">
        <f t="shared" si="0"/>
        <v>9277</v>
      </c>
      <c r="P31" s="210"/>
    </row>
    <row r="32" spans="1:16" ht="29.25">
      <c r="A32" s="288" t="s">
        <v>11</v>
      </c>
      <c r="B32" s="138" t="s">
        <v>12</v>
      </c>
      <c r="C32" s="60" t="s">
        <v>373</v>
      </c>
      <c r="D32" s="60" t="s">
        <v>374</v>
      </c>
      <c r="E32" s="55"/>
      <c r="F32" s="55" t="s">
        <v>375</v>
      </c>
      <c r="G32" s="55" t="s">
        <v>376</v>
      </c>
      <c r="H32" s="46">
        <v>525531</v>
      </c>
      <c r="I32" s="376" t="s">
        <v>1595</v>
      </c>
      <c r="J32" s="4" t="s">
        <v>377</v>
      </c>
      <c r="K32" s="62">
        <v>6</v>
      </c>
      <c r="L32" s="45"/>
      <c r="M32" s="13">
        <f>20384-16864</f>
        <v>3520</v>
      </c>
      <c r="N32" s="13">
        <f>40282-33042</f>
        <v>7240</v>
      </c>
      <c r="O32" s="13">
        <f t="shared" si="0"/>
        <v>10760</v>
      </c>
      <c r="P32" s="210"/>
    </row>
    <row r="33" spans="1:16" ht="29.25">
      <c r="A33" s="288" t="s">
        <v>11</v>
      </c>
      <c r="B33" s="138" t="s">
        <v>12</v>
      </c>
      <c r="C33" s="60" t="s">
        <v>373</v>
      </c>
      <c r="D33" s="60" t="s">
        <v>374</v>
      </c>
      <c r="E33" s="55"/>
      <c r="F33" s="55" t="s">
        <v>375</v>
      </c>
      <c r="G33" s="55" t="s">
        <v>376</v>
      </c>
      <c r="H33" s="46">
        <v>90103724</v>
      </c>
      <c r="I33" s="387" t="s">
        <v>1596</v>
      </c>
      <c r="J33" s="4" t="s">
        <v>377</v>
      </c>
      <c r="K33" s="62">
        <v>6</v>
      </c>
      <c r="L33" s="45"/>
      <c r="M33" s="13">
        <f>15004-8241</f>
        <v>6763</v>
      </c>
      <c r="N33" s="13">
        <f>28185-15113</f>
        <v>13072</v>
      </c>
      <c r="O33" s="13">
        <f t="shared" si="0"/>
        <v>19835</v>
      </c>
      <c r="P33" s="210"/>
    </row>
    <row r="34" spans="1:16" ht="29.25">
      <c r="A34" s="288" t="s">
        <v>11</v>
      </c>
      <c r="B34" s="138" t="s">
        <v>12</v>
      </c>
      <c r="C34" s="60" t="s">
        <v>373</v>
      </c>
      <c r="D34" s="60" t="s">
        <v>374</v>
      </c>
      <c r="E34" s="55"/>
      <c r="F34" s="55" t="s">
        <v>375</v>
      </c>
      <c r="G34" s="55" t="s">
        <v>376</v>
      </c>
      <c r="H34" s="46">
        <v>14819</v>
      </c>
      <c r="I34" s="376" t="s">
        <v>1597</v>
      </c>
      <c r="J34" s="4" t="s">
        <v>377</v>
      </c>
      <c r="K34" s="62">
        <v>6</v>
      </c>
      <c r="L34" s="45"/>
      <c r="M34" s="13">
        <f>37707-31242</f>
        <v>6465</v>
      </c>
      <c r="N34" s="13">
        <f>71013-58951</f>
        <v>12062</v>
      </c>
      <c r="O34" s="13">
        <f t="shared" si="0"/>
        <v>18527</v>
      </c>
      <c r="P34" s="210"/>
    </row>
    <row r="35" spans="1:16" ht="29.25">
      <c r="A35" s="288" t="s">
        <v>11</v>
      </c>
      <c r="B35" s="138" t="s">
        <v>12</v>
      </c>
      <c r="C35" s="60" t="s">
        <v>376</v>
      </c>
      <c r="D35" s="60" t="s">
        <v>387</v>
      </c>
      <c r="E35" s="55"/>
      <c r="F35" s="55" t="s">
        <v>375</v>
      </c>
      <c r="G35" s="55" t="s">
        <v>376</v>
      </c>
      <c r="H35" s="46">
        <v>90105337</v>
      </c>
      <c r="I35" s="376" t="s">
        <v>1598</v>
      </c>
      <c r="J35" s="4" t="s">
        <v>377</v>
      </c>
      <c r="K35" s="62">
        <v>6.4</v>
      </c>
      <c r="L35" s="45"/>
      <c r="M35" s="13">
        <f>14679-8523</f>
        <v>6156</v>
      </c>
      <c r="N35" s="13">
        <f>27059-15231</f>
        <v>11828</v>
      </c>
      <c r="O35" s="13">
        <f t="shared" si="0"/>
        <v>17984</v>
      </c>
      <c r="P35" s="210"/>
    </row>
    <row r="36" spans="1:16" ht="29.25">
      <c r="A36" s="288" t="s">
        <v>11</v>
      </c>
      <c r="B36" s="138" t="s">
        <v>12</v>
      </c>
      <c r="C36" s="60" t="s">
        <v>376</v>
      </c>
      <c r="D36" s="60" t="s">
        <v>388</v>
      </c>
      <c r="E36" s="55"/>
      <c r="F36" s="55" t="s">
        <v>375</v>
      </c>
      <c r="G36" s="55" t="s">
        <v>376</v>
      </c>
      <c r="H36" s="46">
        <v>14814</v>
      </c>
      <c r="I36" s="387" t="s">
        <v>1599</v>
      </c>
      <c r="J36" s="4" t="s">
        <v>377</v>
      </c>
      <c r="K36" s="62">
        <v>6</v>
      </c>
      <c r="L36" s="45"/>
      <c r="M36" s="13">
        <f>39034-33294</f>
        <v>5740</v>
      </c>
      <c r="N36" s="13">
        <f>73293-62975</f>
        <v>10318</v>
      </c>
      <c r="O36" s="13">
        <f t="shared" si="0"/>
        <v>16058</v>
      </c>
      <c r="P36" s="210"/>
    </row>
    <row r="37" spans="1:16" ht="43.5">
      <c r="A37" s="288" t="s">
        <v>11</v>
      </c>
      <c r="B37" s="138" t="s">
        <v>12</v>
      </c>
      <c r="C37" s="60" t="s">
        <v>376</v>
      </c>
      <c r="D37" s="60" t="s">
        <v>1664</v>
      </c>
      <c r="E37" s="55"/>
      <c r="F37" s="55" t="s">
        <v>375</v>
      </c>
      <c r="G37" s="55" t="s">
        <v>376</v>
      </c>
      <c r="H37" s="46">
        <v>90103894</v>
      </c>
      <c r="I37" s="376" t="s">
        <v>1600</v>
      </c>
      <c r="J37" s="4" t="s">
        <v>377</v>
      </c>
      <c r="K37" s="62">
        <v>6</v>
      </c>
      <c r="L37" s="45"/>
      <c r="M37" s="13">
        <f>13214-7268</f>
        <v>5946</v>
      </c>
      <c r="N37" s="13">
        <f>24580-13099</f>
        <v>11481</v>
      </c>
      <c r="O37" s="13">
        <f t="shared" si="0"/>
        <v>17427</v>
      </c>
      <c r="P37" s="210"/>
    </row>
    <row r="38" spans="1:16" ht="43.5">
      <c r="A38" s="288" t="s">
        <v>11</v>
      </c>
      <c r="B38" s="138" t="s">
        <v>12</v>
      </c>
      <c r="C38" s="60" t="s">
        <v>376</v>
      </c>
      <c r="D38" s="60" t="s">
        <v>389</v>
      </c>
      <c r="E38" s="55"/>
      <c r="F38" s="55" t="s">
        <v>375</v>
      </c>
      <c r="G38" s="55" t="s">
        <v>376</v>
      </c>
      <c r="H38" s="46">
        <v>90107457</v>
      </c>
      <c r="I38" s="376" t="s">
        <v>1601</v>
      </c>
      <c r="J38" s="4" t="s">
        <v>377</v>
      </c>
      <c r="K38" s="62">
        <v>6</v>
      </c>
      <c r="L38" s="45"/>
      <c r="M38" s="13">
        <f>12781-6651</f>
        <v>6130</v>
      </c>
      <c r="N38" s="13">
        <f>24107-12316</f>
        <v>11791</v>
      </c>
      <c r="O38" s="13">
        <f t="shared" si="0"/>
        <v>17921</v>
      </c>
      <c r="P38" s="210"/>
    </row>
    <row r="39" spans="1:16" ht="29.25">
      <c r="A39" s="288" t="s">
        <v>11</v>
      </c>
      <c r="B39" s="138" t="s">
        <v>12</v>
      </c>
      <c r="C39" s="60" t="s">
        <v>376</v>
      </c>
      <c r="D39" s="60" t="s">
        <v>61</v>
      </c>
      <c r="E39" s="55"/>
      <c r="F39" s="55" t="s">
        <v>375</v>
      </c>
      <c r="G39" s="55" t="s">
        <v>376</v>
      </c>
      <c r="H39" s="46">
        <v>90103149</v>
      </c>
      <c r="I39" s="387" t="s">
        <v>1602</v>
      </c>
      <c r="J39" s="4" t="s">
        <v>377</v>
      </c>
      <c r="K39" s="62">
        <v>7</v>
      </c>
      <c r="L39" s="45"/>
      <c r="M39" s="13">
        <f>26783-15109</f>
        <v>11674</v>
      </c>
      <c r="N39" s="13">
        <f>49046-26794</f>
        <v>22252</v>
      </c>
      <c r="O39" s="13">
        <f t="shared" si="0"/>
        <v>33926</v>
      </c>
      <c r="P39" s="210"/>
    </row>
    <row r="40" spans="1:16" ht="29.25">
      <c r="A40" s="288" t="s">
        <v>11</v>
      </c>
      <c r="B40" s="138" t="s">
        <v>12</v>
      </c>
      <c r="C40" s="60" t="s">
        <v>376</v>
      </c>
      <c r="D40" s="60" t="s">
        <v>47</v>
      </c>
      <c r="E40" s="55"/>
      <c r="F40" s="55" t="s">
        <v>375</v>
      </c>
      <c r="G40" s="55" t="s">
        <v>376</v>
      </c>
      <c r="H40" s="46">
        <v>90182650</v>
      </c>
      <c r="I40" s="376" t="s">
        <v>1603</v>
      </c>
      <c r="J40" s="4" t="s">
        <v>377</v>
      </c>
      <c r="K40" s="62">
        <v>6</v>
      </c>
      <c r="L40" s="45"/>
      <c r="M40" s="13">
        <f>15666-10099</f>
        <v>5567</v>
      </c>
      <c r="N40" s="13">
        <f>28958-18602</f>
        <v>10356</v>
      </c>
      <c r="O40" s="13">
        <f t="shared" si="0"/>
        <v>15923</v>
      </c>
      <c r="P40" s="210"/>
    </row>
    <row r="41" spans="1:16" ht="29.25">
      <c r="A41" s="288" t="s">
        <v>11</v>
      </c>
      <c r="B41" s="138" t="s">
        <v>12</v>
      </c>
      <c r="C41" s="60" t="s">
        <v>376</v>
      </c>
      <c r="D41" s="60" t="s">
        <v>390</v>
      </c>
      <c r="E41" s="55"/>
      <c r="F41" s="55" t="s">
        <v>375</v>
      </c>
      <c r="G41" s="55" t="s">
        <v>376</v>
      </c>
      <c r="H41" s="46">
        <v>90103558</v>
      </c>
      <c r="I41" s="376" t="s">
        <v>1604</v>
      </c>
      <c r="J41" s="4" t="s">
        <v>377</v>
      </c>
      <c r="K41" s="62">
        <v>7.7</v>
      </c>
      <c r="L41" s="45"/>
      <c r="M41" s="13">
        <f>30872-17962</f>
        <v>12910</v>
      </c>
      <c r="N41" s="13">
        <f>58121-32133</f>
        <v>25988</v>
      </c>
      <c r="O41" s="13">
        <f t="shared" si="0"/>
        <v>38898</v>
      </c>
      <c r="P41" s="210"/>
    </row>
    <row r="42" spans="1:16" ht="29.25">
      <c r="A42" s="288" t="s">
        <v>11</v>
      </c>
      <c r="B42" s="138" t="s">
        <v>12</v>
      </c>
      <c r="C42" s="60" t="s">
        <v>376</v>
      </c>
      <c r="D42" s="60" t="s">
        <v>391</v>
      </c>
      <c r="E42" s="55"/>
      <c r="F42" s="55" t="s">
        <v>375</v>
      </c>
      <c r="G42" s="55" t="s">
        <v>376</v>
      </c>
      <c r="H42" s="46">
        <v>20342</v>
      </c>
      <c r="I42" s="387" t="s">
        <v>1605</v>
      </c>
      <c r="J42" s="4" t="s">
        <v>377</v>
      </c>
      <c r="K42" s="62">
        <v>7.7</v>
      </c>
      <c r="L42" s="45"/>
      <c r="M42" s="13">
        <f>119329-104453</f>
        <v>14876</v>
      </c>
      <c r="N42" s="13">
        <f>217871-189662</f>
        <v>28209</v>
      </c>
      <c r="O42" s="13">
        <f t="shared" si="0"/>
        <v>43085</v>
      </c>
      <c r="P42" s="210"/>
    </row>
    <row r="43" spans="1:16" ht="29.25">
      <c r="A43" s="288" t="s">
        <v>11</v>
      </c>
      <c r="B43" s="138" t="s">
        <v>12</v>
      </c>
      <c r="C43" s="60" t="s">
        <v>376</v>
      </c>
      <c r="D43" s="60" t="s">
        <v>392</v>
      </c>
      <c r="E43" s="55"/>
      <c r="F43" s="55" t="s">
        <v>375</v>
      </c>
      <c r="G43" s="55" t="s">
        <v>376</v>
      </c>
      <c r="H43" s="46">
        <v>70849250</v>
      </c>
      <c r="I43" s="376" t="s">
        <v>1606</v>
      </c>
      <c r="J43" s="4" t="s">
        <v>377</v>
      </c>
      <c r="K43" s="62">
        <v>6</v>
      </c>
      <c r="L43" s="45"/>
      <c r="M43" s="13">
        <f>42268-35601</f>
        <v>6667</v>
      </c>
      <c r="N43" s="13">
        <f>83547-69705</f>
        <v>13842</v>
      </c>
      <c r="O43" s="13">
        <f t="shared" si="0"/>
        <v>20509</v>
      </c>
      <c r="P43" s="210"/>
    </row>
    <row r="44" spans="1:16" ht="29.25">
      <c r="A44" s="288" t="s">
        <v>11</v>
      </c>
      <c r="B44" s="138" t="s">
        <v>12</v>
      </c>
      <c r="C44" s="60" t="s">
        <v>376</v>
      </c>
      <c r="D44" s="60" t="s">
        <v>169</v>
      </c>
      <c r="E44" s="55"/>
      <c r="F44" s="55" t="s">
        <v>375</v>
      </c>
      <c r="G44" s="55" t="s">
        <v>376</v>
      </c>
      <c r="H44" s="46">
        <v>13882</v>
      </c>
      <c r="I44" s="376" t="s">
        <v>1607</v>
      </c>
      <c r="J44" s="4" t="s">
        <v>377</v>
      </c>
      <c r="K44" s="62">
        <v>6</v>
      </c>
      <c r="L44" s="45"/>
      <c r="M44" s="13">
        <f>91251-77486</f>
        <v>13765</v>
      </c>
      <c r="N44" s="13">
        <f>89280-77273</f>
        <v>12007</v>
      </c>
      <c r="O44" s="13">
        <f t="shared" si="0"/>
        <v>25772</v>
      </c>
      <c r="P44" s="210"/>
    </row>
    <row r="45" spans="1:16" ht="29.25">
      <c r="A45" s="288" t="s">
        <v>11</v>
      </c>
      <c r="B45" s="138" t="s">
        <v>12</v>
      </c>
      <c r="C45" s="60" t="s">
        <v>393</v>
      </c>
      <c r="D45" s="60"/>
      <c r="E45" s="55"/>
      <c r="F45" s="55" t="s">
        <v>375</v>
      </c>
      <c r="G45" s="55" t="s">
        <v>376</v>
      </c>
      <c r="H45" s="46">
        <v>83294614</v>
      </c>
      <c r="I45" s="387" t="s">
        <v>1608</v>
      </c>
      <c r="J45" s="4" t="s">
        <v>377</v>
      </c>
      <c r="K45" s="62">
        <v>3</v>
      </c>
      <c r="L45" s="45"/>
      <c r="M45" s="13">
        <f>17867-9964</f>
        <v>7903</v>
      </c>
      <c r="N45" s="13">
        <f>32533-18125</f>
        <v>14408</v>
      </c>
      <c r="O45" s="13">
        <f t="shared" si="0"/>
        <v>22311</v>
      </c>
      <c r="P45" s="210"/>
    </row>
    <row r="46" spans="1:16" ht="29.25">
      <c r="A46" s="288" t="s">
        <v>11</v>
      </c>
      <c r="B46" s="138" t="s">
        <v>12</v>
      </c>
      <c r="C46" s="60" t="s">
        <v>376</v>
      </c>
      <c r="D46" s="60" t="s">
        <v>394</v>
      </c>
      <c r="E46" s="55"/>
      <c r="F46" s="55" t="s">
        <v>375</v>
      </c>
      <c r="G46" s="55" t="s">
        <v>376</v>
      </c>
      <c r="H46" s="46">
        <v>90103811</v>
      </c>
      <c r="I46" s="376" t="s">
        <v>1609</v>
      </c>
      <c r="J46" s="4" t="s">
        <v>377</v>
      </c>
      <c r="K46" s="62">
        <v>8</v>
      </c>
      <c r="L46" s="45"/>
      <c r="M46" s="13">
        <f>29697-16242</f>
        <v>13455</v>
      </c>
      <c r="N46" s="13">
        <f>54101-28976</f>
        <v>25125</v>
      </c>
      <c r="O46" s="13">
        <f t="shared" si="0"/>
        <v>38580</v>
      </c>
      <c r="P46" s="210"/>
    </row>
    <row r="47" spans="1:16" ht="29.25">
      <c r="A47" s="288" t="s">
        <v>11</v>
      </c>
      <c r="B47" s="138" t="s">
        <v>12</v>
      </c>
      <c r="C47" s="60" t="s">
        <v>395</v>
      </c>
      <c r="D47" s="60"/>
      <c r="E47" s="55"/>
      <c r="F47" s="55" t="s">
        <v>375</v>
      </c>
      <c r="G47" s="55" t="s">
        <v>376</v>
      </c>
      <c r="H47" s="46">
        <v>70810303</v>
      </c>
      <c r="I47" s="376" t="s">
        <v>1610</v>
      </c>
      <c r="J47" s="4" t="s">
        <v>377</v>
      </c>
      <c r="K47" s="62">
        <v>6</v>
      </c>
      <c r="L47" s="45"/>
      <c r="M47" s="13">
        <f>50597-41874</f>
        <v>8723</v>
      </c>
      <c r="N47" s="13">
        <f>101563-83056</f>
        <v>18507</v>
      </c>
      <c r="O47" s="13">
        <f t="shared" si="0"/>
        <v>27230</v>
      </c>
      <c r="P47" s="210"/>
    </row>
    <row r="48" spans="1:16" ht="29.25">
      <c r="A48" s="288" t="s">
        <v>11</v>
      </c>
      <c r="B48" s="138" t="s">
        <v>12</v>
      </c>
      <c r="C48" s="60" t="s">
        <v>395</v>
      </c>
      <c r="D48" s="60"/>
      <c r="E48" s="55"/>
      <c r="F48" s="55" t="s">
        <v>375</v>
      </c>
      <c r="G48" s="55" t="s">
        <v>376</v>
      </c>
      <c r="H48" s="46">
        <v>90103169</v>
      </c>
      <c r="I48" s="387" t="s">
        <v>1611</v>
      </c>
      <c r="J48" s="4" t="s">
        <v>377</v>
      </c>
      <c r="K48" s="62">
        <v>6</v>
      </c>
      <c r="L48" s="45"/>
      <c r="M48" s="13">
        <f>16406-9315</f>
        <v>7091</v>
      </c>
      <c r="N48" s="13">
        <f>32160-17930</f>
        <v>14230</v>
      </c>
      <c r="O48" s="13">
        <f t="shared" si="0"/>
        <v>21321</v>
      </c>
      <c r="P48" s="210"/>
    </row>
    <row r="49" spans="1:16" ht="29.25">
      <c r="A49" s="288" t="s">
        <v>11</v>
      </c>
      <c r="B49" s="138" t="s">
        <v>12</v>
      </c>
      <c r="C49" s="60" t="s">
        <v>396</v>
      </c>
      <c r="D49" s="60"/>
      <c r="E49" s="55"/>
      <c r="F49" s="55" t="s">
        <v>375</v>
      </c>
      <c r="G49" s="55" t="s">
        <v>376</v>
      </c>
      <c r="H49" s="46">
        <v>71878685</v>
      </c>
      <c r="I49" s="376" t="s">
        <v>1612</v>
      </c>
      <c r="J49" s="4" t="s">
        <v>377</v>
      </c>
      <c r="K49" s="62">
        <v>6</v>
      </c>
      <c r="L49" s="45"/>
      <c r="M49" s="13">
        <f>18946-12534</f>
        <v>6412</v>
      </c>
      <c r="N49" s="13">
        <f>37663-24093</f>
        <v>13570</v>
      </c>
      <c r="O49" s="13">
        <f t="shared" si="0"/>
        <v>19982</v>
      </c>
      <c r="P49" s="210"/>
    </row>
    <row r="50" spans="1:16" ht="29.25">
      <c r="A50" s="288" t="s">
        <v>11</v>
      </c>
      <c r="B50" s="138" t="s">
        <v>12</v>
      </c>
      <c r="C50" s="60" t="s">
        <v>397</v>
      </c>
      <c r="D50" s="60"/>
      <c r="E50" s="55"/>
      <c r="F50" s="55" t="s">
        <v>375</v>
      </c>
      <c r="G50" s="55" t="s">
        <v>376</v>
      </c>
      <c r="H50" s="46">
        <v>90101537</v>
      </c>
      <c r="I50" s="376" t="s">
        <v>1613</v>
      </c>
      <c r="J50" s="4" t="s">
        <v>377</v>
      </c>
      <c r="K50" s="62">
        <v>6</v>
      </c>
      <c r="L50" s="45"/>
      <c r="M50" s="13">
        <f>6721-3373</f>
        <v>3348</v>
      </c>
      <c r="N50" s="13">
        <f>13653-6824</f>
        <v>6829</v>
      </c>
      <c r="O50" s="13">
        <f t="shared" si="0"/>
        <v>10177</v>
      </c>
      <c r="P50" s="210"/>
    </row>
    <row r="51" spans="1:16" ht="29.25">
      <c r="A51" s="288" t="s">
        <v>11</v>
      </c>
      <c r="B51" s="138" t="s">
        <v>12</v>
      </c>
      <c r="C51" s="60" t="s">
        <v>373</v>
      </c>
      <c r="D51" s="60" t="s">
        <v>209</v>
      </c>
      <c r="E51" s="55"/>
      <c r="F51" s="55" t="s">
        <v>375</v>
      </c>
      <c r="G51" s="55" t="s">
        <v>376</v>
      </c>
      <c r="H51" s="46">
        <v>90107669</v>
      </c>
      <c r="I51" s="387" t="s">
        <v>1614</v>
      </c>
      <c r="J51" s="4" t="s">
        <v>377</v>
      </c>
      <c r="K51" s="62">
        <v>6</v>
      </c>
      <c r="L51" s="45"/>
      <c r="M51" s="13">
        <f>33388-17461</f>
        <v>15927</v>
      </c>
      <c r="N51" s="13">
        <f>61111-31914</f>
        <v>29197</v>
      </c>
      <c r="O51" s="13">
        <f t="shared" si="0"/>
        <v>45124</v>
      </c>
      <c r="P51" s="210"/>
    </row>
    <row r="52" spans="1:16" ht="29.25">
      <c r="A52" s="288" t="s">
        <v>11</v>
      </c>
      <c r="B52" s="138" t="s">
        <v>12</v>
      </c>
      <c r="C52" s="60" t="s">
        <v>398</v>
      </c>
      <c r="D52" s="60"/>
      <c r="E52" s="55"/>
      <c r="F52" s="55" t="s">
        <v>375</v>
      </c>
      <c r="G52" s="55" t="s">
        <v>376</v>
      </c>
      <c r="H52" s="46">
        <v>1000158</v>
      </c>
      <c r="I52" s="376" t="s">
        <v>1615</v>
      </c>
      <c r="J52" s="4" t="s">
        <v>377</v>
      </c>
      <c r="K52" s="62">
        <v>3</v>
      </c>
      <c r="L52" s="45"/>
      <c r="M52" s="13">
        <f>21006-18290</f>
        <v>2716</v>
      </c>
      <c r="N52" s="13">
        <f>45587-36955</f>
        <v>8632</v>
      </c>
      <c r="O52" s="13">
        <f t="shared" si="0"/>
        <v>11348</v>
      </c>
      <c r="P52" s="210"/>
    </row>
    <row r="53" spans="1:16" ht="29.25">
      <c r="A53" s="288" t="s">
        <v>11</v>
      </c>
      <c r="B53" s="138" t="s">
        <v>12</v>
      </c>
      <c r="C53" s="60" t="s">
        <v>399</v>
      </c>
      <c r="D53" s="60"/>
      <c r="E53" s="55"/>
      <c r="F53" s="55" t="s">
        <v>375</v>
      </c>
      <c r="G53" s="55" t="s">
        <v>376</v>
      </c>
      <c r="H53" s="46">
        <v>83294609</v>
      </c>
      <c r="I53" s="376" t="s">
        <v>1616</v>
      </c>
      <c r="J53" s="4" t="s">
        <v>377</v>
      </c>
      <c r="K53" s="62">
        <v>3</v>
      </c>
      <c r="L53" s="45"/>
      <c r="M53" s="13">
        <f>5016-2897</f>
        <v>2119</v>
      </c>
      <c r="N53" s="13">
        <f>11199-6065</f>
        <v>5134</v>
      </c>
      <c r="O53" s="13">
        <f t="shared" si="0"/>
        <v>7253</v>
      </c>
      <c r="P53" s="210"/>
    </row>
    <row r="54" spans="1:16" ht="29.25">
      <c r="A54" s="288" t="s">
        <v>11</v>
      </c>
      <c r="B54" s="138" t="s">
        <v>12</v>
      </c>
      <c r="C54" s="60" t="s">
        <v>399</v>
      </c>
      <c r="D54" s="60"/>
      <c r="E54" s="55"/>
      <c r="F54" s="55" t="s">
        <v>375</v>
      </c>
      <c r="G54" s="55" t="s">
        <v>376</v>
      </c>
      <c r="H54" s="46">
        <v>1003226</v>
      </c>
      <c r="I54" s="387" t="s">
        <v>1617</v>
      </c>
      <c r="J54" s="4" t="s">
        <v>377</v>
      </c>
      <c r="K54" s="62">
        <v>3</v>
      </c>
      <c r="L54" s="45"/>
      <c r="M54" s="13">
        <f>11446-9505</f>
        <v>1941</v>
      </c>
      <c r="N54" s="13">
        <f>19298-16260</f>
        <v>3038</v>
      </c>
      <c r="O54" s="13">
        <f t="shared" si="0"/>
        <v>4979</v>
      </c>
      <c r="P54" s="210"/>
    </row>
    <row r="55" spans="1:16" ht="29.25">
      <c r="A55" s="288" t="s">
        <v>11</v>
      </c>
      <c r="B55" s="138" t="s">
        <v>12</v>
      </c>
      <c r="C55" s="60" t="s">
        <v>400</v>
      </c>
      <c r="D55" s="60"/>
      <c r="E55" s="55"/>
      <c r="F55" s="55" t="s">
        <v>375</v>
      </c>
      <c r="G55" s="55" t="s">
        <v>376</v>
      </c>
      <c r="H55" s="46">
        <v>90102092</v>
      </c>
      <c r="I55" s="376" t="s">
        <v>1618</v>
      </c>
      <c r="J55" s="4" t="s">
        <v>377</v>
      </c>
      <c r="K55" s="62">
        <v>12</v>
      </c>
      <c r="L55" s="45"/>
      <c r="M55" s="13">
        <f>12512-7219</f>
        <v>5293</v>
      </c>
      <c r="N55" s="13">
        <f>22610-12558</f>
        <v>10052</v>
      </c>
      <c r="O55" s="13">
        <f t="shared" si="0"/>
        <v>15345</v>
      </c>
      <c r="P55" s="210"/>
    </row>
    <row r="56" spans="1:16" ht="29.25">
      <c r="A56" s="288" t="s">
        <v>11</v>
      </c>
      <c r="B56" s="138" t="s">
        <v>12</v>
      </c>
      <c r="C56" s="60" t="s">
        <v>401</v>
      </c>
      <c r="D56" s="60"/>
      <c r="E56" s="55"/>
      <c r="F56" s="55" t="s">
        <v>375</v>
      </c>
      <c r="G56" s="55" t="s">
        <v>376</v>
      </c>
      <c r="H56" s="46">
        <v>83294594</v>
      </c>
      <c r="I56" s="376" t="s">
        <v>1619</v>
      </c>
      <c r="J56" s="4" t="s">
        <v>377</v>
      </c>
      <c r="K56" s="62">
        <v>3</v>
      </c>
      <c r="L56" s="45"/>
      <c r="M56" s="13">
        <f>5070-2788</f>
        <v>2282</v>
      </c>
      <c r="N56" s="13">
        <f>10093-5641</f>
        <v>4452</v>
      </c>
      <c r="O56" s="13">
        <f t="shared" si="0"/>
        <v>6734</v>
      </c>
      <c r="P56" s="210"/>
    </row>
    <row r="57" spans="1:16" ht="29.25">
      <c r="A57" s="288" t="s">
        <v>11</v>
      </c>
      <c r="B57" s="138" t="s">
        <v>12</v>
      </c>
      <c r="C57" s="60" t="s">
        <v>401</v>
      </c>
      <c r="D57" s="60"/>
      <c r="E57" s="55"/>
      <c r="F57" s="55" t="s">
        <v>375</v>
      </c>
      <c r="G57" s="55" t="s">
        <v>376</v>
      </c>
      <c r="H57" s="46">
        <v>83294213</v>
      </c>
      <c r="I57" s="387" t="s">
        <v>1620</v>
      </c>
      <c r="J57" s="4" t="s">
        <v>377</v>
      </c>
      <c r="K57" s="62">
        <v>2</v>
      </c>
      <c r="L57" s="45"/>
      <c r="M57" s="13">
        <f>11546-6321</f>
        <v>5225</v>
      </c>
      <c r="N57" s="13">
        <f>24046-13273</f>
        <v>10773</v>
      </c>
      <c r="O57" s="13">
        <f t="shared" si="0"/>
        <v>15998</v>
      </c>
      <c r="P57" s="210"/>
    </row>
    <row r="58" spans="1:16" ht="29.25">
      <c r="A58" s="288" t="s">
        <v>11</v>
      </c>
      <c r="B58" s="138" t="s">
        <v>12</v>
      </c>
      <c r="C58" s="60" t="s">
        <v>402</v>
      </c>
      <c r="D58" s="60" t="s">
        <v>403</v>
      </c>
      <c r="E58" s="55"/>
      <c r="F58" s="55" t="s">
        <v>375</v>
      </c>
      <c r="G58" s="55" t="s">
        <v>376</v>
      </c>
      <c r="H58" s="46">
        <v>14481590</v>
      </c>
      <c r="I58" s="376" t="s">
        <v>1621</v>
      </c>
      <c r="J58" s="4" t="s">
        <v>377</v>
      </c>
      <c r="K58" s="62">
        <v>2</v>
      </c>
      <c r="L58" s="45"/>
      <c r="M58" s="13">
        <f>28128-26175</f>
        <v>1953</v>
      </c>
      <c r="N58" s="13">
        <f>57887-53454</f>
        <v>4433</v>
      </c>
      <c r="O58" s="13">
        <f t="shared" si="0"/>
        <v>6386</v>
      </c>
      <c r="P58" s="210"/>
    </row>
    <row r="59" spans="1:16" ht="29.25">
      <c r="A59" s="288" t="s">
        <v>11</v>
      </c>
      <c r="B59" s="138" t="s">
        <v>12</v>
      </c>
      <c r="C59" s="60" t="s">
        <v>404</v>
      </c>
      <c r="D59" s="60"/>
      <c r="E59" s="55"/>
      <c r="F59" s="55" t="s">
        <v>375</v>
      </c>
      <c r="G59" s="55" t="s">
        <v>376</v>
      </c>
      <c r="H59" s="46">
        <v>83143343</v>
      </c>
      <c r="I59" s="376" t="s">
        <v>1622</v>
      </c>
      <c r="J59" s="4" t="s">
        <v>377</v>
      </c>
      <c r="K59" s="62">
        <v>3</v>
      </c>
      <c r="L59" s="45"/>
      <c r="M59" s="13">
        <f>23388-19662</f>
        <v>3726</v>
      </c>
      <c r="N59" s="13">
        <f>45341-38795</f>
        <v>6546</v>
      </c>
      <c r="O59" s="13">
        <f t="shared" si="0"/>
        <v>10272</v>
      </c>
      <c r="P59" s="210"/>
    </row>
    <row r="60" spans="1:16" ht="29.25">
      <c r="A60" s="288" t="s">
        <v>11</v>
      </c>
      <c r="B60" s="138" t="s">
        <v>12</v>
      </c>
      <c r="C60" s="60" t="s">
        <v>405</v>
      </c>
      <c r="D60" s="60"/>
      <c r="E60" s="55"/>
      <c r="F60" s="55" t="s">
        <v>375</v>
      </c>
      <c r="G60" s="55" t="s">
        <v>376</v>
      </c>
      <c r="H60" s="46">
        <v>14813</v>
      </c>
      <c r="I60" s="387" t="s">
        <v>1623</v>
      </c>
      <c r="J60" s="4" t="s">
        <v>377</v>
      </c>
      <c r="K60" s="62">
        <v>6</v>
      </c>
      <c r="L60" s="45"/>
      <c r="M60" s="13">
        <f>45290-36228</f>
        <v>9062</v>
      </c>
      <c r="N60" s="13">
        <f>86777-69687</f>
        <v>17090</v>
      </c>
      <c r="O60" s="13">
        <f t="shared" si="0"/>
        <v>26152</v>
      </c>
      <c r="P60" s="210"/>
    </row>
    <row r="61" spans="1:16" ht="29.25">
      <c r="A61" s="288" t="s">
        <v>11</v>
      </c>
      <c r="B61" s="138" t="s">
        <v>12</v>
      </c>
      <c r="C61" s="60" t="s">
        <v>406</v>
      </c>
      <c r="D61" s="60"/>
      <c r="E61" s="55"/>
      <c r="F61" s="55" t="s">
        <v>375</v>
      </c>
      <c r="G61" s="55" t="s">
        <v>376</v>
      </c>
      <c r="H61" s="46">
        <v>1547465</v>
      </c>
      <c r="I61" s="376" t="s">
        <v>1624</v>
      </c>
      <c r="J61" s="4" t="s">
        <v>377</v>
      </c>
      <c r="K61" s="62">
        <v>3</v>
      </c>
      <c r="L61" s="45"/>
      <c r="M61" s="13">
        <f>6435-4199</f>
        <v>2236</v>
      </c>
      <c r="N61" s="13">
        <f>12178-7768</f>
        <v>4410</v>
      </c>
      <c r="O61" s="13">
        <f t="shared" si="0"/>
        <v>6646</v>
      </c>
      <c r="P61" s="210"/>
    </row>
    <row r="62" spans="1:16" ht="29.25">
      <c r="A62" s="288" t="s">
        <v>11</v>
      </c>
      <c r="B62" s="138" t="s">
        <v>12</v>
      </c>
      <c r="C62" s="60" t="s">
        <v>396</v>
      </c>
      <c r="D62" s="60"/>
      <c r="E62" s="55"/>
      <c r="F62" s="55" t="s">
        <v>375</v>
      </c>
      <c r="G62" s="55" t="s">
        <v>376</v>
      </c>
      <c r="H62" s="46">
        <v>83294620</v>
      </c>
      <c r="I62" s="376" t="s">
        <v>1625</v>
      </c>
      <c r="J62" s="4" t="s">
        <v>377</v>
      </c>
      <c r="K62" s="62">
        <v>3</v>
      </c>
      <c r="L62" s="45"/>
      <c r="M62" s="13">
        <f>5849-3291</f>
        <v>2558</v>
      </c>
      <c r="N62" s="13">
        <f>12047-6525</f>
        <v>5522</v>
      </c>
      <c r="O62" s="13">
        <f t="shared" si="0"/>
        <v>8080</v>
      </c>
      <c r="P62" s="210"/>
    </row>
    <row r="63" spans="1:16" ht="29.25">
      <c r="A63" s="288" t="s">
        <v>11</v>
      </c>
      <c r="B63" s="138" t="s">
        <v>12</v>
      </c>
      <c r="C63" s="60" t="s">
        <v>397</v>
      </c>
      <c r="D63" s="60" t="s">
        <v>407</v>
      </c>
      <c r="E63" s="55">
        <v>2</v>
      </c>
      <c r="F63" s="55" t="s">
        <v>375</v>
      </c>
      <c r="G63" s="55" t="s">
        <v>376</v>
      </c>
      <c r="H63" s="46">
        <v>3372535</v>
      </c>
      <c r="I63" s="387" t="s">
        <v>1626</v>
      </c>
      <c r="J63" s="4" t="s">
        <v>377</v>
      </c>
      <c r="K63" s="62">
        <v>2</v>
      </c>
      <c r="L63" s="45"/>
      <c r="M63" s="13">
        <f>66405-59464</f>
        <v>6941</v>
      </c>
      <c r="N63" s="13">
        <f>36180-19883</f>
        <v>16297</v>
      </c>
      <c r="O63" s="13">
        <f aca="true" t="shared" si="1" ref="O63:O86">SUM(M63:N63)</f>
        <v>23238</v>
      </c>
      <c r="P63" s="210"/>
    </row>
    <row r="64" spans="1:16" ht="29.25">
      <c r="A64" s="288" t="s">
        <v>11</v>
      </c>
      <c r="B64" s="138" t="s">
        <v>12</v>
      </c>
      <c r="C64" s="60" t="s">
        <v>406</v>
      </c>
      <c r="D64" s="60"/>
      <c r="E64" s="55"/>
      <c r="F64" s="55" t="s">
        <v>375</v>
      </c>
      <c r="G64" s="55" t="s">
        <v>376</v>
      </c>
      <c r="H64" s="46">
        <v>36156</v>
      </c>
      <c r="I64" s="376" t="s">
        <v>1627</v>
      </c>
      <c r="J64" s="4" t="s">
        <v>377</v>
      </c>
      <c r="K64" s="62">
        <v>2</v>
      </c>
      <c r="L64" s="45"/>
      <c r="M64" s="13">
        <f>36558-31784</f>
        <v>4774</v>
      </c>
      <c r="N64" s="13">
        <f>63955-55567</f>
        <v>8388</v>
      </c>
      <c r="O64" s="13">
        <f>SUM(M64:N64)</f>
        <v>13162</v>
      </c>
      <c r="P64" s="210"/>
    </row>
    <row r="65" spans="1:16" ht="29.25">
      <c r="A65" s="288" t="s">
        <v>11</v>
      </c>
      <c r="B65" s="138" t="s">
        <v>12</v>
      </c>
      <c r="C65" s="60" t="s">
        <v>376</v>
      </c>
      <c r="D65" s="60" t="s">
        <v>209</v>
      </c>
      <c r="E65" s="55"/>
      <c r="F65" s="55" t="s">
        <v>375</v>
      </c>
      <c r="G65" s="55" t="s">
        <v>376</v>
      </c>
      <c r="H65" s="46">
        <v>70619128</v>
      </c>
      <c r="I65" s="376" t="s">
        <v>1628</v>
      </c>
      <c r="J65" s="4" t="s">
        <v>377</v>
      </c>
      <c r="K65" s="62">
        <v>4.5</v>
      </c>
      <c r="L65" s="45"/>
      <c r="M65" s="13">
        <f>49587-43552</f>
        <v>6035</v>
      </c>
      <c r="N65" s="13">
        <f>96628-83953</f>
        <v>12675</v>
      </c>
      <c r="O65" s="13">
        <f t="shared" si="1"/>
        <v>18710</v>
      </c>
      <c r="P65" s="210"/>
    </row>
    <row r="66" spans="1:16" ht="29.25">
      <c r="A66" s="288" t="s">
        <v>11</v>
      </c>
      <c r="B66" s="138" t="s">
        <v>12</v>
      </c>
      <c r="C66" s="60" t="s">
        <v>404</v>
      </c>
      <c r="D66" s="60"/>
      <c r="E66" s="55"/>
      <c r="F66" s="55" t="s">
        <v>375</v>
      </c>
      <c r="G66" s="55" t="s">
        <v>376</v>
      </c>
      <c r="H66" s="46">
        <v>90100030</v>
      </c>
      <c r="I66" s="387" t="s">
        <v>1629</v>
      </c>
      <c r="J66" s="4" t="s">
        <v>377</v>
      </c>
      <c r="K66" s="62">
        <v>6</v>
      </c>
      <c r="L66" s="45"/>
      <c r="M66" s="13">
        <f>8623-4837</f>
        <v>3786</v>
      </c>
      <c r="N66" s="13">
        <f>16998-9290</f>
        <v>7708</v>
      </c>
      <c r="O66" s="13">
        <f t="shared" si="1"/>
        <v>11494</v>
      </c>
      <c r="P66" s="210"/>
    </row>
    <row r="67" spans="1:16" ht="29.25">
      <c r="A67" s="288" t="s">
        <v>11</v>
      </c>
      <c r="B67" s="138" t="s">
        <v>12</v>
      </c>
      <c r="C67" s="60" t="s">
        <v>386</v>
      </c>
      <c r="D67" s="60" t="s">
        <v>209</v>
      </c>
      <c r="E67" s="55"/>
      <c r="F67" s="55" t="s">
        <v>375</v>
      </c>
      <c r="G67" s="55" t="s">
        <v>376</v>
      </c>
      <c r="H67" s="46">
        <v>90104506</v>
      </c>
      <c r="I67" s="376" t="s">
        <v>1630</v>
      </c>
      <c r="J67" s="4" t="s">
        <v>377</v>
      </c>
      <c r="K67" s="62">
        <v>2</v>
      </c>
      <c r="L67" s="45"/>
      <c r="M67" s="13">
        <f>12881-6379</f>
        <v>6502</v>
      </c>
      <c r="N67" s="13">
        <f>22698-10976</f>
        <v>11722</v>
      </c>
      <c r="O67" s="13">
        <f t="shared" si="1"/>
        <v>18224</v>
      </c>
      <c r="P67" s="210"/>
    </row>
    <row r="68" spans="1:16" ht="29.25">
      <c r="A68" s="288" t="s">
        <v>11</v>
      </c>
      <c r="B68" s="138" t="s">
        <v>12</v>
      </c>
      <c r="C68" s="60" t="s">
        <v>376</v>
      </c>
      <c r="D68" s="60" t="s">
        <v>408</v>
      </c>
      <c r="E68" s="55"/>
      <c r="F68" s="55" t="s">
        <v>375</v>
      </c>
      <c r="G68" s="55" t="s">
        <v>376</v>
      </c>
      <c r="H68" s="46">
        <v>90102882</v>
      </c>
      <c r="I68" s="376" t="s">
        <v>1631</v>
      </c>
      <c r="J68" s="4" t="s">
        <v>377</v>
      </c>
      <c r="K68" s="62">
        <v>6</v>
      </c>
      <c r="L68" s="45"/>
      <c r="M68" s="13">
        <f>7435-4259</f>
        <v>3176</v>
      </c>
      <c r="N68" s="13">
        <f>12917-7165</f>
        <v>5752</v>
      </c>
      <c r="O68" s="13">
        <f t="shared" si="1"/>
        <v>8928</v>
      </c>
      <c r="P68" s="210"/>
    </row>
    <row r="69" spans="1:16" ht="29.25">
      <c r="A69" s="288" t="s">
        <v>11</v>
      </c>
      <c r="B69" s="138" t="s">
        <v>12</v>
      </c>
      <c r="C69" s="60" t="s">
        <v>376</v>
      </c>
      <c r="D69" s="60" t="s">
        <v>409</v>
      </c>
      <c r="E69" s="55"/>
      <c r="F69" s="55" t="s">
        <v>375</v>
      </c>
      <c r="G69" s="55" t="s">
        <v>376</v>
      </c>
      <c r="H69" s="46">
        <v>83294577</v>
      </c>
      <c r="I69" s="387" t="s">
        <v>1632</v>
      </c>
      <c r="J69" s="4" t="s">
        <v>377</v>
      </c>
      <c r="K69" s="62">
        <v>3</v>
      </c>
      <c r="L69" s="45"/>
      <c r="M69" s="13">
        <f>1467-812</f>
        <v>655</v>
      </c>
      <c r="N69" s="13">
        <f>3149-1713</f>
        <v>1436</v>
      </c>
      <c r="O69" s="13">
        <f t="shared" si="1"/>
        <v>2091</v>
      </c>
      <c r="P69" s="210"/>
    </row>
    <row r="70" spans="1:16" ht="29.25">
      <c r="A70" s="288" t="s">
        <v>11</v>
      </c>
      <c r="B70" s="138" t="s">
        <v>12</v>
      </c>
      <c r="C70" s="60" t="s">
        <v>410</v>
      </c>
      <c r="D70" s="60"/>
      <c r="E70" s="55"/>
      <c r="F70" s="55" t="s">
        <v>375</v>
      </c>
      <c r="G70" s="55" t="s">
        <v>376</v>
      </c>
      <c r="H70" s="46">
        <v>83294583</v>
      </c>
      <c r="I70" s="376" t="s">
        <v>1633</v>
      </c>
      <c r="J70" s="4" t="s">
        <v>377</v>
      </c>
      <c r="K70" s="62">
        <v>3</v>
      </c>
      <c r="L70" s="45"/>
      <c r="M70" s="13">
        <f>7394-4031</f>
        <v>3363</v>
      </c>
      <c r="N70" s="13">
        <f>14803-8309</f>
        <v>6494</v>
      </c>
      <c r="O70" s="13">
        <f t="shared" si="1"/>
        <v>9857</v>
      </c>
      <c r="P70" s="210"/>
    </row>
    <row r="71" spans="1:16" ht="29.25">
      <c r="A71" s="288" t="s">
        <v>11</v>
      </c>
      <c r="B71" s="138" t="s">
        <v>12</v>
      </c>
      <c r="C71" s="60" t="s">
        <v>402</v>
      </c>
      <c r="D71" s="60"/>
      <c r="E71" s="55"/>
      <c r="F71" s="55" t="s">
        <v>375</v>
      </c>
      <c r="G71" s="55" t="s">
        <v>376</v>
      </c>
      <c r="H71" s="46">
        <v>96943</v>
      </c>
      <c r="I71" s="376" t="s">
        <v>1634</v>
      </c>
      <c r="J71" s="4" t="s">
        <v>377</v>
      </c>
      <c r="K71" s="62">
        <v>3</v>
      </c>
      <c r="L71" s="45"/>
      <c r="M71" s="13">
        <f>10665-9101</f>
        <v>1564</v>
      </c>
      <c r="N71" s="13">
        <f>20519-17670</f>
        <v>2849</v>
      </c>
      <c r="O71" s="13">
        <f t="shared" si="1"/>
        <v>4413</v>
      </c>
      <c r="P71" s="210"/>
    </row>
    <row r="72" spans="1:16" ht="29.25">
      <c r="A72" s="288" t="s">
        <v>11</v>
      </c>
      <c r="B72" s="138" t="s">
        <v>12</v>
      </c>
      <c r="C72" s="60" t="s">
        <v>395</v>
      </c>
      <c r="D72" s="60" t="s">
        <v>61</v>
      </c>
      <c r="E72" s="55"/>
      <c r="F72" s="55" t="s">
        <v>375</v>
      </c>
      <c r="G72" s="55" t="s">
        <v>376</v>
      </c>
      <c r="H72" s="46">
        <v>83111228</v>
      </c>
      <c r="I72" s="387" t="s">
        <v>1635</v>
      </c>
      <c r="J72" s="4" t="s">
        <v>377</v>
      </c>
      <c r="K72" s="62">
        <v>3</v>
      </c>
      <c r="L72" s="45"/>
      <c r="M72" s="13">
        <f>6715-5009</f>
        <v>1706</v>
      </c>
      <c r="N72" s="13">
        <f>8644-8128</f>
        <v>516</v>
      </c>
      <c r="O72" s="13">
        <f t="shared" si="1"/>
        <v>2222</v>
      </c>
      <c r="P72" s="210"/>
    </row>
    <row r="73" spans="1:16" ht="29.25">
      <c r="A73" s="288" t="s">
        <v>11</v>
      </c>
      <c r="B73" s="138" t="s">
        <v>12</v>
      </c>
      <c r="C73" s="60" t="s">
        <v>411</v>
      </c>
      <c r="D73" s="60"/>
      <c r="E73" s="55"/>
      <c r="F73" s="55" t="s">
        <v>375</v>
      </c>
      <c r="G73" s="55" t="s">
        <v>376</v>
      </c>
      <c r="H73" s="46">
        <v>83294621</v>
      </c>
      <c r="I73" s="376" t="s">
        <v>1636</v>
      </c>
      <c r="J73" s="4" t="s">
        <v>377</v>
      </c>
      <c r="K73" s="62">
        <v>3</v>
      </c>
      <c r="L73" s="45"/>
      <c r="M73" s="13">
        <f>7132-3499</f>
        <v>3633</v>
      </c>
      <c r="N73" s="13">
        <f>12483-6119</f>
        <v>6364</v>
      </c>
      <c r="O73" s="13">
        <f t="shared" si="1"/>
        <v>9997</v>
      </c>
      <c r="P73" s="210"/>
    </row>
    <row r="74" spans="1:16" ht="29.25">
      <c r="A74" s="288" t="s">
        <v>11</v>
      </c>
      <c r="B74" s="138" t="s">
        <v>12</v>
      </c>
      <c r="C74" s="60" t="s">
        <v>386</v>
      </c>
      <c r="D74" s="60"/>
      <c r="E74" s="55"/>
      <c r="F74" s="55" t="s">
        <v>375</v>
      </c>
      <c r="G74" s="55" t="s">
        <v>376</v>
      </c>
      <c r="H74" s="46">
        <v>49672</v>
      </c>
      <c r="I74" s="376" t="s">
        <v>1637</v>
      </c>
      <c r="J74" s="4" t="s">
        <v>377</v>
      </c>
      <c r="K74" s="62">
        <v>3</v>
      </c>
      <c r="L74" s="45"/>
      <c r="M74" s="13">
        <f>105040-90251</f>
        <v>14789</v>
      </c>
      <c r="N74" s="13">
        <f>183590-161224</f>
        <v>22366</v>
      </c>
      <c r="O74" s="13">
        <f t="shared" si="1"/>
        <v>37155</v>
      </c>
      <c r="P74" s="210"/>
    </row>
    <row r="75" spans="1:16" ht="29.25">
      <c r="A75" s="288" t="s">
        <v>11</v>
      </c>
      <c r="B75" s="138" t="s">
        <v>12</v>
      </c>
      <c r="C75" s="60" t="s">
        <v>412</v>
      </c>
      <c r="D75" s="60"/>
      <c r="E75" s="55"/>
      <c r="F75" s="55" t="s">
        <v>375</v>
      </c>
      <c r="G75" s="55" t="s">
        <v>376</v>
      </c>
      <c r="H75" s="46">
        <v>83294574</v>
      </c>
      <c r="I75" s="387" t="s">
        <v>1638</v>
      </c>
      <c r="J75" s="4" t="s">
        <v>377</v>
      </c>
      <c r="K75" s="62">
        <v>4</v>
      </c>
      <c r="L75" s="45"/>
      <c r="M75" s="13">
        <f>1789-998</f>
        <v>791</v>
      </c>
      <c r="N75" s="13">
        <f>4001-2219</f>
        <v>1782</v>
      </c>
      <c r="O75" s="13">
        <f t="shared" si="1"/>
        <v>2573</v>
      </c>
      <c r="P75" s="210"/>
    </row>
    <row r="76" spans="1:16" ht="29.25">
      <c r="A76" s="288" t="s">
        <v>11</v>
      </c>
      <c r="B76" s="138" t="s">
        <v>12</v>
      </c>
      <c r="C76" s="60" t="s">
        <v>413</v>
      </c>
      <c r="D76" s="60"/>
      <c r="E76" s="55"/>
      <c r="F76" s="55" t="s">
        <v>414</v>
      </c>
      <c r="G76" s="55" t="s">
        <v>415</v>
      </c>
      <c r="H76" s="46">
        <v>90071258</v>
      </c>
      <c r="I76" s="376" t="s">
        <v>1639</v>
      </c>
      <c r="J76" s="4" t="s">
        <v>377</v>
      </c>
      <c r="K76" s="62">
        <v>6</v>
      </c>
      <c r="L76" s="45"/>
      <c r="M76" s="13">
        <f>4867-2762</f>
        <v>2105</v>
      </c>
      <c r="N76" s="13">
        <f>9244-5096</f>
        <v>4148</v>
      </c>
      <c r="O76" s="13">
        <f t="shared" si="1"/>
        <v>6253</v>
      </c>
      <c r="P76" s="210"/>
    </row>
    <row r="77" spans="1:16" ht="29.25">
      <c r="A77" s="288" t="s">
        <v>11</v>
      </c>
      <c r="B77" s="138" t="s">
        <v>12</v>
      </c>
      <c r="C77" s="60" t="s">
        <v>404</v>
      </c>
      <c r="D77" s="60"/>
      <c r="E77" s="55"/>
      <c r="F77" s="55" t="s">
        <v>375</v>
      </c>
      <c r="G77" s="55" t="s">
        <v>376</v>
      </c>
      <c r="H77" s="46">
        <v>32665</v>
      </c>
      <c r="I77" s="376" t="s">
        <v>1640</v>
      </c>
      <c r="J77" s="4" t="s">
        <v>377</v>
      </c>
      <c r="K77" s="62">
        <v>2</v>
      </c>
      <c r="L77" s="45"/>
      <c r="M77" s="13">
        <f>21083-18136</f>
        <v>2947</v>
      </c>
      <c r="N77" s="13">
        <f>39956-33451</f>
        <v>6505</v>
      </c>
      <c r="O77" s="13">
        <f t="shared" si="1"/>
        <v>9452</v>
      </c>
      <c r="P77" s="210"/>
    </row>
    <row r="78" spans="1:16" ht="29.25">
      <c r="A78" s="288" t="s">
        <v>11</v>
      </c>
      <c r="B78" s="138" t="s">
        <v>12</v>
      </c>
      <c r="C78" s="60" t="s">
        <v>386</v>
      </c>
      <c r="D78" s="60" t="s">
        <v>416</v>
      </c>
      <c r="E78" s="55"/>
      <c r="F78" s="55" t="s">
        <v>375</v>
      </c>
      <c r="G78" s="55" t="s">
        <v>376</v>
      </c>
      <c r="H78" s="46">
        <v>45828</v>
      </c>
      <c r="I78" s="387" t="s">
        <v>1641</v>
      </c>
      <c r="J78" s="4" t="s">
        <v>377</v>
      </c>
      <c r="K78" s="62">
        <v>1</v>
      </c>
      <c r="L78" s="45"/>
      <c r="M78" s="13">
        <f>19296-15772</f>
        <v>3524</v>
      </c>
      <c r="N78" s="13">
        <f>36826-29150</f>
        <v>7676</v>
      </c>
      <c r="O78" s="13">
        <f t="shared" si="1"/>
        <v>11200</v>
      </c>
      <c r="P78" s="210"/>
    </row>
    <row r="79" spans="1:16" ht="29.25">
      <c r="A79" s="288" t="s">
        <v>11</v>
      </c>
      <c r="B79" s="138" t="s">
        <v>12</v>
      </c>
      <c r="C79" s="60" t="s">
        <v>393</v>
      </c>
      <c r="D79" s="60"/>
      <c r="E79" s="55"/>
      <c r="F79" s="55" t="s">
        <v>375</v>
      </c>
      <c r="G79" s="55" t="s">
        <v>376</v>
      </c>
      <c r="H79" s="46">
        <v>90071447</v>
      </c>
      <c r="I79" s="376" t="s">
        <v>1642</v>
      </c>
      <c r="J79" s="4" t="s">
        <v>377</v>
      </c>
      <c r="K79" s="62">
        <v>1</v>
      </c>
      <c r="L79" s="45"/>
      <c r="M79" s="13">
        <f>4054-2139</f>
        <v>1915</v>
      </c>
      <c r="N79" s="13">
        <f>8366-4260</f>
        <v>4106</v>
      </c>
      <c r="O79" s="13">
        <f t="shared" si="1"/>
        <v>6021</v>
      </c>
      <c r="P79" s="210"/>
    </row>
    <row r="80" spans="1:16" ht="29.25">
      <c r="A80" s="288" t="s">
        <v>11</v>
      </c>
      <c r="B80" s="138" t="s">
        <v>12</v>
      </c>
      <c r="C80" s="60" t="s">
        <v>404</v>
      </c>
      <c r="D80" s="60"/>
      <c r="E80" s="55"/>
      <c r="F80" s="55" t="s">
        <v>375</v>
      </c>
      <c r="G80" s="55" t="s">
        <v>376</v>
      </c>
      <c r="H80" s="46">
        <v>90073953</v>
      </c>
      <c r="I80" s="376" t="s">
        <v>1643</v>
      </c>
      <c r="J80" s="4" t="s">
        <v>377</v>
      </c>
      <c r="K80" s="62">
        <v>7</v>
      </c>
      <c r="L80" s="45"/>
      <c r="M80" s="13">
        <f>12302-7448</f>
        <v>4854</v>
      </c>
      <c r="N80" s="13">
        <f>23826-13069</f>
        <v>10757</v>
      </c>
      <c r="O80" s="13">
        <f t="shared" si="1"/>
        <v>15611</v>
      </c>
      <c r="P80" s="210"/>
    </row>
    <row r="81" spans="1:16" ht="29.25">
      <c r="A81" s="288" t="s">
        <v>11</v>
      </c>
      <c r="B81" s="138" t="s">
        <v>12</v>
      </c>
      <c r="C81" s="60" t="s">
        <v>406</v>
      </c>
      <c r="D81" s="60"/>
      <c r="E81" s="55"/>
      <c r="F81" s="55" t="s">
        <v>375</v>
      </c>
      <c r="G81" s="55" t="s">
        <v>376</v>
      </c>
      <c r="H81" s="46">
        <v>83294533</v>
      </c>
      <c r="I81" s="387" t="s">
        <v>1644</v>
      </c>
      <c r="J81" s="4" t="s">
        <v>377</v>
      </c>
      <c r="K81" s="62">
        <v>2</v>
      </c>
      <c r="L81" s="45"/>
      <c r="M81" s="13">
        <f>3964-2338</f>
        <v>1626</v>
      </c>
      <c r="N81" s="13">
        <f>7633-4205</f>
        <v>3428</v>
      </c>
      <c r="O81" s="13">
        <f t="shared" si="1"/>
        <v>5054</v>
      </c>
      <c r="P81" s="210"/>
    </row>
    <row r="82" spans="1:16" ht="29.25">
      <c r="A82" s="288" t="s">
        <v>11</v>
      </c>
      <c r="B82" s="138" t="s">
        <v>12</v>
      </c>
      <c r="C82" s="60" t="s">
        <v>417</v>
      </c>
      <c r="D82" s="60"/>
      <c r="E82" s="55"/>
      <c r="F82" s="55" t="s">
        <v>375</v>
      </c>
      <c r="G82" s="55" t="s">
        <v>376</v>
      </c>
      <c r="H82" s="46">
        <v>83294261</v>
      </c>
      <c r="I82" s="376" t="s">
        <v>1645</v>
      </c>
      <c r="J82" s="4" t="s">
        <v>377</v>
      </c>
      <c r="K82" s="62">
        <v>0.5</v>
      </c>
      <c r="L82" s="45"/>
      <c r="M82" s="13">
        <f>497-269</f>
        <v>228</v>
      </c>
      <c r="N82" s="13">
        <f>1032-554</f>
        <v>478</v>
      </c>
      <c r="O82" s="13">
        <f t="shared" si="1"/>
        <v>706</v>
      </c>
      <c r="P82" s="210"/>
    </row>
    <row r="83" spans="1:16" ht="29.25">
      <c r="A83" s="288" t="s">
        <v>11</v>
      </c>
      <c r="B83" s="138" t="s">
        <v>12</v>
      </c>
      <c r="C83" s="60" t="s">
        <v>410</v>
      </c>
      <c r="D83" s="60"/>
      <c r="E83" s="55">
        <v>70</v>
      </c>
      <c r="F83" s="55" t="s">
        <v>375</v>
      </c>
      <c r="G83" s="55" t="s">
        <v>376</v>
      </c>
      <c r="H83" s="46">
        <v>14498201</v>
      </c>
      <c r="I83" s="376" t="s">
        <v>1646</v>
      </c>
      <c r="J83" s="4" t="s">
        <v>377</v>
      </c>
      <c r="K83" s="62">
        <v>1</v>
      </c>
      <c r="L83" s="45"/>
      <c r="M83" s="13">
        <f>17930-14822</f>
        <v>3108</v>
      </c>
      <c r="N83" s="13">
        <f>21403-19464</f>
        <v>1939</v>
      </c>
      <c r="O83" s="13">
        <f t="shared" si="1"/>
        <v>5047</v>
      </c>
      <c r="P83" s="210"/>
    </row>
    <row r="84" spans="1:16" ht="29.25">
      <c r="A84" s="288" t="s">
        <v>11</v>
      </c>
      <c r="B84" s="138" t="s">
        <v>12</v>
      </c>
      <c r="C84" s="60" t="s">
        <v>410</v>
      </c>
      <c r="D84" s="60"/>
      <c r="E84" s="55" t="s">
        <v>418</v>
      </c>
      <c r="F84" s="55" t="s">
        <v>375</v>
      </c>
      <c r="G84" s="55" t="s">
        <v>376</v>
      </c>
      <c r="H84" s="46">
        <v>83294559</v>
      </c>
      <c r="I84" s="387" t="s">
        <v>1647</v>
      </c>
      <c r="J84" s="4" t="s">
        <v>377</v>
      </c>
      <c r="K84" s="62">
        <v>1</v>
      </c>
      <c r="L84" s="45"/>
      <c r="M84" s="13">
        <f>2266-1275</f>
        <v>991</v>
      </c>
      <c r="N84" s="13">
        <f>4334-2416</f>
        <v>1918</v>
      </c>
      <c r="O84" s="13">
        <f t="shared" si="1"/>
        <v>2909</v>
      </c>
      <c r="P84" s="210"/>
    </row>
    <row r="85" spans="1:16" ht="29.25">
      <c r="A85" s="288" t="s">
        <v>11</v>
      </c>
      <c r="B85" s="138" t="s">
        <v>12</v>
      </c>
      <c r="C85" s="60" t="s">
        <v>376</v>
      </c>
      <c r="D85" s="60" t="s">
        <v>419</v>
      </c>
      <c r="E85" s="55"/>
      <c r="F85" s="55" t="s">
        <v>375</v>
      </c>
      <c r="G85" s="55" t="s">
        <v>376</v>
      </c>
      <c r="H85" s="46">
        <v>83294595</v>
      </c>
      <c r="I85" s="376" t="s">
        <v>1648</v>
      </c>
      <c r="J85" s="4" t="s">
        <v>377</v>
      </c>
      <c r="K85" s="62">
        <v>1</v>
      </c>
      <c r="L85" s="45"/>
      <c r="M85" s="13">
        <f>1159-651</f>
        <v>508</v>
      </c>
      <c r="N85" s="13">
        <f>2409-1332</f>
        <v>1077</v>
      </c>
      <c r="O85" s="13">
        <f t="shared" si="1"/>
        <v>1585</v>
      </c>
      <c r="P85" s="210"/>
    </row>
    <row r="86" spans="1:16" ht="29.25">
      <c r="A86" s="288" t="s">
        <v>11</v>
      </c>
      <c r="B86" s="138" t="s">
        <v>12</v>
      </c>
      <c r="C86" s="60" t="s">
        <v>411</v>
      </c>
      <c r="D86" s="60"/>
      <c r="E86" s="55"/>
      <c r="F86" s="55" t="s">
        <v>375</v>
      </c>
      <c r="G86" s="55" t="s">
        <v>376</v>
      </c>
      <c r="H86" s="46">
        <v>90095908</v>
      </c>
      <c r="I86" s="376" t="s">
        <v>1649</v>
      </c>
      <c r="J86" s="4" t="s">
        <v>377</v>
      </c>
      <c r="K86" s="62">
        <v>5</v>
      </c>
      <c r="L86" s="45"/>
      <c r="M86" s="13">
        <f>8729-4318</f>
        <v>4411</v>
      </c>
      <c r="N86" s="13">
        <f>18542-8752</f>
        <v>9790</v>
      </c>
      <c r="O86" s="13">
        <f t="shared" si="1"/>
        <v>14201</v>
      </c>
      <c r="P86" s="210"/>
    </row>
    <row r="87" spans="1:16" ht="29.25">
      <c r="A87" s="288" t="s">
        <v>11</v>
      </c>
      <c r="B87" s="138" t="s">
        <v>12</v>
      </c>
      <c r="C87" s="60" t="s">
        <v>384</v>
      </c>
      <c r="D87" s="60" t="s">
        <v>1650</v>
      </c>
      <c r="E87" s="55"/>
      <c r="F87" s="55" t="s">
        <v>375</v>
      </c>
      <c r="G87" s="55" t="s">
        <v>376</v>
      </c>
      <c r="H87" s="46">
        <v>14225</v>
      </c>
      <c r="I87" s="387" t="s">
        <v>1651</v>
      </c>
      <c r="J87" s="4" t="s">
        <v>377</v>
      </c>
      <c r="K87" s="62">
        <v>2</v>
      </c>
      <c r="L87" s="45"/>
      <c r="M87" s="13">
        <f>3-3</f>
        <v>0</v>
      </c>
      <c r="N87" s="13">
        <f>0.27-0.27</f>
        <v>0</v>
      </c>
      <c r="O87" s="13">
        <f>M87+N87</f>
        <v>0</v>
      </c>
      <c r="P87" s="210"/>
    </row>
    <row r="88" spans="1:16" ht="29.25">
      <c r="A88" s="288" t="s">
        <v>11</v>
      </c>
      <c r="B88" s="138" t="s">
        <v>12</v>
      </c>
      <c r="C88" s="60" t="s">
        <v>404</v>
      </c>
      <c r="D88" s="60" t="s">
        <v>420</v>
      </c>
      <c r="E88" s="55"/>
      <c r="F88" s="55" t="s">
        <v>375</v>
      </c>
      <c r="G88" s="55" t="s">
        <v>376</v>
      </c>
      <c r="H88" s="46">
        <v>9440452</v>
      </c>
      <c r="I88" s="376" t="s">
        <v>1652</v>
      </c>
      <c r="J88" s="4" t="s">
        <v>377</v>
      </c>
      <c r="K88" s="62">
        <v>2</v>
      </c>
      <c r="L88" s="45"/>
      <c r="M88" s="13">
        <f>16661-14449</f>
        <v>2212</v>
      </c>
      <c r="N88" s="13">
        <f>24654-21194</f>
        <v>3460</v>
      </c>
      <c r="O88" s="13">
        <f>SUM(M88:N88)</f>
        <v>5672</v>
      </c>
      <c r="P88" s="210"/>
    </row>
    <row r="89" spans="1:16" ht="29.25">
      <c r="A89" s="288" t="s">
        <v>11</v>
      </c>
      <c r="B89" s="138" t="s">
        <v>12</v>
      </c>
      <c r="C89" s="60" t="s">
        <v>384</v>
      </c>
      <c r="D89" s="60" t="s">
        <v>421</v>
      </c>
      <c r="E89" s="55" t="s">
        <v>422</v>
      </c>
      <c r="F89" s="55" t="s">
        <v>375</v>
      </c>
      <c r="G89" s="55" t="s">
        <v>376</v>
      </c>
      <c r="H89" s="46">
        <v>70513414</v>
      </c>
      <c r="I89" s="376" t="s">
        <v>1653</v>
      </c>
      <c r="J89" s="4" t="s">
        <v>377</v>
      </c>
      <c r="K89" s="62">
        <v>2</v>
      </c>
      <c r="L89" s="45"/>
      <c r="M89" s="13">
        <f>15751-12413</f>
        <v>3338</v>
      </c>
      <c r="N89" s="13">
        <f>30034-23260</f>
        <v>6774</v>
      </c>
      <c r="O89" s="13">
        <f>SUM(M89:N89)</f>
        <v>10112</v>
      </c>
      <c r="P89" s="210"/>
    </row>
    <row r="90" spans="1:16" ht="29.25">
      <c r="A90" s="288" t="s">
        <v>11</v>
      </c>
      <c r="B90" s="138" t="s">
        <v>12</v>
      </c>
      <c r="C90" s="60" t="s">
        <v>398</v>
      </c>
      <c r="D90" s="60" t="s">
        <v>87</v>
      </c>
      <c r="E90" s="55">
        <v>31</v>
      </c>
      <c r="F90" s="55" t="s">
        <v>375</v>
      </c>
      <c r="G90" s="55" t="s">
        <v>376</v>
      </c>
      <c r="H90" s="46">
        <v>124331</v>
      </c>
      <c r="I90" s="387" t="s">
        <v>1654</v>
      </c>
      <c r="J90" s="4" t="s">
        <v>377</v>
      </c>
      <c r="K90" s="62">
        <v>1</v>
      </c>
      <c r="L90" s="45"/>
      <c r="M90" s="13">
        <f>1767-1288</f>
        <v>479</v>
      </c>
      <c r="N90" s="13">
        <f>3108-2238</f>
        <v>870</v>
      </c>
      <c r="O90" s="13">
        <f>M90+N90</f>
        <v>1349</v>
      </c>
      <c r="P90" s="210"/>
    </row>
    <row r="91" spans="1:16" ht="29.25">
      <c r="A91" s="288" t="s">
        <v>11</v>
      </c>
      <c r="B91" s="138" t="s">
        <v>12</v>
      </c>
      <c r="C91" s="60" t="s">
        <v>410</v>
      </c>
      <c r="D91" s="60"/>
      <c r="E91" s="55"/>
      <c r="F91" s="55" t="s">
        <v>375</v>
      </c>
      <c r="G91" s="55" t="s">
        <v>376</v>
      </c>
      <c r="H91" s="46">
        <v>47680</v>
      </c>
      <c r="I91" s="376" t="s">
        <v>1655</v>
      </c>
      <c r="J91" s="4" t="s">
        <v>377</v>
      </c>
      <c r="K91" s="62">
        <v>3</v>
      </c>
      <c r="L91" s="45"/>
      <c r="M91" s="13">
        <f>14804-12229</f>
        <v>2575</v>
      </c>
      <c r="N91" s="13">
        <f>11414-10239</f>
        <v>1175</v>
      </c>
      <c r="O91" s="13">
        <f>SUM(M91:N91)</f>
        <v>3750</v>
      </c>
      <c r="P91" s="210"/>
    </row>
    <row r="92" spans="1:16" ht="29.25">
      <c r="A92" s="288" t="s">
        <v>11</v>
      </c>
      <c r="B92" s="138" t="s">
        <v>12</v>
      </c>
      <c r="C92" s="60" t="s">
        <v>373</v>
      </c>
      <c r="D92" s="60" t="s">
        <v>423</v>
      </c>
      <c r="E92" s="55"/>
      <c r="F92" s="55" t="s">
        <v>375</v>
      </c>
      <c r="G92" s="55" t="s">
        <v>376</v>
      </c>
      <c r="H92" s="46">
        <v>43465</v>
      </c>
      <c r="I92" s="376" t="s">
        <v>1656</v>
      </c>
      <c r="J92" s="155" t="s">
        <v>16</v>
      </c>
      <c r="K92" s="62">
        <v>3</v>
      </c>
      <c r="L92" s="45"/>
      <c r="M92" s="13">
        <f>1233-1051</f>
        <v>182</v>
      </c>
      <c r="N92" s="13">
        <f>3461-2787</f>
        <v>674</v>
      </c>
      <c r="O92" s="13">
        <f aca="true" t="shared" si="2" ref="O92:O102">SUM(M92:N92)</f>
        <v>856</v>
      </c>
      <c r="P92" s="210"/>
    </row>
    <row r="93" spans="1:16" ht="29.25">
      <c r="A93" s="288" t="s">
        <v>11</v>
      </c>
      <c r="B93" s="138" t="s">
        <v>12</v>
      </c>
      <c r="C93" s="60" t="s">
        <v>373</v>
      </c>
      <c r="D93" s="60" t="s">
        <v>424</v>
      </c>
      <c r="E93" s="55"/>
      <c r="F93" s="55" t="s">
        <v>375</v>
      </c>
      <c r="G93" s="55" t="s">
        <v>376</v>
      </c>
      <c r="H93" s="46">
        <v>44420</v>
      </c>
      <c r="I93" s="387" t="s">
        <v>1657</v>
      </c>
      <c r="J93" s="155" t="s">
        <v>16</v>
      </c>
      <c r="K93" s="62">
        <v>1</v>
      </c>
      <c r="L93" s="45"/>
      <c r="M93" s="13">
        <f>1291-1065</f>
        <v>226</v>
      </c>
      <c r="N93" s="13">
        <f>4238-3359</f>
        <v>879</v>
      </c>
      <c r="O93" s="13">
        <f t="shared" si="2"/>
        <v>1105</v>
      </c>
      <c r="P93" s="210"/>
    </row>
    <row r="94" spans="1:16" ht="29.25">
      <c r="A94" s="288" t="s">
        <v>11</v>
      </c>
      <c r="B94" s="138" t="s">
        <v>12</v>
      </c>
      <c r="C94" s="60" t="s">
        <v>425</v>
      </c>
      <c r="D94" s="60"/>
      <c r="E94" s="55"/>
      <c r="F94" s="55" t="s">
        <v>375</v>
      </c>
      <c r="G94" s="55" t="s">
        <v>376</v>
      </c>
      <c r="H94" s="46">
        <v>102310</v>
      </c>
      <c r="I94" s="376" t="s">
        <v>1658</v>
      </c>
      <c r="J94" s="4" t="s">
        <v>377</v>
      </c>
      <c r="K94" s="62">
        <v>3</v>
      </c>
      <c r="L94" s="45"/>
      <c r="M94" s="13">
        <f>7005-4995</f>
        <v>2010</v>
      </c>
      <c r="N94" s="13">
        <f>13760-9456</f>
        <v>4304</v>
      </c>
      <c r="O94" s="13">
        <f t="shared" si="2"/>
        <v>6314</v>
      </c>
      <c r="P94" s="210"/>
    </row>
    <row r="95" spans="1:16" ht="29.25">
      <c r="A95" s="284" t="s">
        <v>11</v>
      </c>
      <c r="B95" s="138" t="s">
        <v>12</v>
      </c>
      <c r="C95" s="60" t="s">
        <v>402</v>
      </c>
      <c r="D95" s="60" t="s">
        <v>426</v>
      </c>
      <c r="E95" s="55"/>
      <c r="F95" s="55" t="s">
        <v>375</v>
      </c>
      <c r="G95" s="55" t="s">
        <v>376</v>
      </c>
      <c r="H95" s="46">
        <v>102311</v>
      </c>
      <c r="I95" s="376" t="s">
        <v>1659</v>
      </c>
      <c r="J95" s="4" t="s">
        <v>377</v>
      </c>
      <c r="K95" s="62">
        <v>2</v>
      </c>
      <c r="L95" s="45"/>
      <c r="M95" s="13">
        <f>10433-7755</f>
        <v>2678</v>
      </c>
      <c r="N95" s="13">
        <f>21291-16378</f>
        <v>4913</v>
      </c>
      <c r="O95" s="14">
        <f t="shared" si="2"/>
        <v>7591</v>
      </c>
      <c r="P95" s="210"/>
    </row>
    <row r="96" spans="1:16" ht="29.25">
      <c r="A96" s="284" t="s">
        <v>11</v>
      </c>
      <c r="B96" s="138" t="s">
        <v>12</v>
      </c>
      <c r="C96" s="60" t="s">
        <v>397</v>
      </c>
      <c r="D96" s="60" t="s">
        <v>1660</v>
      </c>
      <c r="E96" s="55"/>
      <c r="F96" s="55" t="s">
        <v>375</v>
      </c>
      <c r="G96" s="55" t="s">
        <v>376</v>
      </c>
      <c r="H96" s="46">
        <v>122190</v>
      </c>
      <c r="I96" s="376" t="s">
        <v>1662</v>
      </c>
      <c r="J96" s="4" t="s">
        <v>377</v>
      </c>
      <c r="K96" s="62">
        <v>3</v>
      </c>
      <c r="L96" s="45"/>
      <c r="M96" s="13">
        <f>6145-4969</f>
        <v>1176</v>
      </c>
      <c r="N96" s="13">
        <f>12330-9707</f>
        <v>2623</v>
      </c>
      <c r="O96" s="13">
        <f t="shared" si="2"/>
        <v>3799</v>
      </c>
      <c r="P96" s="210"/>
    </row>
    <row r="97" spans="1:16" ht="29.25">
      <c r="A97" s="288" t="s">
        <v>11</v>
      </c>
      <c r="B97" s="138" t="s">
        <v>12</v>
      </c>
      <c r="C97" s="138" t="s">
        <v>399</v>
      </c>
      <c r="D97" s="138"/>
      <c r="E97" s="52"/>
      <c r="F97" s="55" t="s">
        <v>375</v>
      </c>
      <c r="G97" s="55" t="s">
        <v>376</v>
      </c>
      <c r="H97" s="42">
        <v>122194</v>
      </c>
      <c r="I97" s="376" t="s">
        <v>1661</v>
      </c>
      <c r="J97" s="163" t="s">
        <v>377</v>
      </c>
      <c r="K97" s="164">
        <v>3</v>
      </c>
      <c r="L97" s="54"/>
      <c r="M97" s="13">
        <f>9030-7233</f>
        <v>1797</v>
      </c>
      <c r="N97" s="13">
        <f>18048-14110</f>
        <v>3938</v>
      </c>
      <c r="O97" s="13">
        <f t="shared" si="2"/>
        <v>5735</v>
      </c>
      <c r="P97" s="210"/>
    </row>
    <row r="98" spans="1:16" ht="29.25">
      <c r="A98" s="296" t="s">
        <v>11</v>
      </c>
      <c r="B98" s="139" t="s">
        <v>12</v>
      </c>
      <c r="C98" s="373" t="s">
        <v>412</v>
      </c>
      <c r="D98" s="373"/>
      <c r="E98" s="374"/>
      <c r="F98" s="374" t="s">
        <v>375</v>
      </c>
      <c r="G98" s="374" t="s">
        <v>376</v>
      </c>
      <c r="H98" s="397">
        <v>43233</v>
      </c>
      <c r="I98" s="453" t="s">
        <v>1696</v>
      </c>
      <c r="J98" s="269" t="s">
        <v>377</v>
      </c>
      <c r="K98" s="193">
        <v>1</v>
      </c>
      <c r="L98" s="194"/>
      <c r="M98" s="195">
        <f>1585-1275</f>
        <v>310</v>
      </c>
      <c r="N98" s="195">
        <f>1894-1491</f>
        <v>403</v>
      </c>
      <c r="O98" s="13">
        <f t="shared" si="2"/>
        <v>713</v>
      </c>
      <c r="P98" s="210"/>
    </row>
    <row r="99" spans="1:16" ht="29.25">
      <c r="A99" s="296" t="s">
        <v>11</v>
      </c>
      <c r="B99" s="137" t="s">
        <v>12</v>
      </c>
      <c r="C99" s="373" t="s">
        <v>417</v>
      </c>
      <c r="D99" s="373"/>
      <c r="E99" s="374"/>
      <c r="F99" s="374" t="s">
        <v>414</v>
      </c>
      <c r="G99" s="374" t="s">
        <v>415</v>
      </c>
      <c r="H99" s="397">
        <v>41939</v>
      </c>
      <c r="I99" s="453" t="s">
        <v>1695</v>
      </c>
      <c r="J99" s="269" t="s">
        <v>377</v>
      </c>
      <c r="K99" s="193">
        <v>2</v>
      </c>
      <c r="L99" s="194"/>
      <c r="M99" s="195">
        <f>7862-5802</f>
        <v>2060</v>
      </c>
      <c r="N99" s="195">
        <f>12241-8964</f>
        <v>3277</v>
      </c>
      <c r="O99" s="13">
        <f t="shared" si="2"/>
        <v>5337</v>
      </c>
      <c r="P99" s="210"/>
    </row>
    <row r="100" spans="1:16" ht="39" customHeight="1">
      <c r="A100" s="296" t="s">
        <v>11</v>
      </c>
      <c r="B100" s="137" t="s">
        <v>1306</v>
      </c>
      <c r="C100" s="60" t="s">
        <v>395</v>
      </c>
      <c r="D100" s="55" t="s">
        <v>1697</v>
      </c>
      <c r="E100" s="55" t="s">
        <v>1698</v>
      </c>
      <c r="F100" s="46" t="s">
        <v>375</v>
      </c>
      <c r="G100" s="46" t="s">
        <v>376</v>
      </c>
      <c r="H100" s="55">
        <v>120429</v>
      </c>
      <c r="I100" s="376" t="s">
        <v>1764</v>
      </c>
      <c r="J100" s="268" t="s">
        <v>16</v>
      </c>
      <c r="K100" s="62">
        <v>40</v>
      </c>
      <c r="L100" s="298"/>
      <c r="M100" s="13">
        <f>1403-788</f>
        <v>615</v>
      </c>
      <c r="N100" s="13">
        <f>5607-3072</f>
        <v>2535</v>
      </c>
      <c r="O100" s="13">
        <f t="shared" si="2"/>
        <v>3150</v>
      </c>
      <c r="P100" s="210"/>
    </row>
    <row r="101" spans="1:16" ht="38.25" customHeight="1">
      <c r="A101" s="296" t="s">
        <v>11</v>
      </c>
      <c r="B101" s="137" t="s">
        <v>1306</v>
      </c>
      <c r="C101" s="60" t="s">
        <v>410</v>
      </c>
      <c r="D101" s="55"/>
      <c r="E101" s="55"/>
      <c r="F101" s="55" t="s">
        <v>375</v>
      </c>
      <c r="G101" s="46" t="s">
        <v>376</v>
      </c>
      <c r="H101" s="55">
        <v>259355</v>
      </c>
      <c r="I101" s="376" t="s">
        <v>1769</v>
      </c>
      <c r="J101" s="4" t="s">
        <v>377</v>
      </c>
      <c r="K101" s="62">
        <v>5</v>
      </c>
      <c r="L101" s="298"/>
      <c r="M101" s="13">
        <f>25994-23505</f>
        <v>2489</v>
      </c>
      <c r="N101" s="13">
        <f>14902-9958</f>
        <v>4944</v>
      </c>
      <c r="O101" s="13">
        <f t="shared" si="2"/>
        <v>7433</v>
      </c>
      <c r="P101" s="210"/>
    </row>
    <row r="102" spans="1:16" ht="37.5" customHeight="1">
      <c r="A102" s="296" t="s">
        <v>11</v>
      </c>
      <c r="B102" s="137" t="s">
        <v>1306</v>
      </c>
      <c r="C102" s="55" t="s">
        <v>404</v>
      </c>
      <c r="D102" s="55" t="s">
        <v>1699</v>
      </c>
      <c r="E102" s="55"/>
      <c r="F102" s="55" t="s">
        <v>375</v>
      </c>
      <c r="G102" s="46" t="s">
        <v>376</v>
      </c>
      <c r="H102" s="55">
        <v>1488939</v>
      </c>
      <c r="I102" s="376" t="s">
        <v>1766</v>
      </c>
      <c r="J102" s="4" t="s">
        <v>377</v>
      </c>
      <c r="K102" s="62">
        <v>2</v>
      </c>
      <c r="L102" s="298"/>
      <c r="M102" s="13">
        <f>5255-3789</f>
        <v>1466</v>
      </c>
      <c r="N102" s="13">
        <f>10366-7352</f>
        <v>3014</v>
      </c>
      <c r="O102" s="13">
        <f t="shared" si="2"/>
        <v>4480</v>
      </c>
      <c r="P102" s="210"/>
    </row>
    <row r="103" spans="1:16" ht="39" customHeight="1">
      <c r="A103" s="296" t="s">
        <v>11</v>
      </c>
      <c r="B103" s="137" t="s">
        <v>1306</v>
      </c>
      <c r="C103" s="55" t="s">
        <v>406</v>
      </c>
      <c r="D103" s="55" t="s">
        <v>1700</v>
      </c>
      <c r="E103" s="55"/>
      <c r="F103" s="55" t="s">
        <v>375</v>
      </c>
      <c r="G103" s="46" t="s">
        <v>376</v>
      </c>
      <c r="H103" s="55">
        <v>1488942</v>
      </c>
      <c r="I103" s="376" t="s">
        <v>1765</v>
      </c>
      <c r="J103" s="4" t="s">
        <v>377</v>
      </c>
      <c r="K103" s="62">
        <v>1</v>
      </c>
      <c r="L103" s="298"/>
      <c r="M103" s="13">
        <f>1357-990</f>
        <v>367</v>
      </c>
      <c r="N103" s="13">
        <f>2449-1815</f>
        <v>634</v>
      </c>
      <c r="O103" s="13">
        <f aca="true" t="shared" si="3" ref="O103:O111">SUM(M103:N103)</f>
        <v>1001</v>
      </c>
      <c r="P103" s="210"/>
    </row>
    <row r="104" spans="1:16" ht="35.25" customHeight="1">
      <c r="A104" s="296" t="s">
        <v>11</v>
      </c>
      <c r="B104" s="137" t="s">
        <v>1306</v>
      </c>
      <c r="C104" s="55" t="s">
        <v>406</v>
      </c>
      <c r="D104" s="55" t="s">
        <v>1002</v>
      </c>
      <c r="E104" s="55"/>
      <c r="F104" s="55" t="s">
        <v>375</v>
      </c>
      <c r="G104" s="46" t="s">
        <v>376</v>
      </c>
      <c r="H104" s="55">
        <v>1488940</v>
      </c>
      <c r="I104" s="376" t="s">
        <v>1767</v>
      </c>
      <c r="J104" s="4" t="s">
        <v>377</v>
      </c>
      <c r="K104" s="62">
        <v>1</v>
      </c>
      <c r="L104" s="298"/>
      <c r="M104" s="13">
        <f>1703-1284</f>
        <v>419</v>
      </c>
      <c r="N104" s="13">
        <f>3249-2269</f>
        <v>980</v>
      </c>
      <c r="O104" s="13">
        <f t="shared" si="3"/>
        <v>1399</v>
      </c>
      <c r="P104" s="210"/>
    </row>
    <row r="105" spans="1:16" ht="37.5" customHeight="1">
      <c r="A105" s="296" t="s">
        <v>11</v>
      </c>
      <c r="B105" s="137" t="s">
        <v>1306</v>
      </c>
      <c r="C105" s="60" t="s">
        <v>395</v>
      </c>
      <c r="D105" s="61" t="s">
        <v>1701</v>
      </c>
      <c r="E105" s="46"/>
      <c r="F105" s="55" t="s">
        <v>375</v>
      </c>
      <c r="G105" s="46" t="s">
        <v>376</v>
      </c>
      <c r="H105" s="46">
        <v>1488941</v>
      </c>
      <c r="I105" s="376" t="s">
        <v>1768</v>
      </c>
      <c r="J105" s="4" t="s">
        <v>377</v>
      </c>
      <c r="K105" s="62">
        <v>1</v>
      </c>
      <c r="L105" s="182"/>
      <c r="M105" s="299">
        <f>4177-2746</f>
        <v>1431</v>
      </c>
      <c r="N105" s="299">
        <f>6909-4402</f>
        <v>2507</v>
      </c>
      <c r="O105" s="299">
        <f t="shared" si="3"/>
        <v>3938</v>
      </c>
      <c r="P105" s="210"/>
    </row>
    <row r="106" spans="1:16" ht="36" customHeight="1">
      <c r="A106" s="296" t="s">
        <v>11</v>
      </c>
      <c r="B106" s="137" t="s">
        <v>1306</v>
      </c>
      <c r="C106" s="203" t="s">
        <v>410</v>
      </c>
      <c r="D106" s="61" t="s">
        <v>1702</v>
      </c>
      <c r="E106" s="46"/>
      <c r="F106" s="55" t="s">
        <v>375</v>
      </c>
      <c r="G106" s="46" t="s">
        <v>376</v>
      </c>
      <c r="H106" s="46">
        <v>334157</v>
      </c>
      <c r="I106" s="376" t="s">
        <v>1770</v>
      </c>
      <c r="J106" s="4" t="s">
        <v>377</v>
      </c>
      <c r="K106" s="48">
        <v>3</v>
      </c>
      <c r="L106" s="182"/>
      <c r="M106" s="299">
        <f>5174-3327</f>
        <v>1847</v>
      </c>
      <c r="N106" s="299">
        <f>7736-4489</f>
        <v>3247</v>
      </c>
      <c r="O106" s="299">
        <f t="shared" si="3"/>
        <v>5094</v>
      </c>
      <c r="P106" s="210"/>
    </row>
    <row r="107" spans="1:16" ht="36" customHeight="1">
      <c r="A107" s="297" t="s">
        <v>11</v>
      </c>
      <c r="B107" s="137" t="s">
        <v>1306</v>
      </c>
      <c r="C107" s="60" t="s">
        <v>1771</v>
      </c>
      <c r="D107" s="55" t="s">
        <v>1772</v>
      </c>
      <c r="E107" s="55"/>
      <c r="F107" s="46" t="s">
        <v>375</v>
      </c>
      <c r="G107" s="46" t="s">
        <v>376</v>
      </c>
      <c r="H107" s="55">
        <v>83294178</v>
      </c>
      <c r="I107" s="376" t="s">
        <v>1811</v>
      </c>
      <c r="J107" s="73" t="s">
        <v>377</v>
      </c>
      <c r="K107" s="62">
        <v>3</v>
      </c>
      <c r="L107" s="298"/>
      <c r="M107" s="13">
        <f>3801-2289</f>
        <v>1512</v>
      </c>
      <c r="N107" s="13">
        <f>7229-4189</f>
        <v>3040</v>
      </c>
      <c r="O107" s="454">
        <f t="shared" si="3"/>
        <v>4552</v>
      </c>
      <c r="P107" s="210"/>
    </row>
    <row r="108" spans="1:16" ht="36" customHeight="1">
      <c r="A108" s="297" t="s">
        <v>11</v>
      </c>
      <c r="B108" s="137" t="s">
        <v>1306</v>
      </c>
      <c r="C108" s="60" t="s">
        <v>311</v>
      </c>
      <c r="D108" s="55" t="s">
        <v>1460</v>
      </c>
      <c r="E108" s="55" t="s">
        <v>1773</v>
      </c>
      <c r="F108" s="55" t="s">
        <v>375</v>
      </c>
      <c r="G108" s="46" t="s">
        <v>376</v>
      </c>
      <c r="H108" s="55">
        <v>83293825</v>
      </c>
      <c r="I108" s="376" t="s">
        <v>1810</v>
      </c>
      <c r="J108" s="73" t="s">
        <v>377</v>
      </c>
      <c r="K108" s="62">
        <v>2</v>
      </c>
      <c r="L108" s="298"/>
      <c r="M108" s="13">
        <f>2930-1707</f>
        <v>1223</v>
      </c>
      <c r="N108" s="13">
        <f>5301-2846</f>
        <v>2455</v>
      </c>
      <c r="O108" s="454">
        <f t="shared" si="3"/>
        <v>3678</v>
      </c>
      <c r="P108" s="210"/>
    </row>
    <row r="109" spans="1:16" ht="36" customHeight="1">
      <c r="A109" s="297" t="s">
        <v>11</v>
      </c>
      <c r="B109" s="137" t="s">
        <v>1306</v>
      </c>
      <c r="C109" s="55" t="s">
        <v>373</v>
      </c>
      <c r="D109" s="55" t="s">
        <v>268</v>
      </c>
      <c r="E109" s="55"/>
      <c r="F109" s="55" t="s">
        <v>375</v>
      </c>
      <c r="G109" s="46" t="s">
        <v>376</v>
      </c>
      <c r="H109" s="55">
        <v>90071540</v>
      </c>
      <c r="I109" s="376" t="s">
        <v>1812</v>
      </c>
      <c r="J109" s="73" t="s">
        <v>377</v>
      </c>
      <c r="K109" s="62">
        <v>2</v>
      </c>
      <c r="L109" s="298"/>
      <c r="M109" s="13">
        <f>4713-2902</f>
        <v>1811</v>
      </c>
      <c r="N109" s="13">
        <f>8801-5215</f>
        <v>3586</v>
      </c>
      <c r="O109" s="454">
        <f t="shared" si="3"/>
        <v>5397</v>
      </c>
      <c r="P109" s="210"/>
    </row>
    <row r="110" spans="1:16" ht="36" customHeight="1">
      <c r="A110" s="297" t="s">
        <v>11</v>
      </c>
      <c r="B110" s="137" t="s">
        <v>1306</v>
      </c>
      <c r="C110" s="60" t="s">
        <v>386</v>
      </c>
      <c r="D110" s="55" t="s">
        <v>1496</v>
      </c>
      <c r="E110" s="55" t="s">
        <v>1774</v>
      </c>
      <c r="F110" s="55" t="s">
        <v>375</v>
      </c>
      <c r="G110" s="46" t="s">
        <v>376</v>
      </c>
      <c r="H110" s="55">
        <v>90107487</v>
      </c>
      <c r="I110" s="376" t="s">
        <v>1809</v>
      </c>
      <c r="J110" s="73" t="s">
        <v>377</v>
      </c>
      <c r="K110" s="62">
        <v>5</v>
      </c>
      <c r="L110" s="298"/>
      <c r="M110" s="13">
        <f>6216-3530</f>
        <v>2686</v>
      </c>
      <c r="N110" s="13">
        <f>12142-6666</f>
        <v>5476</v>
      </c>
      <c r="O110" s="454">
        <f t="shared" si="3"/>
        <v>8162</v>
      </c>
      <c r="P110" s="210"/>
    </row>
    <row r="111" spans="1:16" ht="36" customHeight="1">
      <c r="A111" s="297" t="s">
        <v>11</v>
      </c>
      <c r="B111" s="137" t="s">
        <v>1306</v>
      </c>
      <c r="C111" s="55" t="s">
        <v>384</v>
      </c>
      <c r="D111" s="55" t="s">
        <v>1807</v>
      </c>
      <c r="E111" s="55"/>
      <c r="F111" s="55" t="s">
        <v>375</v>
      </c>
      <c r="G111" s="46" t="s">
        <v>376</v>
      </c>
      <c r="H111" s="55">
        <v>90300032</v>
      </c>
      <c r="I111" s="376" t="s">
        <v>1808</v>
      </c>
      <c r="J111" s="73" t="s">
        <v>377</v>
      </c>
      <c r="K111" s="62">
        <v>5</v>
      </c>
      <c r="L111" s="298"/>
      <c r="M111" s="13">
        <f>2044-1013</f>
        <v>1031</v>
      </c>
      <c r="N111" s="13">
        <f>3989-1751</f>
        <v>2238</v>
      </c>
      <c r="O111" s="454">
        <f t="shared" si="3"/>
        <v>3269</v>
      </c>
      <c r="P111" s="210"/>
    </row>
    <row r="112" spans="1:16" ht="71.25" customHeight="1" thickBot="1">
      <c r="A112" s="297" t="s">
        <v>11</v>
      </c>
      <c r="B112" s="137" t="s">
        <v>1306</v>
      </c>
      <c r="C112" s="55" t="s">
        <v>2067</v>
      </c>
      <c r="D112" s="55"/>
      <c r="E112" s="60" t="s">
        <v>2068</v>
      </c>
      <c r="F112" s="55" t="s">
        <v>375</v>
      </c>
      <c r="G112" s="46" t="s">
        <v>376</v>
      </c>
      <c r="H112" s="55">
        <v>83564730</v>
      </c>
      <c r="I112" s="376" t="s">
        <v>2069</v>
      </c>
      <c r="J112" s="73" t="s">
        <v>377</v>
      </c>
      <c r="K112" s="62">
        <v>3</v>
      </c>
      <c r="L112" s="298"/>
      <c r="M112" s="13">
        <f>62*12</f>
        <v>744</v>
      </c>
      <c r="N112" s="13">
        <f>260*12</f>
        <v>3120</v>
      </c>
      <c r="O112" s="454">
        <f>SUM(M112:N112)</f>
        <v>3864</v>
      </c>
      <c r="P112" s="210"/>
    </row>
    <row r="113" spans="2:15" ht="42" customHeight="1">
      <c r="B113" s="546" t="s">
        <v>155</v>
      </c>
      <c r="C113" s="295" t="s">
        <v>427</v>
      </c>
      <c r="D113" s="34"/>
      <c r="E113" s="68"/>
      <c r="H113" s="672" t="s">
        <v>2097</v>
      </c>
      <c r="I113" s="547" t="s">
        <v>427</v>
      </c>
      <c r="M113" s="2"/>
      <c r="N113" s="53" t="s">
        <v>156</v>
      </c>
      <c r="O113" s="333">
        <f>SUM(O18:O112)</f>
        <v>1140355</v>
      </c>
    </row>
    <row r="114" spans="2:14" ht="15">
      <c r="B114" s="152"/>
      <c r="C114" s="76" t="s">
        <v>1964</v>
      </c>
      <c r="D114" s="38"/>
      <c r="E114" s="68"/>
      <c r="H114" s="301"/>
      <c r="I114" s="548" t="s">
        <v>1964</v>
      </c>
      <c r="L114" s="2"/>
      <c r="M114" s="2"/>
      <c r="N114" s="2"/>
    </row>
    <row r="115" spans="2:14" ht="15.75" thickBot="1">
      <c r="B115" s="152"/>
      <c r="C115" s="76" t="s">
        <v>428</v>
      </c>
      <c r="D115" s="38"/>
      <c r="E115" s="68"/>
      <c r="H115" s="317"/>
      <c r="I115" s="549" t="s">
        <v>428</v>
      </c>
      <c r="M115" s="2"/>
      <c r="N115" s="2"/>
    </row>
    <row r="116" spans="2:14" ht="15">
      <c r="B116" s="550" t="s">
        <v>1670</v>
      </c>
      <c r="C116" s="554">
        <v>8222160292</v>
      </c>
      <c r="D116" s="38"/>
      <c r="E116" s="68"/>
      <c r="M116" s="2"/>
      <c r="N116" s="2"/>
    </row>
    <row r="117" spans="2:14" ht="15.75" thickBot="1">
      <c r="B117" s="414" t="s">
        <v>1674</v>
      </c>
      <c r="C117" s="77" t="s">
        <v>1694</v>
      </c>
      <c r="D117" s="41"/>
      <c r="E117" s="68"/>
      <c r="M117" s="2"/>
      <c r="N117" s="2"/>
    </row>
    <row r="118" spans="2:14" ht="15">
      <c r="B118" s="68"/>
      <c r="C118" s="76"/>
      <c r="D118" s="68"/>
      <c r="M118" s="2"/>
      <c r="N118" s="2"/>
    </row>
    <row r="119" spans="1:14" ht="15">
      <c r="A119" s="465"/>
      <c r="B119" s="68"/>
      <c r="C119" s="76"/>
      <c r="D119" s="68"/>
      <c r="J119" s="465"/>
      <c r="K119" s="465"/>
      <c r="M119" s="2"/>
      <c r="N119" s="2"/>
    </row>
    <row r="120" spans="1:14" ht="15.75" thickBot="1">
      <c r="A120" s="465"/>
      <c r="B120" s="68"/>
      <c r="C120" s="76"/>
      <c r="D120" s="68"/>
      <c r="J120" s="465"/>
      <c r="K120" s="465"/>
      <c r="M120" s="2"/>
      <c r="N120" s="2"/>
    </row>
    <row r="121" spans="1:21" ht="47.25" customHeight="1">
      <c r="A121" s="703" t="s">
        <v>0</v>
      </c>
      <c r="B121" s="697" t="s">
        <v>1</v>
      </c>
      <c r="C121" s="697" t="s">
        <v>2</v>
      </c>
      <c r="D121" s="697" t="s">
        <v>3</v>
      </c>
      <c r="E121" s="697" t="s">
        <v>4</v>
      </c>
      <c r="F121" s="697" t="s">
        <v>5</v>
      </c>
      <c r="G121" s="697" t="s">
        <v>6</v>
      </c>
      <c r="H121" s="697" t="s">
        <v>8</v>
      </c>
      <c r="I121" s="697" t="s">
        <v>753</v>
      </c>
      <c r="J121" s="697" t="s">
        <v>157</v>
      </c>
      <c r="K121" s="700" t="s">
        <v>9</v>
      </c>
      <c r="L121" s="688" t="s">
        <v>1043</v>
      </c>
      <c r="M121" s="689"/>
      <c r="N121" s="689"/>
      <c r="O121" s="690"/>
      <c r="P121" s="688" t="s">
        <v>1044</v>
      </c>
      <c r="Q121" s="689"/>
      <c r="R121" s="689"/>
      <c r="S121" s="690"/>
      <c r="T121" s="691" t="s">
        <v>1820</v>
      </c>
      <c r="U121" s="694" t="s">
        <v>1305</v>
      </c>
    </row>
    <row r="122" spans="1:21" ht="47.25" customHeight="1">
      <c r="A122" s="704"/>
      <c r="B122" s="698"/>
      <c r="C122" s="698"/>
      <c r="D122" s="698"/>
      <c r="E122" s="698"/>
      <c r="F122" s="698"/>
      <c r="G122" s="698"/>
      <c r="H122" s="698"/>
      <c r="I122" s="698"/>
      <c r="J122" s="698"/>
      <c r="K122" s="701"/>
      <c r="L122" s="686" t="s">
        <v>1041</v>
      </c>
      <c r="M122" s="686" t="s">
        <v>1035</v>
      </c>
      <c r="N122" s="686" t="s">
        <v>1036</v>
      </c>
      <c r="O122" s="686" t="s">
        <v>1045</v>
      </c>
      <c r="P122" s="686" t="s">
        <v>1041</v>
      </c>
      <c r="Q122" s="686" t="s">
        <v>1035</v>
      </c>
      <c r="R122" s="686" t="s">
        <v>1036</v>
      </c>
      <c r="S122" s="686" t="s">
        <v>1045</v>
      </c>
      <c r="T122" s="692"/>
      <c r="U122" s="695"/>
    </row>
    <row r="123" spans="1:21" ht="15" thickBot="1">
      <c r="A123" s="705"/>
      <c r="B123" s="699"/>
      <c r="C123" s="699"/>
      <c r="D123" s="699"/>
      <c r="E123" s="699"/>
      <c r="F123" s="699"/>
      <c r="G123" s="699"/>
      <c r="H123" s="699"/>
      <c r="I123" s="699"/>
      <c r="J123" s="699"/>
      <c r="K123" s="702"/>
      <c r="L123" s="687"/>
      <c r="M123" s="687"/>
      <c r="N123" s="687"/>
      <c r="O123" s="687"/>
      <c r="P123" s="687"/>
      <c r="Q123" s="687"/>
      <c r="R123" s="687"/>
      <c r="S123" s="687"/>
      <c r="T123" s="693"/>
      <c r="U123" s="696"/>
    </row>
    <row r="124" spans="1:21" ht="43.5">
      <c r="A124" s="297" t="s">
        <v>754</v>
      </c>
      <c r="B124" s="137" t="s">
        <v>1306</v>
      </c>
      <c r="C124" s="55" t="s">
        <v>395</v>
      </c>
      <c r="D124" s="55" t="s">
        <v>2070</v>
      </c>
      <c r="E124" s="55" t="s">
        <v>2071</v>
      </c>
      <c r="F124" s="55" t="s">
        <v>375</v>
      </c>
      <c r="G124" s="46" t="s">
        <v>376</v>
      </c>
      <c r="H124" s="376">
        <v>38862288</v>
      </c>
      <c r="I124" s="46">
        <v>83247123</v>
      </c>
      <c r="J124" s="73" t="s">
        <v>377</v>
      </c>
      <c r="K124" s="62">
        <v>3</v>
      </c>
      <c r="L124" s="298"/>
      <c r="M124" s="13">
        <f>131*12</f>
        <v>1572</v>
      </c>
      <c r="N124" s="13">
        <f>513*12</f>
        <v>6156</v>
      </c>
      <c r="O124" s="454">
        <f>SUM(M124:N124)</f>
        <v>7728</v>
      </c>
      <c r="P124" s="298"/>
      <c r="Q124" s="13">
        <f aca="true" t="shared" si="4" ref="Q124:S126">M124</f>
        <v>1572</v>
      </c>
      <c r="R124" s="13">
        <f t="shared" si="4"/>
        <v>6156</v>
      </c>
      <c r="S124" s="454">
        <f t="shared" si="4"/>
        <v>7728</v>
      </c>
      <c r="T124" s="138" t="s">
        <v>1930</v>
      </c>
      <c r="U124" s="52" t="s">
        <v>1996</v>
      </c>
    </row>
    <row r="125" spans="1:21" ht="43.5">
      <c r="A125" s="297" t="s">
        <v>754</v>
      </c>
      <c r="B125" s="137" t="s">
        <v>1306</v>
      </c>
      <c r="C125" s="55" t="s">
        <v>311</v>
      </c>
      <c r="D125" s="55" t="s">
        <v>2072</v>
      </c>
      <c r="E125" s="60" t="s">
        <v>2073</v>
      </c>
      <c r="F125" s="55" t="s">
        <v>375</v>
      </c>
      <c r="G125" s="46" t="s">
        <v>376</v>
      </c>
      <c r="H125" s="376">
        <v>38022107</v>
      </c>
      <c r="I125" s="46">
        <v>83143339</v>
      </c>
      <c r="J125" s="73" t="s">
        <v>377</v>
      </c>
      <c r="K125" s="62">
        <v>3</v>
      </c>
      <c r="L125" s="298"/>
      <c r="M125" s="13">
        <f>12*97</f>
        <v>1164</v>
      </c>
      <c r="N125" s="13">
        <f>12*386</f>
        <v>4632</v>
      </c>
      <c r="O125" s="454">
        <f>SUM(M125:N125)</f>
        <v>5796</v>
      </c>
      <c r="P125" s="298"/>
      <c r="Q125" s="13">
        <f t="shared" si="4"/>
        <v>1164</v>
      </c>
      <c r="R125" s="13">
        <f t="shared" si="4"/>
        <v>4632</v>
      </c>
      <c r="S125" s="454">
        <f t="shared" si="4"/>
        <v>5796</v>
      </c>
      <c r="T125" s="138" t="s">
        <v>1930</v>
      </c>
      <c r="U125" s="52" t="s">
        <v>1996</v>
      </c>
    </row>
    <row r="126" spans="1:21" ht="43.5">
      <c r="A126" s="297" t="s">
        <v>754</v>
      </c>
      <c r="B126" s="137" t="s">
        <v>1306</v>
      </c>
      <c r="C126" s="55" t="s">
        <v>311</v>
      </c>
      <c r="D126" s="55" t="s">
        <v>2072</v>
      </c>
      <c r="E126" s="60" t="s">
        <v>2074</v>
      </c>
      <c r="F126" s="55" t="s">
        <v>375</v>
      </c>
      <c r="G126" s="46" t="s">
        <v>376</v>
      </c>
      <c r="H126" s="376">
        <v>38022108</v>
      </c>
      <c r="I126" s="46">
        <v>83293933</v>
      </c>
      <c r="J126" s="73" t="s">
        <v>377</v>
      </c>
      <c r="K126" s="62">
        <v>2</v>
      </c>
      <c r="L126" s="298"/>
      <c r="M126" s="13">
        <f>12*58</f>
        <v>696</v>
      </c>
      <c r="N126" s="13">
        <f>228*12</f>
        <v>2736</v>
      </c>
      <c r="O126" s="454">
        <f>SUM(M126:N126)</f>
        <v>3432</v>
      </c>
      <c r="P126" s="298"/>
      <c r="Q126" s="13">
        <f t="shared" si="4"/>
        <v>696</v>
      </c>
      <c r="R126" s="13">
        <f t="shared" si="4"/>
        <v>2736</v>
      </c>
      <c r="S126" s="454">
        <f t="shared" si="4"/>
        <v>3432</v>
      </c>
      <c r="T126" s="138" t="s">
        <v>1930</v>
      </c>
      <c r="U126" s="52" t="s">
        <v>1996</v>
      </c>
    </row>
    <row r="127" spans="1:21" ht="44.25" thickBot="1">
      <c r="A127" s="297" t="s">
        <v>754</v>
      </c>
      <c r="B127" s="137" t="s">
        <v>1306</v>
      </c>
      <c r="C127" s="60" t="s">
        <v>2094</v>
      </c>
      <c r="D127" s="55"/>
      <c r="E127" s="55" t="s">
        <v>2095</v>
      </c>
      <c r="F127" s="55" t="s">
        <v>2096</v>
      </c>
      <c r="G127" s="46" t="s">
        <v>430</v>
      </c>
      <c r="H127" s="376">
        <v>38850113</v>
      </c>
      <c r="I127" s="32">
        <v>89115377</v>
      </c>
      <c r="J127" s="157" t="s">
        <v>152</v>
      </c>
      <c r="K127" s="62">
        <v>1</v>
      </c>
      <c r="L127" s="464">
        <f>150*12</f>
        <v>1800</v>
      </c>
      <c r="M127" s="45"/>
      <c r="N127" s="45"/>
      <c r="O127" s="13">
        <f>L127</f>
        <v>1800</v>
      </c>
      <c r="P127" s="464">
        <f>O127</f>
        <v>1800</v>
      </c>
      <c r="Q127" s="45"/>
      <c r="R127" s="45"/>
      <c r="S127" s="13">
        <f>P127</f>
        <v>1800</v>
      </c>
      <c r="T127" s="138" t="s">
        <v>1930</v>
      </c>
      <c r="U127" s="52" t="s">
        <v>1996</v>
      </c>
    </row>
    <row r="128" spans="1:19" ht="30">
      <c r="A128" s="465"/>
      <c r="B128" s="546" t="s">
        <v>155</v>
      </c>
      <c r="C128" s="295" t="s">
        <v>427</v>
      </c>
      <c r="D128" s="34"/>
      <c r="H128" s="672" t="s">
        <v>2097</v>
      </c>
      <c r="I128" s="547" t="s">
        <v>427</v>
      </c>
      <c r="J128" s="465"/>
      <c r="K128" s="465"/>
      <c r="M128" s="2"/>
      <c r="N128" s="2"/>
      <c r="R128" s="53" t="s">
        <v>156</v>
      </c>
      <c r="S128" s="333">
        <f>SUM(S124:S127)</f>
        <v>18756</v>
      </c>
    </row>
    <row r="129" spans="1:14" ht="15">
      <c r="A129" s="465"/>
      <c r="B129" s="152"/>
      <c r="C129" s="76" t="s">
        <v>1964</v>
      </c>
      <c r="D129" s="38"/>
      <c r="H129" s="301"/>
      <c r="I129" s="548" t="s">
        <v>1964</v>
      </c>
      <c r="J129" s="465"/>
      <c r="K129" s="465"/>
      <c r="M129" s="2"/>
      <c r="N129" s="2"/>
    </row>
    <row r="130" spans="1:14" ht="15.75" thickBot="1">
      <c r="A130" s="465"/>
      <c r="B130" s="152"/>
      <c r="C130" s="76" t="s">
        <v>428</v>
      </c>
      <c r="D130" s="38"/>
      <c r="H130" s="317"/>
      <c r="I130" s="549" t="s">
        <v>428</v>
      </c>
      <c r="J130" s="465"/>
      <c r="K130" s="465"/>
      <c r="M130" s="2"/>
      <c r="N130" s="2"/>
    </row>
    <row r="131" spans="1:14" ht="15.75" thickBot="1">
      <c r="A131" s="465"/>
      <c r="B131" s="414" t="s">
        <v>1670</v>
      </c>
      <c r="C131" s="653">
        <v>8222160292</v>
      </c>
      <c r="D131" s="41"/>
      <c r="J131" s="465"/>
      <c r="K131" s="465"/>
      <c r="M131" s="2"/>
      <c r="N131" s="2"/>
    </row>
    <row r="132" spans="1:14" ht="15">
      <c r="A132" s="465"/>
      <c r="B132" s="68"/>
      <c r="C132" s="76"/>
      <c r="D132" s="68"/>
      <c r="J132" s="465"/>
      <c r="K132" s="465"/>
      <c r="M132" s="2"/>
      <c r="N132" s="2"/>
    </row>
    <row r="133" spans="1:14" ht="15">
      <c r="A133" s="465"/>
      <c r="B133" s="68"/>
      <c r="C133" s="76"/>
      <c r="D133" s="68"/>
      <c r="J133" s="465"/>
      <c r="K133" s="465"/>
      <c r="M133" s="2"/>
      <c r="N133" s="2"/>
    </row>
    <row r="134" spans="5:18" ht="14.25">
      <c r="E134" s="31"/>
      <c r="F134" s="31"/>
      <c r="G134" s="31"/>
      <c r="H134" s="31"/>
      <c r="I134" s="31"/>
      <c r="J134" s="86"/>
      <c r="K134" s="234"/>
      <c r="L134" s="234"/>
      <c r="M134" s="234" t="s">
        <v>160</v>
      </c>
      <c r="N134" s="234">
        <f>O113+S128</f>
        <v>1159111</v>
      </c>
      <c r="O134" s="234"/>
      <c r="P134" s="20"/>
      <c r="Q134" s="20"/>
      <c r="R134" s="20"/>
    </row>
    <row r="135" spans="2:18" ht="15.75" thickBot="1">
      <c r="B135" s="68"/>
      <c r="C135" s="76"/>
      <c r="D135" s="76"/>
      <c r="E135" s="31"/>
      <c r="F135" s="31"/>
      <c r="G135" s="31"/>
      <c r="H135" s="31"/>
      <c r="I135" s="31"/>
      <c r="J135" s="86"/>
      <c r="K135" s="234"/>
      <c r="L135" s="234"/>
      <c r="M135" s="234"/>
      <c r="N135" s="234"/>
      <c r="O135" s="234"/>
      <c r="P135" s="20"/>
      <c r="Q135" s="20"/>
      <c r="R135" s="20"/>
    </row>
    <row r="136" spans="4:18" ht="46.5" customHeight="1">
      <c r="D136" s="31"/>
      <c r="E136" s="31"/>
      <c r="F136" s="169"/>
      <c r="G136" s="169"/>
      <c r="I136" s="169"/>
      <c r="J136" s="31"/>
      <c r="K136" s="709" t="s">
        <v>157</v>
      </c>
      <c r="L136" s="706" t="s">
        <v>1034</v>
      </c>
      <c r="M136" s="707"/>
      <c r="N136" s="708"/>
      <c r="O136" s="743" t="s">
        <v>158</v>
      </c>
      <c r="P136" s="20"/>
      <c r="Q136" s="20"/>
      <c r="R136" s="20"/>
    </row>
    <row r="137" spans="4:18" ht="20.25" customHeight="1" thickBot="1">
      <c r="D137" s="31"/>
      <c r="E137" s="31"/>
      <c r="F137" s="169"/>
      <c r="G137" s="232"/>
      <c r="I137" s="232"/>
      <c r="J137" s="31"/>
      <c r="K137" s="710"/>
      <c r="L137" s="128" t="s">
        <v>159</v>
      </c>
      <c r="M137" s="128" t="s">
        <v>1035</v>
      </c>
      <c r="N137" s="128" t="s">
        <v>1036</v>
      </c>
      <c r="O137" s="744"/>
      <c r="P137" s="20"/>
      <c r="Q137" s="20"/>
      <c r="R137" s="20"/>
    </row>
    <row r="138" spans="4:18" ht="14.25">
      <c r="D138" s="31"/>
      <c r="E138" s="31"/>
      <c r="F138" s="31"/>
      <c r="G138" s="154"/>
      <c r="I138" s="154"/>
      <c r="J138" s="31"/>
      <c r="K138" s="657" t="s">
        <v>16</v>
      </c>
      <c r="L138" s="658"/>
      <c r="M138" s="659">
        <f>M92+M93+M100</f>
        <v>1023</v>
      </c>
      <c r="N138" s="659">
        <f>N92+N93+N100</f>
        <v>4088</v>
      </c>
      <c r="O138" s="660">
        <v>3</v>
      </c>
      <c r="P138" s="20"/>
      <c r="Q138" s="20"/>
      <c r="R138" s="20"/>
    </row>
    <row r="139" spans="4:18" ht="15" thickBot="1">
      <c r="D139" s="31"/>
      <c r="E139" s="31"/>
      <c r="F139" s="31"/>
      <c r="G139" s="154"/>
      <c r="I139" s="154"/>
      <c r="J139" s="31"/>
      <c r="K139" s="423" t="s">
        <v>377</v>
      </c>
      <c r="L139" s="352"/>
      <c r="M139" s="425">
        <f>SUM(M18:M91,M94:M99,M101:M111,M112,Q124:Q126)</f>
        <v>397116</v>
      </c>
      <c r="N139" s="425">
        <f>SUM(N18:N91,N94:N99,N101:N111,N112,R124:R126)</f>
        <v>755084</v>
      </c>
      <c r="O139" s="661">
        <v>95</v>
      </c>
      <c r="P139" s="20"/>
      <c r="Q139" s="20"/>
      <c r="R139" s="20"/>
    </row>
    <row r="140" spans="4:15" ht="15" thickBot="1">
      <c r="D140" s="31"/>
      <c r="E140" s="31"/>
      <c r="F140" s="147"/>
      <c r="G140" s="154"/>
      <c r="I140" s="154"/>
      <c r="J140" s="31"/>
      <c r="K140" s="339" t="s">
        <v>160</v>
      </c>
      <c r="L140" s="54"/>
      <c r="M140" s="515">
        <f>SUM(M138:M139)</f>
        <v>398139</v>
      </c>
      <c r="N140" s="516">
        <f>SUM(N138:N139)</f>
        <v>759172</v>
      </c>
      <c r="O140" s="656">
        <f>SUM(O138:O139)</f>
        <v>98</v>
      </c>
    </row>
    <row r="141" spans="4:15" ht="18.75" thickBot="1">
      <c r="D141" s="31"/>
      <c r="E141" s="31"/>
      <c r="F141" s="31"/>
      <c r="G141" s="234"/>
      <c r="I141" s="154"/>
      <c r="J141" s="31"/>
      <c r="K141"/>
      <c r="L141" s="20" t="s">
        <v>161</v>
      </c>
      <c r="M141" s="323">
        <f>SUM(M140:N140)</f>
        <v>1157311</v>
      </c>
      <c r="N141" s="2"/>
      <c r="O141" s="2"/>
    </row>
    <row r="142" spans="4:15" ht="14.25">
      <c r="D142" s="31"/>
      <c r="E142" s="31"/>
      <c r="F142" s="31"/>
      <c r="G142" s="31"/>
      <c r="I142" s="31"/>
      <c r="J142" s="86"/>
      <c r="K142" s="86"/>
      <c r="L142" s="31"/>
      <c r="M142" s="31"/>
      <c r="N142" s="31"/>
      <c r="O142" s="31"/>
    </row>
    <row r="143" spans="4:15" ht="14.25">
      <c r="D143" s="31"/>
      <c r="E143" s="31"/>
      <c r="F143" s="31"/>
      <c r="G143" s="31"/>
      <c r="H143" s="31"/>
      <c r="I143" s="31"/>
      <c r="J143" s="86"/>
      <c r="K143" s="86"/>
      <c r="L143" s="31"/>
      <c r="M143" s="31"/>
      <c r="N143" s="31"/>
      <c r="O143" s="31"/>
    </row>
  </sheetData>
  <sheetProtection/>
  <mergeCells count="42">
    <mergeCell ref="P121:S121"/>
    <mergeCell ref="P122:P123"/>
    <mergeCell ref="T121:T123"/>
    <mergeCell ref="U121:U123"/>
    <mergeCell ref="Q122:Q123"/>
    <mergeCell ref="R122:R123"/>
    <mergeCell ref="S122:S123"/>
    <mergeCell ref="G121:G123"/>
    <mergeCell ref="H121:H123"/>
    <mergeCell ref="I121:I123"/>
    <mergeCell ref="J121:J123"/>
    <mergeCell ref="K121:K123"/>
    <mergeCell ref="L121:O121"/>
    <mergeCell ref="L122:L123"/>
    <mergeCell ref="M122:M123"/>
    <mergeCell ref="N122:N123"/>
    <mergeCell ref="O122:O123"/>
    <mergeCell ref="A121:A123"/>
    <mergeCell ref="B121:B123"/>
    <mergeCell ref="C121:C123"/>
    <mergeCell ref="D121:D123"/>
    <mergeCell ref="E121:E123"/>
    <mergeCell ref="F121:F123"/>
    <mergeCell ref="B1:J1"/>
    <mergeCell ref="K136:K137"/>
    <mergeCell ref="L136:N136"/>
    <mergeCell ref="O136:O137"/>
    <mergeCell ref="A15:A17"/>
    <mergeCell ref="B15:B17"/>
    <mergeCell ref="C15:C17"/>
    <mergeCell ref="D15:D17"/>
    <mergeCell ref="J15:J17"/>
    <mergeCell ref="B3:I3"/>
    <mergeCell ref="B5:I5"/>
    <mergeCell ref="E15:E17"/>
    <mergeCell ref="F15:F17"/>
    <mergeCell ref="K15:K17"/>
    <mergeCell ref="L15:O15"/>
    <mergeCell ref="L16:O16"/>
    <mergeCell ref="G15:G17"/>
    <mergeCell ref="H15:H17"/>
    <mergeCell ref="I15:I17"/>
  </mergeCells>
  <printOptions/>
  <pageMargins left="0.7" right="0.7" top="0.75" bottom="0.75" header="0.3" footer="0.3"/>
  <pageSetup orientation="portrait" paperSize="9" r:id="rId1"/>
  <ignoredErrors>
    <ignoredError sqref="O87 O90" formula="1"/>
    <ignoredError sqref="E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130"/>
  <sheetViews>
    <sheetView zoomScale="80" zoomScaleNormal="80" zoomScalePageLayoutView="0" workbookViewId="0" topLeftCell="A112">
      <selection activeCell="B7" sqref="B7:B8"/>
    </sheetView>
  </sheetViews>
  <sheetFormatPr defaultColWidth="8.796875" defaultRowHeight="14.25"/>
  <cols>
    <col min="1" max="1" width="11.19921875" style="0" customWidth="1"/>
    <col min="2" max="2" width="17.09765625" style="119" customWidth="1"/>
    <col min="3" max="3" width="16.59765625" style="119" customWidth="1"/>
    <col min="4" max="4" width="14.8984375" style="119" customWidth="1"/>
    <col min="6" max="6" width="10.19921875" style="0" customWidth="1"/>
    <col min="7" max="7" width="13.59765625" style="0" customWidth="1"/>
    <col min="8" max="8" width="26.59765625" style="0" customWidth="1"/>
    <col min="9" max="9" width="19.19921875" style="0" customWidth="1"/>
    <col min="10" max="10" width="13.09765625" style="1" customWidth="1"/>
    <col min="11" max="11" width="12.5" style="0" customWidth="1"/>
    <col min="12" max="12" width="15.19921875" style="0" customWidth="1"/>
    <col min="13" max="13" width="15.8984375" style="0" customWidth="1"/>
    <col min="14" max="14" width="17.5" style="0" customWidth="1"/>
    <col min="15" max="15" width="15.19921875" style="0" customWidth="1"/>
    <col min="16" max="16" width="13.3984375" style="0" customWidth="1"/>
    <col min="17" max="17" width="13.59765625" style="0" customWidth="1"/>
    <col min="18" max="18" width="13.8984375" style="0" customWidth="1"/>
    <col min="19" max="19" width="16.5" style="0" customWidth="1"/>
    <col min="20" max="20" width="22.59765625" style="0" customWidth="1"/>
    <col min="21" max="21" width="23.69921875" style="0" customWidth="1"/>
  </cols>
  <sheetData>
    <row r="1" spans="2:15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  <c r="L1" s="2"/>
      <c r="M1" s="2"/>
      <c r="N1" s="2"/>
      <c r="O1" s="2"/>
    </row>
    <row r="2" spans="2:15" ht="15">
      <c r="B2" s="220"/>
      <c r="C2" s="220"/>
      <c r="D2" s="220"/>
      <c r="E2" s="220"/>
      <c r="F2" s="220"/>
      <c r="G2" s="220"/>
      <c r="H2" s="220"/>
      <c r="I2" s="221"/>
      <c r="J2" s="222"/>
      <c r="L2" s="2"/>
      <c r="M2" s="2"/>
      <c r="N2" s="2"/>
      <c r="O2" s="2"/>
    </row>
    <row r="3" spans="2:15" ht="24.75" customHeight="1">
      <c r="B3" s="745" t="s">
        <v>1053</v>
      </c>
      <c r="C3" s="746"/>
      <c r="D3" s="746"/>
      <c r="E3" s="746"/>
      <c r="F3" s="746"/>
      <c r="G3" s="746"/>
      <c r="H3" s="746"/>
      <c r="I3" s="746"/>
      <c r="J3" s="222"/>
      <c r="L3" s="2"/>
      <c r="M3" s="2"/>
      <c r="N3" s="2"/>
      <c r="O3" s="2"/>
    </row>
    <row r="4" spans="2:15" ht="15">
      <c r="B4" s="221"/>
      <c r="C4" s="221"/>
      <c r="D4" s="221"/>
      <c r="E4" s="221"/>
      <c r="F4" s="221"/>
      <c r="G4" s="221"/>
      <c r="H4" s="221"/>
      <c r="I4" s="221"/>
      <c r="J4" s="222"/>
      <c r="L4" s="2"/>
      <c r="M4" s="2"/>
      <c r="N4" s="2"/>
      <c r="O4" s="2"/>
    </row>
    <row r="5" spans="2:15" ht="15">
      <c r="B5" s="736" t="s">
        <v>1029</v>
      </c>
      <c r="C5" s="736"/>
      <c r="D5" s="736"/>
      <c r="E5" s="736"/>
      <c r="F5" s="736"/>
      <c r="G5" s="736"/>
      <c r="H5" s="736"/>
      <c r="I5" s="736"/>
      <c r="J5" s="222"/>
      <c r="L5" s="2"/>
      <c r="M5" s="2"/>
      <c r="N5" s="2"/>
      <c r="O5" s="2"/>
    </row>
    <row r="6" spans="2:15" ht="15">
      <c r="B6" s="221"/>
      <c r="C6" s="221"/>
      <c r="D6" s="221"/>
      <c r="E6" s="221"/>
      <c r="F6" s="221"/>
      <c r="G6" s="221"/>
      <c r="H6" s="221"/>
      <c r="I6" s="221"/>
      <c r="J6" s="222"/>
      <c r="L6" s="2"/>
      <c r="M6" s="2"/>
      <c r="N6" s="2"/>
      <c r="O6" s="2"/>
    </row>
    <row r="7" spans="2:15" ht="15.75">
      <c r="B7" s="502" t="s">
        <v>967</v>
      </c>
      <c r="C7" s="220"/>
      <c r="D7" s="221"/>
      <c r="E7" s="221"/>
      <c r="F7" s="221"/>
      <c r="G7" s="220"/>
      <c r="H7" s="220"/>
      <c r="I7" s="221"/>
      <c r="J7" s="222"/>
      <c r="L7" s="2"/>
      <c r="M7" s="2"/>
      <c r="N7" s="2"/>
      <c r="O7" s="2"/>
    </row>
    <row r="8" spans="2:15" ht="15.75">
      <c r="B8" s="502" t="s">
        <v>2098</v>
      </c>
      <c r="C8" s="220"/>
      <c r="D8" s="221"/>
      <c r="E8" s="221"/>
      <c r="F8" s="221"/>
      <c r="G8" s="220"/>
      <c r="H8" s="220"/>
      <c r="I8" s="221"/>
      <c r="J8" s="222"/>
      <c r="L8" s="2"/>
      <c r="M8" s="2"/>
      <c r="N8" s="2"/>
      <c r="O8" s="2"/>
    </row>
    <row r="9" spans="2:15" ht="15.75">
      <c r="B9" s="224" t="s">
        <v>2087</v>
      </c>
      <c r="C9" s="220"/>
      <c r="D9" s="225"/>
      <c r="E9" s="221"/>
      <c r="F9" s="221"/>
      <c r="G9" s="220"/>
      <c r="H9" s="220"/>
      <c r="I9" s="221"/>
      <c r="J9" s="222"/>
      <c r="L9" s="2"/>
      <c r="M9" s="2"/>
      <c r="N9" s="2"/>
      <c r="O9" s="2"/>
    </row>
    <row r="10" spans="2:15" ht="15.75">
      <c r="B10" s="224" t="s">
        <v>1663</v>
      </c>
      <c r="C10" s="220"/>
      <c r="D10" s="225"/>
      <c r="E10" s="221"/>
      <c r="F10" s="221"/>
      <c r="G10" s="220"/>
      <c r="H10" s="220"/>
      <c r="I10" s="221"/>
      <c r="J10" s="222"/>
      <c r="L10" s="2"/>
      <c r="M10" s="2"/>
      <c r="N10" s="2"/>
      <c r="O10" s="2"/>
    </row>
    <row r="11" spans="2:15" ht="15">
      <c r="B11" s="220" t="s">
        <v>1046</v>
      </c>
      <c r="C11" s="220"/>
      <c r="D11" s="220"/>
      <c r="E11" s="220"/>
      <c r="F11" s="220"/>
      <c r="G11" s="220"/>
      <c r="H11" s="220"/>
      <c r="I11" s="221"/>
      <c r="J11" s="222"/>
      <c r="L11" s="2"/>
      <c r="M11" s="2"/>
      <c r="N11" s="2"/>
      <c r="O11" s="2"/>
    </row>
    <row r="12" spans="2:15" ht="15.75">
      <c r="B12" s="226" t="s">
        <v>1030</v>
      </c>
      <c r="C12" s="223" t="s">
        <v>1031</v>
      </c>
      <c r="D12" s="225"/>
      <c r="E12" s="225"/>
      <c r="F12" s="225"/>
      <c r="G12" s="225"/>
      <c r="H12" s="225"/>
      <c r="I12" s="228"/>
      <c r="J12" s="222"/>
      <c r="L12" s="2"/>
      <c r="M12" s="2"/>
      <c r="N12" s="2"/>
      <c r="O12" s="2"/>
    </row>
    <row r="13" spans="2:15" ht="15.75">
      <c r="B13" s="226" t="s">
        <v>1032</v>
      </c>
      <c r="C13" s="223" t="s">
        <v>1033</v>
      </c>
      <c r="D13" s="225"/>
      <c r="E13" s="225"/>
      <c r="F13" s="225"/>
      <c r="G13" s="225"/>
      <c r="H13" s="225"/>
      <c r="I13" s="228"/>
      <c r="J13" s="222"/>
      <c r="L13" s="2"/>
      <c r="M13" s="2"/>
      <c r="N13" s="2"/>
      <c r="O13" s="2"/>
    </row>
    <row r="14" spans="1:15" ht="15" thickBot="1">
      <c r="A14" s="31"/>
      <c r="B14" s="148"/>
      <c r="C14" s="147"/>
      <c r="D14" s="147"/>
      <c r="E14" s="31"/>
      <c r="F14" s="31"/>
      <c r="G14" s="31"/>
      <c r="H14" s="31"/>
      <c r="I14" s="31"/>
      <c r="L14" s="2"/>
      <c r="M14" s="2"/>
      <c r="N14" s="2"/>
      <c r="O14" s="2"/>
    </row>
    <row r="15" spans="1:15" ht="51" customHeight="1">
      <c r="A15" s="703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48" t="s">
        <v>992</v>
      </c>
      <c r="L15" s="719" t="s">
        <v>1039</v>
      </c>
      <c r="M15" s="719"/>
      <c r="N15" s="719"/>
      <c r="O15" s="720"/>
    </row>
    <row r="16" spans="1:15" ht="46.5" customHeight="1">
      <c r="A16" s="704"/>
      <c r="B16" s="715"/>
      <c r="C16" s="722"/>
      <c r="D16" s="722"/>
      <c r="E16" s="698"/>
      <c r="F16" s="698"/>
      <c r="G16" s="722"/>
      <c r="H16" s="698"/>
      <c r="I16" s="698"/>
      <c r="J16" s="698"/>
      <c r="K16" s="749"/>
      <c r="L16" s="738" t="s">
        <v>1040</v>
      </c>
      <c r="M16" s="738"/>
      <c r="N16" s="738"/>
      <c r="O16" s="739"/>
    </row>
    <row r="17" spans="1:15" ht="32.25" customHeight="1" thickBot="1">
      <c r="A17" s="705"/>
      <c r="B17" s="716"/>
      <c r="C17" s="723"/>
      <c r="D17" s="723"/>
      <c r="E17" s="699"/>
      <c r="F17" s="699"/>
      <c r="G17" s="723"/>
      <c r="H17" s="699"/>
      <c r="I17" s="699"/>
      <c r="J17" s="699"/>
      <c r="K17" s="750"/>
      <c r="L17" s="135" t="s">
        <v>1041</v>
      </c>
      <c r="M17" s="135" t="s">
        <v>1035</v>
      </c>
      <c r="N17" s="135" t="s">
        <v>1036</v>
      </c>
      <c r="O17" s="136" t="s">
        <v>10</v>
      </c>
    </row>
    <row r="18" spans="1:15" ht="18">
      <c r="A18" s="275" t="s">
        <v>11</v>
      </c>
      <c r="B18" s="60" t="s">
        <v>429</v>
      </c>
      <c r="C18" s="60" t="s">
        <v>430</v>
      </c>
      <c r="D18" s="60" t="s">
        <v>431</v>
      </c>
      <c r="E18" s="78"/>
      <c r="F18" s="79" t="s">
        <v>432</v>
      </c>
      <c r="G18" s="55" t="s">
        <v>430</v>
      </c>
      <c r="H18" s="376" t="s">
        <v>433</v>
      </c>
      <c r="I18" s="46">
        <v>83246614</v>
      </c>
      <c r="J18" s="4" t="s">
        <v>16</v>
      </c>
      <c r="K18" s="285">
        <v>4</v>
      </c>
      <c r="L18" s="45"/>
      <c r="M18" s="81">
        <f>6323-3993</f>
        <v>2330</v>
      </c>
      <c r="N18" s="81">
        <f>22732-14067</f>
        <v>8665</v>
      </c>
      <c r="O18" s="202">
        <f aca="true" t="shared" si="0" ref="O18:O79">M18+N18</f>
        <v>10995</v>
      </c>
    </row>
    <row r="19" spans="1:15" ht="18">
      <c r="A19" s="275" t="s">
        <v>11</v>
      </c>
      <c r="B19" s="60" t="s">
        <v>429</v>
      </c>
      <c r="C19" s="60" t="s">
        <v>434</v>
      </c>
      <c r="D19" s="60"/>
      <c r="E19" s="55"/>
      <c r="F19" s="79" t="s">
        <v>432</v>
      </c>
      <c r="G19" s="55" t="s">
        <v>430</v>
      </c>
      <c r="H19" s="376" t="s">
        <v>435</v>
      </c>
      <c r="I19" s="46">
        <v>83246634</v>
      </c>
      <c r="J19" s="4" t="s">
        <v>16</v>
      </c>
      <c r="K19" s="285">
        <v>2.4</v>
      </c>
      <c r="L19" s="45"/>
      <c r="M19" s="82">
        <f>3296-2063</f>
        <v>1233</v>
      </c>
      <c r="N19" s="82">
        <f>11477-7162</f>
        <v>4315</v>
      </c>
      <c r="O19" s="202">
        <f t="shared" si="0"/>
        <v>5548</v>
      </c>
    </row>
    <row r="20" spans="1:15" ht="18">
      <c r="A20" s="275" t="s">
        <v>11</v>
      </c>
      <c r="B20" s="60" t="s">
        <v>429</v>
      </c>
      <c r="C20" s="60" t="s">
        <v>430</v>
      </c>
      <c r="D20" s="60" t="s">
        <v>436</v>
      </c>
      <c r="E20" s="55"/>
      <c r="F20" s="79" t="s">
        <v>432</v>
      </c>
      <c r="G20" s="55" t="s">
        <v>430</v>
      </c>
      <c r="H20" s="376" t="s">
        <v>437</v>
      </c>
      <c r="I20" s="46">
        <v>70903527</v>
      </c>
      <c r="J20" s="4" t="s">
        <v>16</v>
      </c>
      <c r="K20" s="285">
        <v>4.1</v>
      </c>
      <c r="L20" s="45"/>
      <c r="M20" s="82">
        <f>11008-9084</f>
        <v>1924</v>
      </c>
      <c r="N20" s="82">
        <f>44956-37177</f>
        <v>7779</v>
      </c>
      <c r="O20" s="202">
        <f t="shared" si="0"/>
        <v>9703</v>
      </c>
    </row>
    <row r="21" spans="1:15" ht="18">
      <c r="A21" s="275" t="s">
        <v>11</v>
      </c>
      <c r="B21" s="60" t="s">
        <v>429</v>
      </c>
      <c r="C21" s="60" t="s">
        <v>430</v>
      </c>
      <c r="D21" s="60" t="s">
        <v>94</v>
      </c>
      <c r="E21" s="55"/>
      <c r="F21" s="79" t="s">
        <v>432</v>
      </c>
      <c r="G21" s="55" t="s">
        <v>430</v>
      </c>
      <c r="H21" s="376" t="s">
        <v>438</v>
      </c>
      <c r="I21" s="46">
        <v>40452</v>
      </c>
      <c r="J21" s="73" t="s">
        <v>16</v>
      </c>
      <c r="K21" s="375">
        <v>4.1</v>
      </c>
      <c r="L21" s="45"/>
      <c r="M21" s="82">
        <f>17285-14545</f>
        <v>2740</v>
      </c>
      <c r="N21" s="82">
        <f>71280-60339</f>
        <v>10941</v>
      </c>
      <c r="O21" s="202">
        <f t="shared" si="0"/>
        <v>13681</v>
      </c>
    </row>
    <row r="22" spans="1:15" ht="18">
      <c r="A22" s="275" t="s">
        <v>11</v>
      </c>
      <c r="B22" s="60" t="s">
        <v>429</v>
      </c>
      <c r="C22" s="60" t="s">
        <v>430</v>
      </c>
      <c r="D22" s="60" t="s">
        <v>199</v>
      </c>
      <c r="E22" s="55"/>
      <c r="F22" s="79" t="s">
        <v>432</v>
      </c>
      <c r="G22" s="55" t="s">
        <v>430</v>
      </c>
      <c r="H22" s="376" t="s">
        <v>439</v>
      </c>
      <c r="I22" s="46">
        <v>127390</v>
      </c>
      <c r="J22" s="73" t="s">
        <v>16</v>
      </c>
      <c r="K22" s="375">
        <v>3.3</v>
      </c>
      <c r="L22" s="45"/>
      <c r="M22" s="82">
        <f>7881-5441</f>
        <v>2440</v>
      </c>
      <c r="N22" s="82">
        <f>32835-21728</f>
        <v>11107</v>
      </c>
      <c r="O22" s="202">
        <f t="shared" si="0"/>
        <v>13547</v>
      </c>
    </row>
    <row r="23" spans="1:15" ht="18">
      <c r="A23" s="275" t="s">
        <v>11</v>
      </c>
      <c r="B23" s="60" t="s">
        <v>429</v>
      </c>
      <c r="C23" s="60" t="s">
        <v>430</v>
      </c>
      <c r="D23" s="60" t="s">
        <v>199</v>
      </c>
      <c r="E23" s="55"/>
      <c r="F23" s="79" t="s">
        <v>432</v>
      </c>
      <c r="G23" s="55" t="s">
        <v>430</v>
      </c>
      <c r="H23" s="376" t="s">
        <v>440</v>
      </c>
      <c r="I23" s="46">
        <v>1401628</v>
      </c>
      <c r="J23" s="73" t="s">
        <v>16</v>
      </c>
      <c r="K23" s="375">
        <v>1</v>
      </c>
      <c r="L23" s="45"/>
      <c r="M23" s="82">
        <f>648-324</f>
        <v>324</v>
      </c>
      <c r="N23" s="82">
        <f>2651-1353</f>
        <v>1298</v>
      </c>
      <c r="O23" s="202">
        <f t="shared" si="0"/>
        <v>1622</v>
      </c>
    </row>
    <row r="24" spans="1:15" ht="18">
      <c r="A24" s="275" t="s">
        <v>11</v>
      </c>
      <c r="B24" s="60" t="s">
        <v>429</v>
      </c>
      <c r="C24" s="60" t="s">
        <v>430</v>
      </c>
      <c r="D24" s="60" t="s">
        <v>205</v>
      </c>
      <c r="E24" s="55"/>
      <c r="F24" s="79" t="s">
        <v>432</v>
      </c>
      <c r="G24" s="55" t="s">
        <v>430</v>
      </c>
      <c r="H24" s="376" t="s">
        <v>441</v>
      </c>
      <c r="I24" s="46">
        <v>1440386</v>
      </c>
      <c r="J24" s="73" t="s">
        <v>16</v>
      </c>
      <c r="K24" s="375">
        <v>0.9</v>
      </c>
      <c r="L24" s="45"/>
      <c r="M24" s="82">
        <f>3185-2118</f>
        <v>1067</v>
      </c>
      <c r="N24" s="82">
        <f>13472-8899</f>
        <v>4573</v>
      </c>
      <c r="O24" s="202">
        <f t="shared" si="0"/>
        <v>5640</v>
      </c>
    </row>
    <row r="25" spans="1:15" ht="18">
      <c r="A25" s="275" t="s">
        <v>11</v>
      </c>
      <c r="B25" s="60" t="s">
        <v>429</v>
      </c>
      <c r="C25" s="60" t="s">
        <v>430</v>
      </c>
      <c r="D25" s="60" t="s">
        <v>442</v>
      </c>
      <c r="E25" s="55"/>
      <c r="F25" s="79" t="s">
        <v>432</v>
      </c>
      <c r="G25" s="55" t="s">
        <v>430</v>
      </c>
      <c r="H25" s="376" t="s">
        <v>443</v>
      </c>
      <c r="I25" s="46">
        <v>83246635</v>
      </c>
      <c r="J25" s="73" t="s">
        <v>16</v>
      </c>
      <c r="K25" s="375">
        <v>1.6</v>
      </c>
      <c r="L25" s="45"/>
      <c r="M25" s="82">
        <f>2630-1688</f>
        <v>942</v>
      </c>
      <c r="N25" s="82">
        <f>9481-5995</f>
        <v>3486</v>
      </c>
      <c r="O25" s="202">
        <f t="shared" si="0"/>
        <v>4428</v>
      </c>
    </row>
    <row r="26" spans="1:15" ht="29.25">
      <c r="A26" s="275" t="s">
        <v>11</v>
      </c>
      <c r="B26" s="60" t="s">
        <v>429</v>
      </c>
      <c r="C26" s="60" t="s">
        <v>430</v>
      </c>
      <c r="D26" s="60" t="s">
        <v>444</v>
      </c>
      <c r="E26" s="55"/>
      <c r="F26" s="79" t="s">
        <v>432</v>
      </c>
      <c r="G26" s="55" t="s">
        <v>430</v>
      </c>
      <c r="H26" s="376" t="s">
        <v>445</v>
      </c>
      <c r="I26" s="46">
        <v>83246693</v>
      </c>
      <c r="J26" s="73" t="s">
        <v>16</v>
      </c>
      <c r="K26" s="375">
        <v>3</v>
      </c>
      <c r="L26" s="45"/>
      <c r="M26" s="82">
        <f>4177-2668</f>
        <v>1509</v>
      </c>
      <c r="N26" s="82">
        <f>14884-9330</f>
        <v>5554</v>
      </c>
      <c r="O26" s="202">
        <f t="shared" si="0"/>
        <v>7063</v>
      </c>
    </row>
    <row r="27" spans="1:15" ht="18">
      <c r="A27" s="275" t="s">
        <v>11</v>
      </c>
      <c r="B27" s="60" t="s">
        <v>429</v>
      </c>
      <c r="C27" s="60" t="s">
        <v>430</v>
      </c>
      <c r="D27" s="60" t="s">
        <v>446</v>
      </c>
      <c r="E27" s="55"/>
      <c r="F27" s="79" t="s">
        <v>432</v>
      </c>
      <c r="G27" s="55" t="s">
        <v>430</v>
      </c>
      <c r="H27" s="376" t="s">
        <v>447</v>
      </c>
      <c r="I27" s="46">
        <v>70985064</v>
      </c>
      <c r="J27" s="73" t="s">
        <v>16</v>
      </c>
      <c r="K27" s="375">
        <v>2.5</v>
      </c>
      <c r="L27" s="45"/>
      <c r="M27" s="82">
        <f>32093-30114</f>
        <v>1979</v>
      </c>
      <c r="N27" s="82">
        <f>97902-88303</f>
        <v>9599</v>
      </c>
      <c r="O27" s="202">
        <f t="shared" si="0"/>
        <v>11578</v>
      </c>
    </row>
    <row r="28" spans="1:15" ht="18">
      <c r="A28" s="275" t="s">
        <v>11</v>
      </c>
      <c r="B28" s="60" t="s">
        <v>429</v>
      </c>
      <c r="C28" s="60" t="s">
        <v>448</v>
      </c>
      <c r="D28" s="60"/>
      <c r="E28" s="55"/>
      <c r="F28" s="79" t="s">
        <v>432</v>
      </c>
      <c r="G28" s="55" t="s">
        <v>430</v>
      </c>
      <c r="H28" s="376" t="s">
        <v>449</v>
      </c>
      <c r="I28" s="46">
        <v>83246715</v>
      </c>
      <c r="J28" s="73" t="s">
        <v>16</v>
      </c>
      <c r="K28" s="375">
        <v>2.2</v>
      </c>
      <c r="L28" s="45"/>
      <c r="M28" s="82">
        <f>7176-4761</f>
        <v>2415</v>
      </c>
      <c r="N28" s="82">
        <f>32959-20269</f>
        <v>12690</v>
      </c>
      <c r="O28" s="202">
        <f t="shared" si="0"/>
        <v>15105</v>
      </c>
    </row>
    <row r="29" spans="1:15" ht="18">
      <c r="A29" s="275" t="s">
        <v>11</v>
      </c>
      <c r="B29" s="60" t="s">
        <v>429</v>
      </c>
      <c r="C29" s="60" t="s">
        <v>450</v>
      </c>
      <c r="D29" s="60"/>
      <c r="E29" s="55"/>
      <c r="F29" s="79" t="s">
        <v>432</v>
      </c>
      <c r="G29" s="55" t="s">
        <v>430</v>
      </c>
      <c r="H29" s="376" t="s">
        <v>451</v>
      </c>
      <c r="I29" s="46">
        <v>83246687</v>
      </c>
      <c r="J29" s="73" t="s">
        <v>16</v>
      </c>
      <c r="K29" s="375">
        <v>2</v>
      </c>
      <c r="L29" s="45"/>
      <c r="M29" s="82">
        <f>4803-2779</f>
        <v>2024</v>
      </c>
      <c r="N29" s="82">
        <f>18058-10419</f>
        <v>7639</v>
      </c>
      <c r="O29" s="202">
        <f t="shared" si="0"/>
        <v>9663</v>
      </c>
    </row>
    <row r="30" spans="1:15" ht="18">
      <c r="A30" s="275" t="s">
        <v>11</v>
      </c>
      <c r="B30" s="60" t="s">
        <v>429</v>
      </c>
      <c r="C30" s="60" t="s">
        <v>452</v>
      </c>
      <c r="D30" s="60"/>
      <c r="E30" s="55"/>
      <c r="F30" s="79" t="s">
        <v>432</v>
      </c>
      <c r="G30" s="55" t="s">
        <v>430</v>
      </c>
      <c r="H30" s="376" t="s">
        <v>453</v>
      </c>
      <c r="I30" s="46">
        <v>83246629</v>
      </c>
      <c r="J30" s="73" t="s">
        <v>16</v>
      </c>
      <c r="K30" s="375">
        <v>1</v>
      </c>
      <c r="L30" s="45"/>
      <c r="M30" s="82">
        <f>3164-1927</f>
        <v>1237</v>
      </c>
      <c r="N30" s="82">
        <f>11569-6954</f>
        <v>4615</v>
      </c>
      <c r="O30" s="202">
        <f t="shared" si="0"/>
        <v>5852</v>
      </c>
    </row>
    <row r="31" spans="1:15" ht="18">
      <c r="A31" s="275" t="s">
        <v>11</v>
      </c>
      <c r="B31" s="60" t="s">
        <v>429</v>
      </c>
      <c r="C31" s="60" t="s">
        <v>454</v>
      </c>
      <c r="D31" s="60" t="s">
        <v>117</v>
      </c>
      <c r="E31" s="55"/>
      <c r="F31" s="79" t="s">
        <v>432</v>
      </c>
      <c r="G31" s="55" t="s">
        <v>430</v>
      </c>
      <c r="H31" s="376" t="s">
        <v>455</v>
      </c>
      <c r="I31" s="46">
        <v>70903520</v>
      </c>
      <c r="J31" s="73" t="s">
        <v>16</v>
      </c>
      <c r="K31" s="375">
        <v>5</v>
      </c>
      <c r="L31" s="45"/>
      <c r="M31" s="82">
        <f>12392-10302</f>
        <v>2090</v>
      </c>
      <c r="N31" s="82">
        <f>62756-51838</f>
        <v>10918</v>
      </c>
      <c r="O31" s="202">
        <f t="shared" si="0"/>
        <v>13008</v>
      </c>
    </row>
    <row r="32" spans="1:15" ht="18">
      <c r="A32" s="275" t="s">
        <v>11</v>
      </c>
      <c r="B32" s="60" t="s">
        <v>429</v>
      </c>
      <c r="C32" s="60" t="s">
        <v>454</v>
      </c>
      <c r="D32" s="60"/>
      <c r="E32" s="55"/>
      <c r="F32" s="79" t="s">
        <v>432</v>
      </c>
      <c r="G32" s="55" t="s">
        <v>430</v>
      </c>
      <c r="H32" s="376" t="s">
        <v>456</v>
      </c>
      <c r="I32" s="46">
        <v>70618905</v>
      </c>
      <c r="J32" s="73" t="s">
        <v>16</v>
      </c>
      <c r="K32" s="375">
        <v>3.5</v>
      </c>
      <c r="L32" s="45"/>
      <c r="M32" s="82">
        <f>16919-14458</f>
        <v>2461</v>
      </c>
      <c r="N32" s="82">
        <f>65671-54104</f>
        <v>11567</v>
      </c>
      <c r="O32" s="202">
        <f t="shared" si="0"/>
        <v>14028</v>
      </c>
    </row>
    <row r="33" spans="1:15" ht="18">
      <c r="A33" s="275" t="s">
        <v>11</v>
      </c>
      <c r="B33" s="60" t="s">
        <v>429</v>
      </c>
      <c r="C33" s="60" t="s">
        <v>454</v>
      </c>
      <c r="D33" s="60" t="s">
        <v>457</v>
      </c>
      <c r="E33" s="55"/>
      <c r="F33" s="79" t="s">
        <v>432</v>
      </c>
      <c r="G33" s="55" t="s">
        <v>430</v>
      </c>
      <c r="H33" s="376" t="s">
        <v>458</v>
      </c>
      <c r="I33" s="46">
        <v>83246708</v>
      </c>
      <c r="J33" s="73" t="s">
        <v>16</v>
      </c>
      <c r="K33" s="375">
        <v>1.3</v>
      </c>
      <c r="L33" s="45"/>
      <c r="M33" s="81">
        <f>3353-2132</f>
        <v>1221</v>
      </c>
      <c r="N33" s="81">
        <f>11513-7269</f>
        <v>4244</v>
      </c>
      <c r="O33" s="202">
        <f t="shared" si="0"/>
        <v>5465</v>
      </c>
    </row>
    <row r="34" spans="1:15" ht="29.25">
      <c r="A34" s="275" t="s">
        <v>11</v>
      </c>
      <c r="B34" s="60" t="s">
        <v>429</v>
      </c>
      <c r="C34" s="60" t="s">
        <v>1683</v>
      </c>
      <c r="D34" s="60"/>
      <c r="E34" s="55"/>
      <c r="F34" s="79" t="s">
        <v>432</v>
      </c>
      <c r="G34" s="55" t="s">
        <v>430</v>
      </c>
      <c r="H34" s="376" t="s">
        <v>459</v>
      </c>
      <c r="I34" s="46">
        <v>83246681</v>
      </c>
      <c r="J34" s="73" t="s">
        <v>16</v>
      </c>
      <c r="K34" s="375">
        <v>0.30000000000000004</v>
      </c>
      <c r="L34" s="45"/>
      <c r="M34" s="82">
        <f>1939-1258</f>
        <v>681</v>
      </c>
      <c r="N34" s="82">
        <f>7115-4405</f>
        <v>2710</v>
      </c>
      <c r="O34" s="202">
        <f t="shared" si="0"/>
        <v>3391</v>
      </c>
    </row>
    <row r="35" spans="1:15" ht="29.25">
      <c r="A35" s="275" t="s">
        <v>11</v>
      </c>
      <c r="B35" s="60" t="s">
        <v>429</v>
      </c>
      <c r="C35" s="60" t="s">
        <v>1683</v>
      </c>
      <c r="D35" s="60"/>
      <c r="E35" s="55"/>
      <c r="F35" s="79" t="s">
        <v>432</v>
      </c>
      <c r="G35" s="55" t="s">
        <v>430</v>
      </c>
      <c r="H35" s="376" t="s">
        <v>460</v>
      </c>
      <c r="I35" s="46">
        <v>83246679</v>
      </c>
      <c r="J35" s="73" t="s">
        <v>16</v>
      </c>
      <c r="K35" s="375">
        <v>0.4</v>
      </c>
      <c r="L35" s="45"/>
      <c r="M35" s="82">
        <f>1122-717</f>
        <v>405</v>
      </c>
      <c r="N35" s="82">
        <f>3898-2520</f>
        <v>1378</v>
      </c>
      <c r="O35" s="202">
        <f t="shared" si="0"/>
        <v>1783</v>
      </c>
    </row>
    <row r="36" spans="1:15" ht="29.25">
      <c r="A36" s="275" t="s">
        <v>11</v>
      </c>
      <c r="B36" s="60" t="s">
        <v>429</v>
      </c>
      <c r="C36" s="60" t="s">
        <v>1683</v>
      </c>
      <c r="D36" s="60"/>
      <c r="E36" s="55"/>
      <c r="F36" s="79" t="s">
        <v>432</v>
      </c>
      <c r="G36" s="55" t="s">
        <v>430</v>
      </c>
      <c r="H36" s="376" t="s">
        <v>461</v>
      </c>
      <c r="I36" s="46">
        <v>83246542</v>
      </c>
      <c r="J36" s="73" t="s">
        <v>16</v>
      </c>
      <c r="K36" s="375">
        <v>1</v>
      </c>
      <c r="L36" s="45"/>
      <c r="M36" s="82">
        <f>2596-1656</f>
        <v>940</v>
      </c>
      <c r="N36" s="82">
        <f>9624-6007</f>
        <v>3617</v>
      </c>
      <c r="O36" s="202">
        <f t="shared" si="0"/>
        <v>4557</v>
      </c>
    </row>
    <row r="37" spans="1:15" ht="33" customHeight="1">
      <c r="A37" s="275" t="s">
        <v>11</v>
      </c>
      <c r="B37" s="60" t="s">
        <v>429</v>
      </c>
      <c r="C37" s="60" t="s">
        <v>1684</v>
      </c>
      <c r="D37" s="60"/>
      <c r="E37" s="55"/>
      <c r="F37" s="79" t="s">
        <v>432</v>
      </c>
      <c r="G37" s="55" t="s">
        <v>430</v>
      </c>
      <c r="H37" s="376" t="s">
        <v>462</v>
      </c>
      <c r="I37" s="46">
        <v>83246652</v>
      </c>
      <c r="J37" s="73" t="s">
        <v>16</v>
      </c>
      <c r="K37" s="375">
        <v>3</v>
      </c>
      <c r="L37" s="45"/>
      <c r="M37" s="82">
        <f>3288-1700</f>
        <v>1588</v>
      </c>
      <c r="N37" s="82">
        <f>11034-5713</f>
        <v>5321</v>
      </c>
      <c r="O37" s="202">
        <f t="shared" si="0"/>
        <v>6909</v>
      </c>
    </row>
    <row r="38" spans="1:15" ht="29.25">
      <c r="A38" s="275" t="s">
        <v>11</v>
      </c>
      <c r="B38" s="60" t="s">
        <v>429</v>
      </c>
      <c r="C38" s="60" t="s">
        <v>1684</v>
      </c>
      <c r="D38" s="60"/>
      <c r="E38" s="55"/>
      <c r="F38" s="79" t="s">
        <v>432</v>
      </c>
      <c r="G38" s="55" t="s">
        <v>430</v>
      </c>
      <c r="H38" s="376" t="s">
        <v>463</v>
      </c>
      <c r="I38" s="46">
        <v>83746691</v>
      </c>
      <c r="J38" s="73" t="s">
        <v>16</v>
      </c>
      <c r="K38" s="375">
        <v>1.7000000000000002</v>
      </c>
      <c r="L38" s="45"/>
      <c r="M38" s="82">
        <f>8655-7146</f>
        <v>1509</v>
      </c>
      <c r="N38" s="82">
        <f>26076-21143</f>
        <v>4933</v>
      </c>
      <c r="O38" s="202">
        <f t="shared" si="0"/>
        <v>6442</v>
      </c>
    </row>
    <row r="39" spans="1:15" ht="29.25">
      <c r="A39" s="275" t="s">
        <v>11</v>
      </c>
      <c r="B39" s="60" t="s">
        <v>429</v>
      </c>
      <c r="C39" s="60" t="s">
        <v>1684</v>
      </c>
      <c r="D39" s="60"/>
      <c r="E39" s="55"/>
      <c r="F39" s="79" t="s">
        <v>432</v>
      </c>
      <c r="G39" s="55" t="s">
        <v>430</v>
      </c>
      <c r="H39" s="376" t="s">
        <v>464</v>
      </c>
      <c r="I39" s="46">
        <v>83246648</v>
      </c>
      <c r="J39" s="73" t="s">
        <v>16</v>
      </c>
      <c r="K39" s="375">
        <v>2.2</v>
      </c>
      <c r="L39" s="45"/>
      <c r="M39" s="82">
        <f>5056-3168</f>
        <v>1888</v>
      </c>
      <c r="N39" s="82">
        <f>18204-11154</f>
        <v>7050</v>
      </c>
      <c r="O39" s="202">
        <f t="shared" si="0"/>
        <v>8938</v>
      </c>
    </row>
    <row r="40" spans="1:15" ht="18">
      <c r="A40" s="275" t="s">
        <v>11</v>
      </c>
      <c r="B40" s="60" t="s">
        <v>429</v>
      </c>
      <c r="C40" s="60" t="s">
        <v>465</v>
      </c>
      <c r="D40" s="60"/>
      <c r="E40" s="55"/>
      <c r="F40" s="79" t="s">
        <v>432</v>
      </c>
      <c r="G40" s="55" t="s">
        <v>430</v>
      </c>
      <c r="H40" s="376" t="s">
        <v>466</v>
      </c>
      <c r="I40" s="46">
        <v>83246673</v>
      </c>
      <c r="J40" s="73" t="s">
        <v>16</v>
      </c>
      <c r="K40" s="375">
        <v>1</v>
      </c>
      <c r="L40" s="45"/>
      <c r="M40" s="82">
        <f>2419-1680</f>
        <v>739</v>
      </c>
      <c r="N40" s="82">
        <f>9146-6298</f>
        <v>2848</v>
      </c>
      <c r="O40" s="202">
        <f t="shared" si="0"/>
        <v>3587</v>
      </c>
    </row>
    <row r="41" spans="1:15" ht="18">
      <c r="A41" s="275" t="s">
        <v>11</v>
      </c>
      <c r="B41" s="60" t="s">
        <v>429</v>
      </c>
      <c r="C41" s="60" t="s">
        <v>465</v>
      </c>
      <c r="D41" s="60"/>
      <c r="E41" s="55"/>
      <c r="F41" s="79" t="s">
        <v>432</v>
      </c>
      <c r="G41" s="55" t="s">
        <v>430</v>
      </c>
      <c r="H41" s="376" t="s">
        <v>467</v>
      </c>
      <c r="I41" s="46">
        <v>83246651</v>
      </c>
      <c r="J41" s="73" t="s">
        <v>16</v>
      </c>
      <c r="K41" s="375">
        <v>0.6000000000000001</v>
      </c>
      <c r="L41" s="45"/>
      <c r="M41" s="82">
        <f>1544-997</f>
        <v>547</v>
      </c>
      <c r="N41" s="82">
        <f>5683-3559</f>
        <v>2124</v>
      </c>
      <c r="O41" s="202">
        <f t="shared" si="0"/>
        <v>2671</v>
      </c>
    </row>
    <row r="42" spans="1:15" ht="18">
      <c r="A42" s="275" t="s">
        <v>11</v>
      </c>
      <c r="B42" s="60" t="s">
        <v>429</v>
      </c>
      <c r="C42" s="60" t="s">
        <v>465</v>
      </c>
      <c r="D42" s="60"/>
      <c r="E42" s="55"/>
      <c r="F42" s="79" t="s">
        <v>432</v>
      </c>
      <c r="G42" s="55" t="s">
        <v>430</v>
      </c>
      <c r="H42" s="376" t="s">
        <v>468</v>
      </c>
      <c r="I42" s="46">
        <v>83746709</v>
      </c>
      <c r="J42" s="73" t="s">
        <v>16</v>
      </c>
      <c r="K42" s="375">
        <v>0.8</v>
      </c>
      <c r="L42" s="45"/>
      <c r="M42" s="82">
        <f>3646-2923</f>
        <v>723</v>
      </c>
      <c r="N42" s="82">
        <f>12295-9636</f>
        <v>2659</v>
      </c>
      <c r="O42" s="202">
        <f t="shared" si="0"/>
        <v>3382</v>
      </c>
    </row>
    <row r="43" spans="1:15" ht="18">
      <c r="A43" s="275" t="s">
        <v>11</v>
      </c>
      <c r="B43" s="60" t="s">
        <v>429</v>
      </c>
      <c r="C43" s="60" t="s">
        <v>465</v>
      </c>
      <c r="D43" s="60" t="s">
        <v>318</v>
      </c>
      <c r="E43" s="55"/>
      <c r="F43" s="79" t="s">
        <v>432</v>
      </c>
      <c r="G43" s="55" t="s">
        <v>430</v>
      </c>
      <c r="H43" s="376" t="s">
        <v>469</v>
      </c>
      <c r="I43" s="46">
        <v>1387588</v>
      </c>
      <c r="J43" s="73" t="s">
        <v>16</v>
      </c>
      <c r="K43" s="375">
        <v>0.7</v>
      </c>
      <c r="L43" s="45"/>
      <c r="M43" s="81">
        <f>4488-3860</f>
        <v>628</v>
      </c>
      <c r="N43" s="81">
        <f>12184-9127</f>
        <v>3057</v>
      </c>
      <c r="O43" s="202">
        <f t="shared" si="0"/>
        <v>3685</v>
      </c>
    </row>
    <row r="44" spans="1:15" ht="18">
      <c r="A44" s="275" t="s">
        <v>11</v>
      </c>
      <c r="B44" s="60" t="s">
        <v>429</v>
      </c>
      <c r="C44" s="60" t="s">
        <v>470</v>
      </c>
      <c r="D44" s="60"/>
      <c r="E44" s="55"/>
      <c r="F44" s="79" t="s">
        <v>432</v>
      </c>
      <c r="G44" s="55" t="s">
        <v>430</v>
      </c>
      <c r="H44" s="376" t="s">
        <v>471</v>
      </c>
      <c r="I44" s="46">
        <v>83246756</v>
      </c>
      <c r="J44" s="73" t="s">
        <v>16</v>
      </c>
      <c r="K44" s="375">
        <v>0.1</v>
      </c>
      <c r="L44" s="45"/>
      <c r="M44" s="82">
        <f>213-138</f>
        <v>75</v>
      </c>
      <c r="N44" s="82">
        <f>823-519</f>
        <v>304</v>
      </c>
      <c r="O44" s="202">
        <f t="shared" si="0"/>
        <v>379</v>
      </c>
    </row>
    <row r="45" spans="1:15" ht="18">
      <c r="A45" s="275" t="s">
        <v>11</v>
      </c>
      <c r="B45" s="60" t="s">
        <v>429</v>
      </c>
      <c r="C45" s="60" t="s">
        <v>470</v>
      </c>
      <c r="D45" s="60"/>
      <c r="E45" s="55"/>
      <c r="F45" s="79" t="s">
        <v>432</v>
      </c>
      <c r="G45" s="55" t="s">
        <v>430</v>
      </c>
      <c r="H45" s="376" t="s">
        <v>472</v>
      </c>
      <c r="I45" s="46">
        <v>83246889</v>
      </c>
      <c r="J45" s="73" t="s">
        <v>16</v>
      </c>
      <c r="K45" s="375">
        <v>0.1</v>
      </c>
      <c r="L45" s="45"/>
      <c r="M45" s="82">
        <f>394-250</f>
        <v>144</v>
      </c>
      <c r="N45" s="82">
        <f>1363-848</f>
        <v>515</v>
      </c>
      <c r="O45" s="202">
        <f t="shared" si="0"/>
        <v>659</v>
      </c>
    </row>
    <row r="46" spans="1:15" ht="18">
      <c r="A46" s="275" t="s">
        <v>11</v>
      </c>
      <c r="B46" s="60" t="s">
        <v>429</v>
      </c>
      <c r="C46" s="60" t="s">
        <v>430</v>
      </c>
      <c r="D46" s="60" t="s">
        <v>473</v>
      </c>
      <c r="E46" s="55"/>
      <c r="F46" s="79" t="s">
        <v>432</v>
      </c>
      <c r="G46" s="55" t="s">
        <v>430</v>
      </c>
      <c r="H46" s="376" t="s">
        <v>474</v>
      </c>
      <c r="I46" s="46">
        <v>83246650</v>
      </c>
      <c r="J46" s="73" t="s">
        <v>16</v>
      </c>
      <c r="K46" s="375">
        <v>3</v>
      </c>
      <c r="L46" s="45"/>
      <c r="M46" s="82">
        <f>5942-3927</f>
        <v>2015</v>
      </c>
      <c r="N46" s="82">
        <f>21773-13993</f>
        <v>7780</v>
      </c>
      <c r="O46" s="202">
        <f t="shared" si="0"/>
        <v>9795</v>
      </c>
    </row>
    <row r="47" spans="1:15" ht="18">
      <c r="A47" s="275" t="s">
        <v>11</v>
      </c>
      <c r="B47" s="60" t="s">
        <v>429</v>
      </c>
      <c r="C47" s="60" t="s">
        <v>1688</v>
      </c>
      <c r="D47" s="60"/>
      <c r="E47" s="55"/>
      <c r="F47" s="79" t="s">
        <v>432</v>
      </c>
      <c r="G47" s="55" t="s">
        <v>430</v>
      </c>
      <c r="H47" s="376" t="s">
        <v>475</v>
      </c>
      <c r="I47" s="46">
        <v>83246615</v>
      </c>
      <c r="J47" s="73" t="s">
        <v>16</v>
      </c>
      <c r="K47" s="375">
        <v>0.6000000000000001</v>
      </c>
      <c r="L47" s="45"/>
      <c r="M47" s="82">
        <f>1439-943</f>
        <v>496</v>
      </c>
      <c r="N47" s="82">
        <f>4922-3295</f>
        <v>1627</v>
      </c>
      <c r="O47" s="202">
        <f t="shared" si="0"/>
        <v>2123</v>
      </c>
    </row>
    <row r="48" spans="1:15" ht="18">
      <c r="A48" s="275" t="s">
        <v>11</v>
      </c>
      <c r="B48" s="60" t="s">
        <v>429</v>
      </c>
      <c r="C48" s="60" t="s">
        <v>476</v>
      </c>
      <c r="D48" s="60"/>
      <c r="E48" s="55"/>
      <c r="F48" s="79" t="s">
        <v>432</v>
      </c>
      <c r="G48" s="55" t="s">
        <v>430</v>
      </c>
      <c r="H48" s="376" t="s">
        <v>477</v>
      </c>
      <c r="I48" s="46">
        <v>70903522</v>
      </c>
      <c r="J48" s="73" t="s">
        <v>16</v>
      </c>
      <c r="K48" s="375">
        <v>3.9</v>
      </c>
      <c r="L48" s="45"/>
      <c r="M48" s="82">
        <f>14762-12114</f>
        <v>2648</v>
      </c>
      <c r="N48" s="82">
        <f>64543-52983</f>
        <v>11560</v>
      </c>
      <c r="O48" s="202">
        <f t="shared" si="0"/>
        <v>14208</v>
      </c>
    </row>
    <row r="49" spans="1:15" ht="18">
      <c r="A49" s="275" t="s">
        <v>11</v>
      </c>
      <c r="B49" s="60" t="s">
        <v>429</v>
      </c>
      <c r="C49" s="27" t="s">
        <v>430</v>
      </c>
      <c r="D49" s="60" t="s">
        <v>473</v>
      </c>
      <c r="E49" s="55"/>
      <c r="F49" s="79" t="s">
        <v>432</v>
      </c>
      <c r="G49" s="55" t="s">
        <v>430</v>
      </c>
      <c r="H49" s="376" t="s">
        <v>478</v>
      </c>
      <c r="I49" s="46">
        <v>83246691</v>
      </c>
      <c r="J49" s="73" t="s">
        <v>16</v>
      </c>
      <c r="K49" s="375">
        <v>3.6</v>
      </c>
      <c r="L49" s="45"/>
      <c r="M49" s="82">
        <f>9381-6321</f>
        <v>3060</v>
      </c>
      <c r="N49" s="82">
        <f>35238-22786</f>
        <v>12452</v>
      </c>
      <c r="O49" s="202">
        <f t="shared" si="0"/>
        <v>15512</v>
      </c>
    </row>
    <row r="50" spans="1:15" ht="18">
      <c r="A50" s="275" t="s">
        <v>11</v>
      </c>
      <c r="B50" s="60" t="s">
        <v>429</v>
      </c>
      <c r="C50" s="60" t="s">
        <v>452</v>
      </c>
      <c r="D50" s="60"/>
      <c r="E50" s="55"/>
      <c r="F50" s="79" t="s">
        <v>432</v>
      </c>
      <c r="G50" s="55" t="s">
        <v>430</v>
      </c>
      <c r="H50" s="376" t="s">
        <v>479</v>
      </c>
      <c r="I50" s="46">
        <v>83246613</v>
      </c>
      <c r="J50" s="73" t="s">
        <v>16</v>
      </c>
      <c r="K50" s="375">
        <v>1</v>
      </c>
      <c r="L50" s="45"/>
      <c r="M50" s="82">
        <f>1499-953</f>
        <v>546</v>
      </c>
      <c r="N50" s="82">
        <f>5405-3393</f>
        <v>2012</v>
      </c>
      <c r="O50" s="202">
        <f t="shared" si="0"/>
        <v>2558</v>
      </c>
    </row>
    <row r="51" spans="1:15" ht="18">
      <c r="A51" s="275" t="s">
        <v>11</v>
      </c>
      <c r="B51" s="60" t="s">
        <v>429</v>
      </c>
      <c r="C51" s="60" t="s">
        <v>452</v>
      </c>
      <c r="D51" s="60"/>
      <c r="E51" s="55"/>
      <c r="F51" s="79" t="s">
        <v>432</v>
      </c>
      <c r="G51" s="55" t="s">
        <v>430</v>
      </c>
      <c r="H51" s="376" t="s">
        <v>480</v>
      </c>
      <c r="I51" s="46">
        <v>83246680</v>
      </c>
      <c r="J51" s="73" t="s">
        <v>16</v>
      </c>
      <c r="K51" s="375">
        <v>3</v>
      </c>
      <c r="L51" s="45"/>
      <c r="M51" s="82">
        <f>5762-3275</f>
        <v>2487</v>
      </c>
      <c r="N51" s="82">
        <f>20082-11278</f>
        <v>8804</v>
      </c>
      <c r="O51" s="202">
        <f t="shared" si="0"/>
        <v>11291</v>
      </c>
    </row>
    <row r="52" spans="1:15" ht="29.25">
      <c r="A52" s="275" t="s">
        <v>11</v>
      </c>
      <c r="B52" s="60" t="s">
        <v>429</v>
      </c>
      <c r="C52" s="60" t="s">
        <v>452</v>
      </c>
      <c r="D52" s="60" t="s">
        <v>1301</v>
      </c>
      <c r="E52" s="55"/>
      <c r="F52" s="79" t="s">
        <v>432</v>
      </c>
      <c r="G52" s="55" t="s">
        <v>430</v>
      </c>
      <c r="H52" s="376" t="s">
        <v>481</v>
      </c>
      <c r="I52" s="46">
        <v>70903544</v>
      </c>
      <c r="J52" s="73" t="s">
        <v>16</v>
      </c>
      <c r="K52" s="375">
        <v>5</v>
      </c>
      <c r="L52" s="45"/>
      <c r="M52" s="82">
        <f>15314-12518</f>
        <v>2796</v>
      </c>
      <c r="N52" s="82">
        <f>70182-56963</f>
        <v>13219</v>
      </c>
      <c r="O52" s="202">
        <f t="shared" si="0"/>
        <v>16015</v>
      </c>
    </row>
    <row r="53" spans="1:15" ht="18">
      <c r="A53" s="275" t="s">
        <v>11</v>
      </c>
      <c r="B53" s="60" t="s">
        <v>429</v>
      </c>
      <c r="C53" s="60" t="s">
        <v>452</v>
      </c>
      <c r="D53" s="60"/>
      <c r="E53" s="55"/>
      <c r="F53" s="79" t="s">
        <v>432</v>
      </c>
      <c r="G53" s="55" t="s">
        <v>430</v>
      </c>
      <c r="H53" s="376" t="s">
        <v>482</v>
      </c>
      <c r="I53" s="46">
        <v>70903619</v>
      </c>
      <c r="J53" s="73" t="s">
        <v>16</v>
      </c>
      <c r="K53" s="375">
        <v>2.4</v>
      </c>
      <c r="L53" s="45"/>
      <c r="M53" s="82">
        <f>10967-9324</f>
        <v>1643</v>
      </c>
      <c r="N53" s="82">
        <f>53111-44483</f>
        <v>8628</v>
      </c>
      <c r="O53" s="202">
        <f t="shared" si="0"/>
        <v>10271</v>
      </c>
    </row>
    <row r="54" spans="1:15" ht="18">
      <c r="A54" s="275" t="s">
        <v>11</v>
      </c>
      <c r="B54" s="60" t="s">
        <v>429</v>
      </c>
      <c r="C54" s="60" t="s">
        <v>483</v>
      </c>
      <c r="D54" s="60"/>
      <c r="E54" s="55"/>
      <c r="F54" s="79" t="s">
        <v>432</v>
      </c>
      <c r="G54" s="55" t="s">
        <v>430</v>
      </c>
      <c r="H54" s="376" t="s">
        <v>484</v>
      </c>
      <c r="I54" s="46">
        <v>83246740</v>
      </c>
      <c r="J54" s="73" t="s">
        <v>16</v>
      </c>
      <c r="K54" s="375">
        <v>1.7000000000000002</v>
      </c>
      <c r="L54" s="45"/>
      <c r="M54" s="82">
        <f>2219-1413</f>
        <v>806</v>
      </c>
      <c r="N54" s="82">
        <f>8482-5312</f>
        <v>3170</v>
      </c>
      <c r="O54" s="202">
        <f t="shared" si="0"/>
        <v>3976</v>
      </c>
    </row>
    <row r="55" spans="1:15" ht="18">
      <c r="A55" s="275" t="s">
        <v>11</v>
      </c>
      <c r="B55" s="60" t="s">
        <v>429</v>
      </c>
      <c r="C55" s="60" t="s">
        <v>485</v>
      </c>
      <c r="D55" s="60"/>
      <c r="E55" s="55"/>
      <c r="F55" s="79" t="s">
        <v>432</v>
      </c>
      <c r="G55" s="55" t="s">
        <v>430</v>
      </c>
      <c r="H55" s="376" t="s">
        <v>486</v>
      </c>
      <c r="I55" s="46">
        <v>83246766</v>
      </c>
      <c r="J55" s="73" t="s">
        <v>16</v>
      </c>
      <c r="K55" s="375">
        <v>2.3</v>
      </c>
      <c r="L55" s="45"/>
      <c r="M55" s="82">
        <f>5785-3671</f>
        <v>2114</v>
      </c>
      <c r="N55" s="82">
        <f>20354-12987</f>
        <v>7367</v>
      </c>
      <c r="O55" s="202">
        <f t="shared" si="0"/>
        <v>9481</v>
      </c>
    </row>
    <row r="56" spans="1:15" ht="18">
      <c r="A56" s="275" t="s">
        <v>11</v>
      </c>
      <c r="B56" s="60" t="s">
        <v>429</v>
      </c>
      <c r="C56" s="60" t="s">
        <v>485</v>
      </c>
      <c r="D56" s="60"/>
      <c r="E56" s="55"/>
      <c r="F56" s="79" t="s">
        <v>432</v>
      </c>
      <c r="G56" s="55" t="s">
        <v>430</v>
      </c>
      <c r="H56" s="376" t="s">
        <v>487</v>
      </c>
      <c r="I56" s="46">
        <v>83247332</v>
      </c>
      <c r="J56" s="73" t="s">
        <v>16</v>
      </c>
      <c r="K56" s="375">
        <v>1.9</v>
      </c>
      <c r="L56" s="45"/>
      <c r="M56" s="82">
        <f>4526-2847</f>
        <v>1679</v>
      </c>
      <c r="N56" s="82">
        <f>16218-10315</f>
        <v>5903</v>
      </c>
      <c r="O56" s="202">
        <f t="shared" si="0"/>
        <v>7582</v>
      </c>
    </row>
    <row r="57" spans="1:15" ht="17.25" customHeight="1">
      <c r="A57" s="275" t="s">
        <v>11</v>
      </c>
      <c r="B57" s="60" t="s">
        <v>429</v>
      </c>
      <c r="C57" s="60" t="s">
        <v>1689</v>
      </c>
      <c r="D57" s="60"/>
      <c r="E57" s="55"/>
      <c r="F57" s="79" t="s">
        <v>432</v>
      </c>
      <c r="G57" s="55" t="s">
        <v>430</v>
      </c>
      <c r="H57" s="376" t="s">
        <v>488</v>
      </c>
      <c r="I57" s="46">
        <v>83246755</v>
      </c>
      <c r="J57" s="73" t="s">
        <v>16</v>
      </c>
      <c r="K57" s="375">
        <v>1.3</v>
      </c>
      <c r="L57" s="45"/>
      <c r="M57" s="82">
        <f>3163-2052</f>
        <v>1111</v>
      </c>
      <c r="N57" s="82">
        <f>12113-7587</f>
        <v>4526</v>
      </c>
      <c r="O57" s="202">
        <f t="shared" si="0"/>
        <v>5637</v>
      </c>
    </row>
    <row r="58" spans="1:15" ht="18">
      <c r="A58" s="275" t="s">
        <v>11</v>
      </c>
      <c r="B58" s="60" t="s">
        <v>429</v>
      </c>
      <c r="C58" s="60" t="s">
        <v>489</v>
      </c>
      <c r="D58" s="60"/>
      <c r="E58" s="55"/>
      <c r="F58" s="79" t="s">
        <v>432</v>
      </c>
      <c r="G58" s="55" t="s">
        <v>430</v>
      </c>
      <c r="H58" s="376" t="s">
        <v>490</v>
      </c>
      <c r="I58" s="46">
        <v>43135</v>
      </c>
      <c r="J58" s="73" t="s">
        <v>16</v>
      </c>
      <c r="K58" s="375">
        <v>2.1</v>
      </c>
      <c r="L58" s="45"/>
      <c r="M58" s="82">
        <f>7955-6507</f>
        <v>1448</v>
      </c>
      <c r="N58" s="82">
        <f>24896-20849</f>
        <v>4047</v>
      </c>
      <c r="O58" s="202">
        <f t="shared" si="0"/>
        <v>5495</v>
      </c>
    </row>
    <row r="59" spans="1:15" ht="18">
      <c r="A59" s="275" t="s">
        <v>11</v>
      </c>
      <c r="B59" s="60" t="s">
        <v>429</v>
      </c>
      <c r="C59" s="60" t="s">
        <v>491</v>
      </c>
      <c r="D59" s="60"/>
      <c r="E59" s="55"/>
      <c r="F59" s="79" t="s">
        <v>432</v>
      </c>
      <c r="G59" s="55" t="s">
        <v>430</v>
      </c>
      <c r="H59" s="376" t="s">
        <v>492</v>
      </c>
      <c r="I59" s="46">
        <v>43141</v>
      </c>
      <c r="J59" s="73" t="s">
        <v>16</v>
      </c>
      <c r="K59" s="375">
        <v>0.5</v>
      </c>
      <c r="L59" s="45"/>
      <c r="M59" s="82">
        <f>1870-1531</f>
        <v>339</v>
      </c>
      <c r="N59" s="82">
        <f>7950-6570</f>
        <v>1380</v>
      </c>
      <c r="O59" s="202">
        <f t="shared" si="0"/>
        <v>1719</v>
      </c>
    </row>
    <row r="60" spans="1:15" ht="18">
      <c r="A60" s="275" t="s">
        <v>11</v>
      </c>
      <c r="B60" s="60" t="s">
        <v>429</v>
      </c>
      <c r="C60" s="60" t="s">
        <v>491</v>
      </c>
      <c r="D60" s="60"/>
      <c r="E60" s="55"/>
      <c r="F60" s="79" t="s">
        <v>432</v>
      </c>
      <c r="G60" s="55" t="s">
        <v>430</v>
      </c>
      <c r="H60" s="376" t="s">
        <v>493</v>
      </c>
      <c r="I60" s="46">
        <v>83111497</v>
      </c>
      <c r="J60" s="73" t="s">
        <v>16</v>
      </c>
      <c r="K60" s="375">
        <v>2.3</v>
      </c>
      <c r="L60" s="45"/>
      <c r="M60" s="82">
        <f>4120-2302</f>
        <v>1818</v>
      </c>
      <c r="N60" s="82">
        <f>14908-8132</f>
        <v>6776</v>
      </c>
      <c r="O60" s="202">
        <f t="shared" si="0"/>
        <v>8594</v>
      </c>
    </row>
    <row r="61" spans="1:15" ht="31.5" customHeight="1">
      <c r="A61" s="275" t="s">
        <v>11</v>
      </c>
      <c r="B61" s="60" t="s">
        <v>429</v>
      </c>
      <c r="C61" s="60" t="s">
        <v>1683</v>
      </c>
      <c r="D61" s="60"/>
      <c r="E61" s="55"/>
      <c r="F61" s="79" t="s">
        <v>432</v>
      </c>
      <c r="G61" s="55" t="s">
        <v>430</v>
      </c>
      <c r="H61" s="376" t="s">
        <v>494</v>
      </c>
      <c r="I61" s="46">
        <v>1000189</v>
      </c>
      <c r="J61" s="73" t="s">
        <v>16</v>
      </c>
      <c r="K61" s="375">
        <v>1.1</v>
      </c>
      <c r="L61" s="45"/>
      <c r="M61" s="82">
        <f>3694-3095</f>
        <v>599</v>
      </c>
      <c r="N61" s="82">
        <f>13899-12395</f>
        <v>1504</v>
      </c>
      <c r="O61" s="202">
        <f t="shared" si="0"/>
        <v>2103</v>
      </c>
    </row>
    <row r="62" spans="1:15" ht="18">
      <c r="A62" s="275" t="s">
        <v>11</v>
      </c>
      <c r="B62" s="60" t="s">
        <v>429</v>
      </c>
      <c r="C62" s="60" t="s">
        <v>495</v>
      </c>
      <c r="D62" s="60"/>
      <c r="E62" s="55"/>
      <c r="F62" s="79" t="s">
        <v>432</v>
      </c>
      <c r="G62" s="55" t="s">
        <v>430</v>
      </c>
      <c r="H62" s="376" t="s">
        <v>496</v>
      </c>
      <c r="I62" s="46">
        <v>1440402</v>
      </c>
      <c r="J62" s="73" t="s">
        <v>16</v>
      </c>
      <c r="K62" s="375">
        <v>0.8</v>
      </c>
      <c r="L62" s="45"/>
      <c r="M62" s="82">
        <f>542-359</f>
        <v>183</v>
      </c>
      <c r="N62" s="82">
        <f>2185-1439</f>
        <v>746</v>
      </c>
      <c r="O62" s="202">
        <f t="shared" si="0"/>
        <v>929</v>
      </c>
    </row>
    <row r="63" spans="1:15" ht="18">
      <c r="A63" s="275" t="s">
        <v>11</v>
      </c>
      <c r="B63" s="60" t="s">
        <v>429</v>
      </c>
      <c r="C63" s="60" t="s">
        <v>495</v>
      </c>
      <c r="D63" s="60"/>
      <c r="E63" s="55"/>
      <c r="F63" s="79" t="s">
        <v>432</v>
      </c>
      <c r="G63" s="55" t="s">
        <v>430</v>
      </c>
      <c r="H63" s="376" t="s">
        <v>497</v>
      </c>
      <c r="I63" s="46">
        <v>83111609</v>
      </c>
      <c r="J63" s="73" t="s">
        <v>16</v>
      </c>
      <c r="K63" s="375">
        <v>1.1</v>
      </c>
      <c r="L63" s="45"/>
      <c r="M63" s="82">
        <f>3304-2159</f>
        <v>1145</v>
      </c>
      <c r="N63" s="82">
        <f>12464-8064</f>
        <v>4400</v>
      </c>
      <c r="O63" s="202">
        <f t="shared" si="0"/>
        <v>5545</v>
      </c>
    </row>
    <row r="64" spans="1:15" ht="18">
      <c r="A64" s="275" t="s">
        <v>11</v>
      </c>
      <c r="B64" s="60" t="s">
        <v>429</v>
      </c>
      <c r="C64" s="60" t="s">
        <v>495</v>
      </c>
      <c r="D64" s="60"/>
      <c r="E64" s="55"/>
      <c r="F64" s="79" t="s">
        <v>432</v>
      </c>
      <c r="G64" s="55" t="s">
        <v>430</v>
      </c>
      <c r="H64" s="376" t="s">
        <v>498</v>
      </c>
      <c r="I64" s="46">
        <v>83291715</v>
      </c>
      <c r="J64" s="73" t="s">
        <v>16</v>
      </c>
      <c r="K64" s="375">
        <v>3</v>
      </c>
      <c r="L64" s="45"/>
      <c r="M64" s="82">
        <f>2112-703</f>
        <v>1409</v>
      </c>
      <c r="N64" s="82">
        <f>8300-2393</f>
        <v>5907</v>
      </c>
      <c r="O64" s="202">
        <f t="shared" si="0"/>
        <v>7316</v>
      </c>
    </row>
    <row r="65" spans="1:15" ht="18">
      <c r="A65" s="275" t="s">
        <v>11</v>
      </c>
      <c r="B65" s="60" t="s">
        <v>429</v>
      </c>
      <c r="C65" s="60" t="s">
        <v>495</v>
      </c>
      <c r="D65" s="60"/>
      <c r="E65" s="55"/>
      <c r="F65" s="79" t="s">
        <v>432</v>
      </c>
      <c r="G65" s="55" t="s">
        <v>430</v>
      </c>
      <c r="H65" s="376" t="s">
        <v>499</v>
      </c>
      <c r="I65" s="46">
        <v>1440388</v>
      </c>
      <c r="J65" s="73" t="s">
        <v>16</v>
      </c>
      <c r="K65" s="375">
        <v>1.1</v>
      </c>
      <c r="L65" s="45"/>
      <c r="M65" s="82">
        <f>1291-865</f>
        <v>426</v>
      </c>
      <c r="N65" s="82">
        <f>5671-3755</f>
        <v>1916</v>
      </c>
      <c r="O65" s="202">
        <f t="shared" si="0"/>
        <v>2342</v>
      </c>
    </row>
    <row r="66" spans="1:15" ht="29.25">
      <c r="A66" s="275" t="s">
        <v>11</v>
      </c>
      <c r="B66" s="60" t="s">
        <v>429</v>
      </c>
      <c r="C66" s="60" t="s">
        <v>430</v>
      </c>
      <c r="D66" s="60" t="s">
        <v>500</v>
      </c>
      <c r="E66" s="55"/>
      <c r="F66" s="79" t="s">
        <v>432</v>
      </c>
      <c r="G66" s="55" t="s">
        <v>430</v>
      </c>
      <c r="H66" s="376" t="s">
        <v>501</v>
      </c>
      <c r="I66" s="46">
        <v>1494926</v>
      </c>
      <c r="J66" s="73" t="s">
        <v>16</v>
      </c>
      <c r="K66" s="375">
        <v>1.4</v>
      </c>
      <c r="L66" s="45"/>
      <c r="M66" s="82">
        <f>3881-2535</f>
        <v>1346</v>
      </c>
      <c r="N66" s="82">
        <f>13120-7331</f>
        <v>5789</v>
      </c>
      <c r="O66" s="202">
        <f t="shared" si="0"/>
        <v>7135</v>
      </c>
    </row>
    <row r="67" spans="1:15" ht="29.25">
      <c r="A67" s="275" t="s">
        <v>11</v>
      </c>
      <c r="B67" s="60" t="s">
        <v>429</v>
      </c>
      <c r="C67" s="60" t="s">
        <v>430</v>
      </c>
      <c r="D67" s="60" t="s">
        <v>1680</v>
      </c>
      <c r="E67" s="55"/>
      <c r="F67" s="79" t="s">
        <v>432</v>
      </c>
      <c r="G67" s="55" t="s">
        <v>430</v>
      </c>
      <c r="H67" s="376" t="s">
        <v>502</v>
      </c>
      <c r="I67" s="46">
        <v>1440398</v>
      </c>
      <c r="J67" s="73" t="s">
        <v>16</v>
      </c>
      <c r="K67" s="375">
        <v>1.6</v>
      </c>
      <c r="L67" s="45"/>
      <c r="M67" s="82">
        <f>3626-2457</f>
        <v>1169</v>
      </c>
      <c r="N67" s="82">
        <f>15635-10405</f>
        <v>5230</v>
      </c>
      <c r="O67" s="202">
        <f t="shared" si="0"/>
        <v>6399</v>
      </c>
    </row>
    <row r="68" spans="1:16" ht="18">
      <c r="A68" s="275" t="s">
        <v>11</v>
      </c>
      <c r="B68" s="60" t="s">
        <v>429</v>
      </c>
      <c r="C68" s="149" t="s">
        <v>448</v>
      </c>
      <c r="D68" s="60"/>
      <c r="E68" s="55"/>
      <c r="F68" s="79" t="s">
        <v>432</v>
      </c>
      <c r="G68" s="55" t="s">
        <v>430</v>
      </c>
      <c r="H68" s="376" t="s">
        <v>503</v>
      </c>
      <c r="I68" s="46">
        <v>70851278</v>
      </c>
      <c r="J68" s="73" t="s">
        <v>16</v>
      </c>
      <c r="K68" s="375">
        <v>6.7</v>
      </c>
      <c r="L68" s="45"/>
      <c r="M68" s="82">
        <f>13154-11170</f>
        <v>1984</v>
      </c>
      <c r="N68" s="82">
        <f>64811-53696</f>
        <v>11115</v>
      </c>
      <c r="O68" s="202">
        <f t="shared" si="0"/>
        <v>13099</v>
      </c>
      <c r="P68" s="2"/>
    </row>
    <row r="69" spans="1:15" ht="18">
      <c r="A69" s="275" t="s">
        <v>11</v>
      </c>
      <c r="B69" s="60" t="s">
        <v>429</v>
      </c>
      <c r="C69" s="149" t="s">
        <v>470</v>
      </c>
      <c r="D69" s="60" t="s">
        <v>504</v>
      </c>
      <c r="E69" s="55"/>
      <c r="F69" s="79" t="s">
        <v>432</v>
      </c>
      <c r="G69" s="55" t="s">
        <v>430</v>
      </c>
      <c r="H69" s="376" t="s">
        <v>505</v>
      </c>
      <c r="I69" s="46">
        <v>1001178</v>
      </c>
      <c r="J69" s="73" t="s">
        <v>16</v>
      </c>
      <c r="K69" s="375">
        <v>0.4</v>
      </c>
      <c r="L69" s="45"/>
      <c r="M69" s="81">
        <f>2807-2078</f>
        <v>729</v>
      </c>
      <c r="N69" s="81">
        <f>10871-7976</f>
        <v>2895</v>
      </c>
      <c r="O69" s="202">
        <f t="shared" si="0"/>
        <v>3624</v>
      </c>
    </row>
    <row r="70" spans="1:15" ht="18">
      <c r="A70" s="275" t="s">
        <v>11</v>
      </c>
      <c r="B70" s="150" t="s">
        <v>429</v>
      </c>
      <c r="C70" s="60" t="s">
        <v>506</v>
      </c>
      <c r="D70" s="60"/>
      <c r="E70" s="55"/>
      <c r="F70" s="79" t="s">
        <v>432</v>
      </c>
      <c r="G70" s="55" t="s">
        <v>430</v>
      </c>
      <c r="H70" s="376" t="s">
        <v>507</v>
      </c>
      <c r="I70" s="46">
        <v>83246678</v>
      </c>
      <c r="J70" s="47" t="s">
        <v>16</v>
      </c>
      <c r="K70" s="375">
        <v>0.3</v>
      </c>
      <c r="L70" s="45"/>
      <c r="M70" s="83">
        <f>871-553</f>
        <v>318</v>
      </c>
      <c r="N70" s="81">
        <f>3273-2035</f>
        <v>1238</v>
      </c>
      <c r="O70" s="202">
        <f t="shared" si="0"/>
        <v>1556</v>
      </c>
    </row>
    <row r="71" spans="1:15" ht="18">
      <c r="A71" s="275" t="s">
        <v>11</v>
      </c>
      <c r="B71" s="150" t="s">
        <v>429</v>
      </c>
      <c r="C71" s="60" t="s">
        <v>430</v>
      </c>
      <c r="D71" s="60" t="s">
        <v>199</v>
      </c>
      <c r="E71" s="55"/>
      <c r="F71" s="79" t="s">
        <v>432</v>
      </c>
      <c r="G71" s="55" t="s">
        <v>430</v>
      </c>
      <c r="H71" s="376" t="s">
        <v>508</v>
      </c>
      <c r="I71" s="46">
        <v>83246647</v>
      </c>
      <c r="J71" s="73" t="s">
        <v>16</v>
      </c>
      <c r="K71" s="375">
        <v>2.2</v>
      </c>
      <c r="L71" s="45"/>
      <c r="M71" s="81">
        <f>1493-954</f>
        <v>539</v>
      </c>
      <c r="N71" s="81">
        <f>5347-3389</f>
        <v>1958</v>
      </c>
      <c r="O71" s="202">
        <f t="shared" si="0"/>
        <v>2497</v>
      </c>
    </row>
    <row r="72" spans="1:15" ht="43.5">
      <c r="A72" s="275" t="s">
        <v>11</v>
      </c>
      <c r="B72" s="150" t="s">
        <v>429</v>
      </c>
      <c r="C72" s="60" t="s">
        <v>1677</v>
      </c>
      <c r="D72" s="151"/>
      <c r="E72" s="55"/>
      <c r="F72" s="79" t="s">
        <v>432</v>
      </c>
      <c r="G72" s="55" t="s">
        <v>430</v>
      </c>
      <c r="H72" s="376" t="s">
        <v>509</v>
      </c>
      <c r="I72" s="46">
        <v>19944608</v>
      </c>
      <c r="J72" s="157" t="s">
        <v>152</v>
      </c>
      <c r="K72" s="375">
        <v>2</v>
      </c>
      <c r="L72" s="30">
        <f>36077-33410</f>
        <v>2667</v>
      </c>
      <c r="M72" s="282"/>
      <c r="N72" s="283"/>
      <c r="O72" s="202">
        <f>L72</f>
        <v>2667</v>
      </c>
    </row>
    <row r="73" spans="1:15" ht="43.5">
      <c r="A73" s="275" t="s">
        <v>11</v>
      </c>
      <c r="B73" s="150" t="s">
        <v>429</v>
      </c>
      <c r="C73" s="60" t="s">
        <v>1677</v>
      </c>
      <c r="D73" s="151"/>
      <c r="E73" s="55"/>
      <c r="F73" s="79" t="s">
        <v>432</v>
      </c>
      <c r="G73" s="55" t="s">
        <v>430</v>
      </c>
      <c r="H73" s="376" t="s">
        <v>510</v>
      </c>
      <c r="I73" s="46">
        <v>25370111</v>
      </c>
      <c r="J73" s="157" t="s">
        <v>152</v>
      </c>
      <c r="K73" s="375">
        <v>3.2</v>
      </c>
      <c r="L73" s="30">
        <f>28220-22899</f>
        <v>5321</v>
      </c>
      <c r="M73" s="282"/>
      <c r="N73" s="283"/>
      <c r="O73" s="202">
        <f>L73</f>
        <v>5321</v>
      </c>
    </row>
    <row r="74" spans="1:15" ht="18">
      <c r="A74" s="275" t="s">
        <v>11</v>
      </c>
      <c r="B74" s="150" t="s">
        <v>429</v>
      </c>
      <c r="C74" s="60" t="s">
        <v>511</v>
      </c>
      <c r="D74" s="60"/>
      <c r="E74" s="55"/>
      <c r="F74" s="79" t="s">
        <v>432</v>
      </c>
      <c r="G74" s="55" t="s">
        <v>430</v>
      </c>
      <c r="H74" s="376" t="s">
        <v>512</v>
      </c>
      <c r="I74" s="46">
        <v>83247335</v>
      </c>
      <c r="J74" s="73" t="s">
        <v>16</v>
      </c>
      <c r="K74" s="375">
        <v>2</v>
      </c>
      <c r="L74" s="45"/>
      <c r="M74" s="83">
        <f>1247-762</f>
        <v>485</v>
      </c>
      <c r="N74" s="81">
        <f>4423-2632</f>
        <v>1791</v>
      </c>
      <c r="O74" s="202">
        <f t="shared" si="0"/>
        <v>2276</v>
      </c>
    </row>
    <row r="75" spans="1:15" ht="18">
      <c r="A75" s="275" t="s">
        <v>11</v>
      </c>
      <c r="B75" s="150" t="s">
        <v>429</v>
      </c>
      <c r="C75" s="60" t="s">
        <v>448</v>
      </c>
      <c r="D75" s="60" t="s">
        <v>169</v>
      </c>
      <c r="E75" s="55"/>
      <c r="F75" s="79" t="s">
        <v>432</v>
      </c>
      <c r="G75" s="55" t="s">
        <v>430</v>
      </c>
      <c r="H75" s="376" t="s">
        <v>513</v>
      </c>
      <c r="I75" s="46">
        <v>83246700</v>
      </c>
      <c r="J75" s="47" t="s">
        <v>16</v>
      </c>
      <c r="K75" s="375">
        <v>5</v>
      </c>
      <c r="L75" s="45"/>
      <c r="M75" s="83">
        <f>3284-1931</f>
        <v>1353</v>
      </c>
      <c r="N75" s="81">
        <f>12067-7008</f>
        <v>5059</v>
      </c>
      <c r="O75" s="202">
        <f t="shared" si="0"/>
        <v>6412</v>
      </c>
    </row>
    <row r="76" spans="1:15" ht="18">
      <c r="A76" s="275" t="s">
        <v>11</v>
      </c>
      <c r="B76" s="150" t="s">
        <v>429</v>
      </c>
      <c r="C76" s="60" t="s">
        <v>430</v>
      </c>
      <c r="D76" s="60" t="s">
        <v>431</v>
      </c>
      <c r="E76" s="55"/>
      <c r="F76" s="79" t="s">
        <v>432</v>
      </c>
      <c r="G76" s="55" t="s">
        <v>430</v>
      </c>
      <c r="H76" s="376" t="s">
        <v>514</v>
      </c>
      <c r="I76" s="46">
        <v>83246707</v>
      </c>
      <c r="J76" s="4" t="s">
        <v>16</v>
      </c>
      <c r="K76" s="285">
        <v>0.6</v>
      </c>
      <c r="L76" s="45"/>
      <c r="M76" s="81">
        <f>485-298</f>
        <v>187</v>
      </c>
      <c r="N76" s="81">
        <f>1847-1100</f>
        <v>747</v>
      </c>
      <c r="O76" s="202">
        <f t="shared" si="0"/>
        <v>934</v>
      </c>
    </row>
    <row r="77" spans="1:15" ht="18">
      <c r="A77" s="275" t="s">
        <v>11</v>
      </c>
      <c r="B77" s="150" t="s">
        <v>429</v>
      </c>
      <c r="C77" s="60" t="s">
        <v>430</v>
      </c>
      <c r="D77" s="60" t="s">
        <v>1753</v>
      </c>
      <c r="E77" s="55"/>
      <c r="F77" s="79" t="s">
        <v>432</v>
      </c>
      <c r="G77" s="55" t="s">
        <v>430</v>
      </c>
      <c r="H77" s="376" t="s">
        <v>515</v>
      </c>
      <c r="I77" s="46">
        <v>83246703</v>
      </c>
      <c r="J77" s="4" t="s">
        <v>16</v>
      </c>
      <c r="K77" s="285">
        <v>2.5</v>
      </c>
      <c r="L77" s="45"/>
      <c r="M77" s="81">
        <f>1542-848</f>
        <v>694</v>
      </c>
      <c r="N77" s="81">
        <f>5555-2901</f>
        <v>2654</v>
      </c>
      <c r="O77" s="202">
        <f t="shared" si="0"/>
        <v>3348</v>
      </c>
    </row>
    <row r="78" spans="1:15" ht="18">
      <c r="A78" s="275" t="s">
        <v>11</v>
      </c>
      <c r="B78" s="150" t="s">
        <v>429</v>
      </c>
      <c r="C78" s="60" t="s">
        <v>476</v>
      </c>
      <c r="D78" s="60" t="s">
        <v>217</v>
      </c>
      <c r="E78" s="55"/>
      <c r="F78" s="79" t="s">
        <v>432</v>
      </c>
      <c r="G78" s="55" t="s">
        <v>430</v>
      </c>
      <c r="H78" s="376" t="s">
        <v>516</v>
      </c>
      <c r="I78" s="46">
        <v>83246633</v>
      </c>
      <c r="J78" s="4" t="s">
        <v>16</v>
      </c>
      <c r="K78" s="285">
        <v>0.2</v>
      </c>
      <c r="L78" s="45"/>
      <c r="M78" s="81">
        <f>365-250</f>
        <v>115</v>
      </c>
      <c r="N78" s="81">
        <f>1234-859</f>
        <v>375</v>
      </c>
      <c r="O78" s="202">
        <f t="shared" si="0"/>
        <v>490</v>
      </c>
    </row>
    <row r="79" spans="1:15" ht="18">
      <c r="A79" s="275" t="s">
        <v>11</v>
      </c>
      <c r="B79" s="150" t="s">
        <v>429</v>
      </c>
      <c r="C79" s="60" t="s">
        <v>476</v>
      </c>
      <c r="D79" s="60" t="s">
        <v>517</v>
      </c>
      <c r="E79" s="55"/>
      <c r="F79" s="79" t="s">
        <v>432</v>
      </c>
      <c r="G79" s="55" t="s">
        <v>430</v>
      </c>
      <c r="H79" s="376" t="s">
        <v>518</v>
      </c>
      <c r="I79" s="46">
        <v>83246697</v>
      </c>
      <c r="J79" s="4" t="s">
        <v>16</v>
      </c>
      <c r="K79" s="285">
        <v>0.5</v>
      </c>
      <c r="L79" s="45"/>
      <c r="M79" s="81">
        <f>854-551</f>
        <v>303</v>
      </c>
      <c r="N79" s="81">
        <f>3368-2094</f>
        <v>1274</v>
      </c>
      <c r="O79" s="202">
        <f t="shared" si="0"/>
        <v>1577</v>
      </c>
    </row>
    <row r="80" spans="1:15" ht="18">
      <c r="A80" s="275" t="s">
        <v>11</v>
      </c>
      <c r="B80" s="150" t="s">
        <v>429</v>
      </c>
      <c r="C80" s="60" t="s">
        <v>430</v>
      </c>
      <c r="D80" s="60" t="s">
        <v>504</v>
      </c>
      <c r="E80" s="55"/>
      <c r="F80" s="79" t="s">
        <v>432</v>
      </c>
      <c r="G80" s="55" t="s">
        <v>430</v>
      </c>
      <c r="H80" s="376" t="s">
        <v>519</v>
      </c>
      <c r="I80" s="46">
        <v>83246553</v>
      </c>
      <c r="J80" s="4" t="s">
        <v>16</v>
      </c>
      <c r="K80" s="285">
        <v>1.3</v>
      </c>
      <c r="L80" s="45"/>
      <c r="M80" s="81">
        <f>3762-2297</f>
        <v>1465</v>
      </c>
      <c r="N80" s="81">
        <f>13200-7965</f>
        <v>5235</v>
      </c>
      <c r="O80" s="202">
        <f>M80+N80</f>
        <v>6700</v>
      </c>
    </row>
    <row r="81" spans="1:15" ht="18">
      <c r="A81" s="275" t="s">
        <v>11</v>
      </c>
      <c r="B81" s="150" t="s">
        <v>429</v>
      </c>
      <c r="C81" s="60" t="s">
        <v>476</v>
      </c>
      <c r="D81" s="60" t="s">
        <v>520</v>
      </c>
      <c r="E81" s="55"/>
      <c r="F81" s="79" t="s">
        <v>432</v>
      </c>
      <c r="G81" s="55" t="s">
        <v>430</v>
      </c>
      <c r="H81" s="376" t="s">
        <v>521</v>
      </c>
      <c r="I81" s="46">
        <v>83246724</v>
      </c>
      <c r="J81" s="4" t="s">
        <v>16</v>
      </c>
      <c r="K81" s="285">
        <v>0.4</v>
      </c>
      <c r="L81" s="45"/>
      <c r="M81" s="81">
        <f>836-528</f>
        <v>308</v>
      </c>
      <c r="N81" s="81">
        <f>2972-1869</f>
        <v>1103</v>
      </c>
      <c r="O81" s="202">
        <f>M81+N81</f>
        <v>1411</v>
      </c>
    </row>
    <row r="82" spans="1:15" ht="18">
      <c r="A82" s="275" t="s">
        <v>11</v>
      </c>
      <c r="B82" s="150" t="s">
        <v>429</v>
      </c>
      <c r="C82" s="60" t="s">
        <v>430</v>
      </c>
      <c r="D82" s="60" t="s">
        <v>209</v>
      </c>
      <c r="E82" s="55" t="s">
        <v>1690</v>
      </c>
      <c r="F82" s="79" t="s">
        <v>432</v>
      </c>
      <c r="G82" s="55" t="s">
        <v>430</v>
      </c>
      <c r="H82" s="376" t="s">
        <v>522</v>
      </c>
      <c r="I82" s="46">
        <v>70959456</v>
      </c>
      <c r="J82" s="73" t="s">
        <v>16</v>
      </c>
      <c r="K82" s="285">
        <v>16</v>
      </c>
      <c r="L82" s="45"/>
      <c r="M82" s="81">
        <f>27428-23095</f>
        <v>4333</v>
      </c>
      <c r="N82" s="81">
        <f>125811-101993</f>
        <v>23818</v>
      </c>
      <c r="O82" s="202">
        <f>M82+N82</f>
        <v>28151</v>
      </c>
    </row>
    <row r="83" spans="1:15" ht="18">
      <c r="A83" s="275" t="s">
        <v>11</v>
      </c>
      <c r="B83" s="150" t="s">
        <v>429</v>
      </c>
      <c r="C83" s="60" t="s">
        <v>430</v>
      </c>
      <c r="D83" s="60" t="s">
        <v>209</v>
      </c>
      <c r="E83" s="55" t="s">
        <v>1691</v>
      </c>
      <c r="F83" s="79" t="s">
        <v>432</v>
      </c>
      <c r="G83" s="55" t="s">
        <v>430</v>
      </c>
      <c r="H83" s="376" t="s">
        <v>523</v>
      </c>
      <c r="I83" s="46">
        <v>70925611</v>
      </c>
      <c r="J83" s="73" t="s">
        <v>16</v>
      </c>
      <c r="K83" s="285">
        <v>20</v>
      </c>
      <c r="L83" s="45"/>
      <c r="M83" s="81">
        <f>68543-58738</f>
        <v>9805</v>
      </c>
      <c r="N83" s="81">
        <f>305772-254301</f>
        <v>51471</v>
      </c>
      <c r="O83" s="202">
        <f>M83+N83</f>
        <v>61276</v>
      </c>
    </row>
    <row r="84" spans="1:15" ht="18">
      <c r="A84" s="275" t="s">
        <v>11</v>
      </c>
      <c r="B84" s="150" t="s">
        <v>429</v>
      </c>
      <c r="C84" s="60" t="s">
        <v>476</v>
      </c>
      <c r="D84" s="60" t="s">
        <v>43</v>
      </c>
      <c r="E84" s="55"/>
      <c r="F84" s="79" t="s">
        <v>432</v>
      </c>
      <c r="G84" s="55" t="s">
        <v>430</v>
      </c>
      <c r="H84" s="376" t="s">
        <v>524</v>
      </c>
      <c r="I84" s="46">
        <v>83294388</v>
      </c>
      <c r="J84" s="268" t="s">
        <v>377</v>
      </c>
      <c r="K84" s="285">
        <v>1</v>
      </c>
      <c r="L84" s="45"/>
      <c r="M84" s="81">
        <f>679-229</f>
        <v>450</v>
      </c>
      <c r="N84" s="81">
        <f>1337-384</f>
        <v>953</v>
      </c>
      <c r="O84" s="202">
        <f>M84+N84</f>
        <v>1403</v>
      </c>
    </row>
    <row r="85" spans="1:15" ht="18">
      <c r="A85" s="275" t="s">
        <v>11</v>
      </c>
      <c r="B85" s="150" t="s">
        <v>429</v>
      </c>
      <c r="C85" s="60" t="s">
        <v>430</v>
      </c>
      <c r="D85" s="60" t="s">
        <v>525</v>
      </c>
      <c r="E85" s="55"/>
      <c r="F85" s="79" t="s">
        <v>432</v>
      </c>
      <c r="G85" s="55" t="s">
        <v>430</v>
      </c>
      <c r="H85" s="376" t="s">
        <v>526</v>
      </c>
      <c r="I85" s="46">
        <v>31338</v>
      </c>
      <c r="J85" s="157" t="s">
        <v>152</v>
      </c>
      <c r="K85" s="285">
        <v>0.3</v>
      </c>
      <c r="L85" s="81">
        <f>11983-9829</f>
        <v>2154</v>
      </c>
      <c r="M85" s="45"/>
      <c r="N85" s="45"/>
      <c r="O85" s="202">
        <f>L85</f>
        <v>2154</v>
      </c>
    </row>
    <row r="86" spans="1:15" ht="18">
      <c r="A86" s="275" t="s">
        <v>11</v>
      </c>
      <c r="B86" s="184" t="s">
        <v>12</v>
      </c>
      <c r="C86" s="197" t="s">
        <v>430</v>
      </c>
      <c r="D86" s="184" t="s">
        <v>1448</v>
      </c>
      <c r="E86" s="198"/>
      <c r="F86" s="186" t="s">
        <v>432</v>
      </c>
      <c r="G86" s="52" t="s">
        <v>430</v>
      </c>
      <c r="H86" s="376" t="s">
        <v>1678</v>
      </c>
      <c r="I86" s="241">
        <v>1402871</v>
      </c>
      <c r="J86" s="270" t="s">
        <v>377</v>
      </c>
      <c r="K86" s="286">
        <v>2</v>
      </c>
      <c r="L86" s="199"/>
      <c r="M86" s="200">
        <f>1613-1134</f>
        <v>479</v>
      </c>
      <c r="N86" s="200">
        <f>3286-2421</f>
        <v>865</v>
      </c>
      <c r="O86" s="202">
        <f>M86+N86</f>
        <v>1344</v>
      </c>
    </row>
    <row r="87" spans="1:15" ht="18">
      <c r="A87" s="275" t="s">
        <v>11</v>
      </c>
      <c r="B87" s="184" t="s">
        <v>12</v>
      </c>
      <c r="C87" s="197" t="s">
        <v>448</v>
      </c>
      <c r="D87" s="184" t="s">
        <v>387</v>
      </c>
      <c r="E87" s="61"/>
      <c r="F87" s="79" t="s">
        <v>432</v>
      </c>
      <c r="G87" s="55" t="s">
        <v>430</v>
      </c>
      <c r="H87" s="376" t="s">
        <v>1687</v>
      </c>
      <c r="I87" s="72">
        <v>118484</v>
      </c>
      <c r="J87" s="4" t="s">
        <v>16</v>
      </c>
      <c r="K87" s="287">
        <v>0.3</v>
      </c>
      <c r="L87" s="201"/>
      <c r="M87" s="202">
        <f>1235-642</f>
        <v>593</v>
      </c>
      <c r="N87" s="202">
        <f>4787-2558</f>
        <v>2229</v>
      </c>
      <c r="O87" s="202">
        <f>M87+N87</f>
        <v>2822</v>
      </c>
    </row>
    <row r="88" spans="1:15" ht="18">
      <c r="A88" s="275" t="s">
        <v>11</v>
      </c>
      <c r="B88" s="184" t="s">
        <v>12</v>
      </c>
      <c r="C88" s="197" t="s">
        <v>470</v>
      </c>
      <c r="D88" s="184"/>
      <c r="E88" s="61"/>
      <c r="F88" s="79" t="s">
        <v>432</v>
      </c>
      <c r="G88" s="55" t="s">
        <v>430</v>
      </c>
      <c r="H88" s="376" t="s">
        <v>1686</v>
      </c>
      <c r="I88" s="72">
        <v>83246725</v>
      </c>
      <c r="J88" s="4" t="s">
        <v>16</v>
      </c>
      <c r="K88" s="287">
        <v>0.5</v>
      </c>
      <c r="L88" s="201"/>
      <c r="M88" s="202">
        <f>1265-781</f>
        <v>484</v>
      </c>
      <c r="N88" s="202">
        <f>4473-2739</f>
        <v>1734</v>
      </c>
      <c r="O88" s="202">
        <f>M88+N88</f>
        <v>2218</v>
      </c>
    </row>
    <row r="89" spans="1:15" ht="18">
      <c r="A89" s="275" t="s">
        <v>11</v>
      </c>
      <c r="B89" s="184" t="s">
        <v>12</v>
      </c>
      <c r="C89" s="197" t="s">
        <v>454</v>
      </c>
      <c r="D89" s="184" t="s">
        <v>301</v>
      </c>
      <c r="E89" s="61"/>
      <c r="F89" s="79" t="s">
        <v>432</v>
      </c>
      <c r="G89" s="55" t="s">
        <v>430</v>
      </c>
      <c r="H89" s="376" t="s">
        <v>1682</v>
      </c>
      <c r="I89" s="72">
        <v>127306</v>
      </c>
      <c r="J89" s="208" t="s">
        <v>152</v>
      </c>
      <c r="K89" s="287">
        <v>1.2</v>
      </c>
      <c r="L89" s="202">
        <f>11633-9285</f>
        <v>2348</v>
      </c>
      <c r="M89" s="201"/>
      <c r="N89" s="201"/>
      <c r="O89" s="202">
        <f>L89</f>
        <v>2348</v>
      </c>
    </row>
    <row r="90" spans="1:15" ht="29.25">
      <c r="A90" s="275" t="s">
        <v>11</v>
      </c>
      <c r="B90" s="184" t="s">
        <v>12</v>
      </c>
      <c r="C90" s="197" t="s">
        <v>465</v>
      </c>
      <c r="D90" s="184" t="s">
        <v>1759</v>
      </c>
      <c r="E90" s="61"/>
      <c r="F90" s="79" t="s">
        <v>432</v>
      </c>
      <c r="G90" s="55" t="s">
        <v>430</v>
      </c>
      <c r="H90" s="376" t="s">
        <v>1685</v>
      </c>
      <c r="I90" s="72">
        <v>39004</v>
      </c>
      <c r="J90" s="208" t="s">
        <v>152</v>
      </c>
      <c r="K90" s="287">
        <v>2</v>
      </c>
      <c r="L90" s="202">
        <f>16795-14523</f>
        <v>2272</v>
      </c>
      <c r="M90" s="201"/>
      <c r="N90" s="201"/>
      <c r="O90" s="202">
        <f>L90</f>
        <v>2272</v>
      </c>
    </row>
    <row r="91" spans="1:15" ht="18">
      <c r="A91" s="275" t="s">
        <v>11</v>
      </c>
      <c r="B91" s="184" t="s">
        <v>12</v>
      </c>
      <c r="C91" s="197" t="s">
        <v>430</v>
      </c>
      <c r="D91" s="184" t="s">
        <v>365</v>
      </c>
      <c r="E91" s="61"/>
      <c r="F91" s="79" t="s">
        <v>432</v>
      </c>
      <c r="G91" s="55" t="s">
        <v>430</v>
      </c>
      <c r="H91" s="376" t="s">
        <v>1681</v>
      </c>
      <c r="I91" s="72">
        <v>127106</v>
      </c>
      <c r="J91" s="208" t="s">
        <v>152</v>
      </c>
      <c r="K91" s="287">
        <v>0.5</v>
      </c>
      <c r="L91" s="202">
        <f>8553-6545</f>
        <v>2008</v>
      </c>
      <c r="M91" s="201"/>
      <c r="N91" s="201"/>
      <c r="O91" s="202">
        <f>L91</f>
        <v>2008</v>
      </c>
    </row>
    <row r="92" spans="1:15" ht="29.25">
      <c r="A92" s="275" t="s">
        <v>11</v>
      </c>
      <c r="B92" s="184" t="s">
        <v>1077</v>
      </c>
      <c r="C92" s="197" t="s">
        <v>452</v>
      </c>
      <c r="D92" s="184" t="s">
        <v>94</v>
      </c>
      <c r="E92" s="61" t="s">
        <v>1079</v>
      </c>
      <c r="F92" s="79" t="s">
        <v>432</v>
      </c>
      <c r="G92" s="55" t="s">
        <v>430</v>
      </c>
      <c r="H92" s="376" t="s">
        <v>1679</v>
      </c>
      <c r="I92" s="72">
        <v>317344</v>
      </c>
      <c r="J92" s="271" t="s">
        <v>152</v>
      </c>
      <c r="K92" s="287">
        <v>11</v>
      </c>
      <c r="L92" s="202">
        <f>13076-9148</f>
        <v>3928</v>
      </c>
      <c r="M92" s="201"/>
      <c r="N92" s="201"/>
      <c r="O92" s="202">
        <f>L92</f>
        <v>3928</v>
      </c>
    </row>
    <row r="93" spans="1:15" ht="58.5" customHeight="1">
      <c r="A93" s="274" t="s">
        <v>11</v>
      </c>
      <c r="B93" s="185" t="s">
        <v>1306</v>
      </c>
      <c r="C93" s="280" t="s">
        <v>430</v>
      </c>
      <c r="D93" s="184" t="s">
        <v>365</v>
      </c>
      <c r="E93" s="208"/>
      <c r="F93" s="55" t="s">
        <v>432</v>
      </c>
      <c r="G93" s="55" t="s">
        <v>430</v>
      </c>
      <c r="H93" s="376" t="s">
        <v>1749</v>
      </c>
      <c r="I93" s="55">
        <v>1499912</v>
      </c>
      <c r="J93" s="4" t="s">
        <v>16</v>
      </c>
      <c r="K93" s="242">
        <v>1</v>
      </c>
      <c r="L93" s="45"/>
      <c r="M93" s="13">
        <f>3149-2202</f>
        <v>947</v>
      </c>
      <c r="N93" s="13">
        <f>12781-8855</f>
        <v>3926</v>
      </c>
      <c r="O93" s="13">
        <f>M93+N93</f>
        <v>4873</v>
      </c>
    </row>
    <row r="94" spans="1:15" ht="29.25">
      <c r="A94" s="274" t="s">
        <v>11</v>
      </c>
      <c r="B94" s="185" t="s">
        <v>1306</v>
      </c>
      <c r="C94" s="280" t="s">
        <v>430</v>
      </c>
      <c r="D94" s="184" t="s">
        <v>1750</v>
      </c>
      <c r="E94" s="208"/>
      <c r="F94" s="55" t="s">
        <v>432</v>
      </c>
      <c r="G94" s="55" t="s">
        <v>430</v>
      </c>
      <c r="H94" s="376" t="s">
        <v>1751</v>
      </c>
      <c r="I94" s="55">
        <v>1441472</v>
      </c>
      <c r="J94" s="156" t="s">
        <v>152</v>
      </c>
      <c r="K94" s="242">
        <v>3</v>
      </c>
      <c r="L94" s="202">
        <f>18643-11579</f>
        <v>7064</v>
      </c>
      <c r="M94" s="201"/>
      <c r="N94" s="201"/>
      <c r="O94" s="13">
        <f aca="true" t="shared" si="1" ref="O94:O99">L94</f>
        <v>7064</v>
      </c>
    </row>
    <row r="95" spans="1:15" ht="18">
      <c r="A95" s="274" t="s">
        <v>11</v>
      </c>
      <c r="B95" s="185" t="s">
        <v>1306</v>
      </c>
      <c r="C95" s="280" t="s">
        <v>430</v>
      </c>
      <c r="D95" s="184" t="s">
        <v>1697</v>
      </c>
      <c r="E95" s="208"/>
      <c r="F95" s="55" t="s">
        <v>432</v>
      </c>
      <c r="G95" s="55" t="s">
        <v>430</v>
      </c>
      <c r="H95" s="376" t="s">
        <v>1752</v>
      </c>
      <c r="I95" s="55">
        <v>1394960</v>
      </c>
      <c r="J95" s="156" t="s">
        <v>152</v>
      </c>
      <c r="K95" s="242">
        <v>4</v>
      </c>
      <c r="L95" s="202">
        <f>33308-20266</f>
        <v>13042</v>
      </c>
      <c r="M95" s="201"/>
      <c r="N95" s="201"/>
      <c r="O95" s="13">
        <f t="shared" si="1"/>
        <v>13042</v>
      </c>
    </row>
    <row r="96" spans="1:15" ht="18">
      <c r="A96" s="274" t="s">
        <v>11</v>
      </c>
      <c r="B96" s="185" t="s">
        <v>1306</v>
      </c>
      <c r="C96" s="280" t="s">
        <v>1688</v>
      </c>
      <c r="D96" s="184" t="s">
        <v>1753</v>
      </c>
      <c r="E96" s="208"/>
      <c r="F96" s="55" t="s">
        <v>432</v>
      </c>
      <c r="G96" s="55" t="s">
        <v>430</v>
      </c>
      <c r="H96" s="376" t="s">
        <v>1754</v>
      </c>
      <c r="I96" s="55">
        <v>1494762</v>
      </c>
      <c r="J96" s="156" t="s">
        <v>152</v>
      </c>
      <c r="K96" s="242">
        <v>3</v>
      </c>
      <c r="L96" s="202">
        <f>3861-2418</f>
        <v>1443</v>
      </c>
      <c r="M96" s="201"/>
      <c r="N96" s="201"/>
      <c r="O96" s="13">
        <f t="shared" si="1"/>
        <v>1443</v>
      </c>
    </row>
    <row r="97" spans="1:15" ht="18">
      <c r="A97" s="274" t="s">
        <v>11</v>
      </c>
      <c r="B97" s="185" t="s">
        <v>1306</v>
      </c>
      <c r="C97" s="280" t="s">
        <v>434</v>
      </c>
      <c r="D97" s="184"/>
      <c r="E97" s="208"/>
      <c r="F97" s="55" t="s">
        <v>432</v>
      </c>
      <c r="G97" s="55" t="s">
        <v>430</v>
      </c>
      <c r="H97" s="378" t="s">
        <v>1755</v>
      </c>
      <c r="I97" s="55">
        <v>1482711</v>
      </c>
      <c r="J97" s="156" t="s">
        <v>152</v>
      </c>
      <c r="K97" s="242">
        <v>1.1</v>
      </c>
      <c r="L97" s="202">
        <f>9688-6409</f>
        <v>3279</v>
      </c>
      <c r="M97" s="201"/>
      <c r="N97" s="201"/>
      <c r="O97" s="13">
        <f t="shared" si="1"/>
        <v>3279</v>
      </c>
    </row>
    <row r="98" spans="1:15" ht="18">
      <c r="A98" s="274" t="s">
        <v>11</v>
      </c>
      <c r="B98" s="185" t="s">
        <v>1306</v>
      </c>
      <c r="C98" s="280" t="s">
        <v>454</v>
      </c>
      <c r="D98" s="184" t="s">
        <v>1756</v>
      </c>
      <c r="E98" s="208"/>
      <c r="F98" s="55" t="s">
        <v>432</v>
      </c>
      <c r="G98" s="55" t="s">
        <v>430</v>
      </c>
      <c r="H98" s="376" t="s">
        <v>1757</v>
      </c>
      <c r="I98" s="55">
        <v>1440753</v>
      </c>
      <c r="J98" s="156" t="s">
        <v>152</v>
      </c>
      <c r="K98" s="242">
        <v>3</v>
      </c>
      <c r="L98" s="202">
        <f>10437-6487</f>
        <v>3950</v>
      </c>
      <c r="M98" s="201"/>
      <c r="N98" s="201"/>
      <c r="O98" s="13">
        <f t="shared" si="1"/>
        <v>3950</v>
      </c>
    </row>
    <row r="99" spans="1:15" ht="32.25" customHeight="1">
      <c r="A99" s="274" t="s">
        <v>11</v>
      </c>
      <c r="B99" s="185" t="s">
        <v>1306</v>
      </c>
      <c r="C99" s="185" t="s">
        <v>1683</v>
      </c>
      <c r="D99" s="185" t="s">
        <v>1819</v>
      </c>
      <c r="E99" s="209"/>
      <c r="F99" s="52" t="s">
        <v>164</v>
      </c>
      <c r="G99" s="138" t="s">
        <v>163</v>
      </c>
      <c r="H99" s="376" t="s">
        <v>1758</v>
      </c>
      <c r="I99" s="52">
        <v>1503130</v>
      </c>
      <c r="J99" s="191" t="s">
        <v>152</v>
      </c>
      <c r="K99" s="267">
        <v>2</v>
      </c>
      <c r="L99" s="53">
        <f>5128-3591</f>
        <v>1537</v>
      </c>
      <c r="M99" s="54"/>
      <c r="N99" s="54"/>
      <c r="O99" s="53">
        <f t="shared" si="1"/>
        <v>1537</v>
      </c>
    </row>
    <row r="100" spans="1:15" ht="32.25" customHeight="1">
      <c r="A100" s="274" t="s">
        <v>11</v>
      </c>
      <c r="B100" s="462" t="s">
        <v>12</v>
      </c>
      <c r="C100" s="462" t="s">
        <v>430</v>
      </c>
      <c r="D100" s="462" t="s">
        <v>1822</v>
      </c>
      <c r="E100" s="462"/>
      <c r="F100" s="463" t="s">
        <v>432</v>
      </c>
      <c r="G100" s="463" t="s">
        <v>430</v>
      </c>
      <c r="H100" s="376" t="s">
        <v>1991</v>
      </c>
      <c r="I100" s="55">
        <v>1400184</v>
      </c>
      <c r="J100" s="156" t="s">
        <v>152</v>
      </c>
      <c r="K100" s="391">
        <v>3</v>
      </c>
      <c r="L100" s="101">
        <v>4000</v>
      </c>
      <c r="M100" s="45"/>
      <c r="N100" s="45"/>
      <c r="O100" s="13">
        <f>L100</f>
        <v>4000</v>
      </c>
    </row>
    <row r="101" spans="1:15" ht="83.25" customHeight="1">
      <c r="A101" s="274" t="s">
        <v>11</v>
      </c>
      <c r="B101" s="462" t="s">
        <v>12</v>
      </c>
      <c r="C101" s="462" t="s">
        <v>495</v>
      </c>
      <c r="D101" s="462" t="s">
        <v>58</v>
      </c>
      <c r="E101" s="462" t="s">
        <v>1823</v>
      </c>
      <c r="F101" s="463" t="s">
        <v>432</v>
      </c>
      <c r="G101" s="463" t="s">
        <v>430</v>
      </c>
      <c r="H101" s="376" t="s">
        <v>1992</v>
      </c>
      <c r="I101" s="55">
        <v>83425896</v>
      </c>
      <c r="J101" s="156" t="s">
        <v>152</v>
      </c>
      <c r="K101" s="391">
        <v>1</v>
      </c>
      <c r="L101" s="101">
        <v>1200</v>
      </c>
      <c r="M101" s="45"/>
      <c r="N101" s="45"/>
      <c r="O101" s="13">
        <f>L101</f>
        <v>1200</v>
      </c>
    </row>
    <row r="102" spans="1:15" ht="32.25" customHeight="1">
      <c r="A102" s="274" t="s">
        <v>11</v>
      </c>
      <c r="B102" s="462" t="s">
        <v>12</v>
      </c>
      <c r="C102" s="462" t="s">
        <v>452</v>
      </c>
      <c r="D102" s="462" t="s">
        <v>363</v>
      </c>
      <c r="E102" s="462"/>
      <c r="F102" s="463" t="s">
        <v>432</v>
      </c>
      <c r="G102" s="463" t="s">
        <v>430</v>
      </c>
      <c r="H102" s="376" t="s">
        <v>1993</v>
      </c>
      <c r="I102" s="55">
        <v>1433516</v>
      </c>
      <c r="J102" s="156" t="s">
        <v>152</v>
      </c>
      <c r="K102" s="391">
        <v>2</v>
      </c>
      <c r="L102" s="101">
        <v>2700</v>
      </c>
      <c r="M102" s="45"/>
      <c r="N102" s="45"/>
      <c r="O102" s="13">
        <f>L102</f>
        <v>2700</v>
      </c>
    </row>
    <row r="103" spans="1:15" ht="46.5" customHeight="1">
      <c r="A103" s="274" t="s">
        <v>11</v>
      </c>
      <c r="B103" s="462" t="s">
        <v>12</v>
      </c>
      <c r="C103" s="462" t="s">
        <v>430</v>
      </c>
      <c r="D103" s="462" t="s">
        <v>365</v>
      </c>
      <c r="E103" s="462"/>
      <c r="F103" s="463" t="s">
        <v>432</v>
      </c>
      <c r="G103" s="463" t="s">
        <v>430</v>
      </c>
      <c r="H103" s="376" t="s">
        <v>1994</v>
      </c>
      <c r="I103" s="55">
        <v>1394961</v>
      </c>
      <c r="J103" s="4" t="s">
        <v>16</v>
      </c>
      <c r="K103" s="391">
        <v>3</v>
      </c>
      <c r="L103" s="45"/>
      <c r="M103" s="101">
        <v>1500</v>
      </c>
      <c r="N103" s="101">
        <v>3000</v>
      </c>
      <c r="O103" s="13">
        <f>M103+N103</f>
        <v>4500</v>
      </c>
    </row>
    <row r="104" spans="1:15" ht="46.5" customHeight="1" thickBot="1">
      <c r="A104" s="274" t="s">
        <v>11</v>
      </c>
      <c r="B104" s="462" t="s">
        <v>12</v>
      </c>
      <c r="C104" s="462" t="s">
        <v>448</v>
      </c>
      <c r="D104" s="462" t="s">
        <v>1821</v>
      </c>
      <c r="E104" s="462"/>
      <c r="F104" s="463" t="s">
        <v>432</v>
      </c>
      <c r="G104" s="463" t="s">
        <v>430</v>
      </c>
      <c r="H104" s="376" t="s">
        <v>1995</v>
      </c>
      <c r="I104" s="55">
        <v>1404292</v>
      </c>
      <c r="J104" s="156" t="s">
        <v>152</v>
      </c>
      <c r="K104" s="391">
        <v>2</v>
      </c>
      <c r="L104" s="101">
        <v>4000</v>
      </c>
      <c r="M104" s="45"/>
      <c r="N104" s="45"/>
      <c r="O104" s="13">
        <f>L104</f>
        <v>4000</v>
      </c>
    </row>
    <row r="105" spans="2:15" ht="15">
      <c r="B105" s="551" t="s">
        <v>155</v>
      </c>
      <c r="C105" s="295" t="s">
        <v>527</v>
      </c>
      <c r="D105" s="547"/>
      <c r="H105" s="538" t="s">
        <v>2097</v>
      </c>
      <c r="I105" s="34" t="s">
        <v>527</v>
      </c>
      <c r="L105" s="2"/>
      <c r="M105" s="2"/>
      <c r="N105" s="13" t="s">
        <v>156</v>
      </c>
      <c r="O105" s="281">
        <f>SUM(O18:O104)</f>
        <v>562759</v>
      </c>
    </row>
    <row r="106" spans="2:15" ht="15">
      <c r="B106" s="553"/>
      <c r="C106" s="76" t="s">
        <v>528</v>
      </c>
      <c r="D106" s="548"/>
      <c r="H106" s="301"/>
      <c r="I106" s="38" t="s">
        <v>528</v>
      </c>
      <c r="L106" s="2"/>
      <c r="M106" s="2"/>
      <c r="N106" s="2"/>
      <c r="O106" s="2"/>
    </row>
    <row r="107" spans="2:15" ht="15.75" thickBot="1">
      <c r="B107" s="553"/>
      <c r="C107" s="76" t="s">
        <v>529</v>
      </c>
      <c r="D107" s="548"/>
      <c r="H107" s="317"/>
      <c r="I107" s="41" t="s">
        <v>529</v>
      </c>
      <c r="L107" s="2"/>
      <c r="M107" s="2"/>
      <c r="N107" s="2"/>
      <c r="O107" s="2"/>
    </row>
    <row r="108" spans="2:4" ht="15">
      <c r="B108" s="553" t="s">
        <v>1670</v>
      </c>
      <c r="C108" s="554">
        <v>8222146636</v>
      </c>
      <c r="D108" s="548"/>
    </row>
    <row r="109" spans="2:4" ht="15.75" thickBot="1">
      <c r="B109" s="555" t="s">
        <v>1674</v>
      </c>
      <c r="C109" s="77" t="s">
        <v>1692</v>
      </c>
      <c r="D109" s="549"/>
    </row>
    <row r="110" spans="2:13" ht="15.75" thickBot="1">
      <c r="B110" s="278"/>
      <c r="C110" s="68"/>
      <c r="D110" s="68"/>
      <c r="E110" s="84"/>
      <c r="J110" s="461"/>
      <c r="L110" s="58"/>
      <c r="M110" s="2"/>
    </row>
    <row r="111" spans="1:21" ht="48" customHeight="1">
      <c r="A111" s="703" t="s">
        <v>0</v>
      </c>
      <c r="B111" s="697" t="s">
        <v>1</v>
      </c>
      <c r="C111" s="697" t="s">
        <v>2</v>
      </c>
      <c r="D111" s="697" t="s">
        <v>3</v>
      </c>
      <c r="E111" s="697" t="s">
        <v>4</v>
      </c>
      <c r="F111" s="697" t="s">
        <v>5</v>
      </c>
      <c r="G111" s="697" t="s">
        <v>6</v>
      </c>
      <c r="H111" s="697" t="s">
        <v>8</v>
      </c>
      <c r="I111" s="697" t="s">
        <v>753</v>
      </c>
      <c r="J111" s="697" t="s">
        <v>157</v>
      </c>
      <c r="K111" s="754" t="s">
        <v>9</v>
      </c>
      <c r="L111" s="751" t="s">
        <v>1043</v>
      </c>
      <c r="M111" s="751"/>
      <c r="N111" s="751"/>
      <c r="O111" s="751"/>
      <c r="P111" s="751" t="s">
        <v>1044</v>
      </c>
      <c r="Q111" s="751"/>
      <c r="R111" s="751"/>
      <c r="S111" s="751"/>
      <c r="T111" s="691" t="s">
        <v>1820</v>
      </c>
      <c r="U111" s="694" t="s">
        <v>1305</v>
      </c>
    </row>
    <row r="112" spans="1:21" ht="48" customHeight="1">
      <c r="A112" s="704"/>
      <c r="B112" s="698"/>
      <c r="C112" s="698"/>
      <c r="D112" s="698"/>
      <c r="E112" s="698"/>
      <c r="F112" s="698"/>
      <c r="G112" s="698"/>
      <c r="H112" s="698"/>
      <c r="I112" s="698"/>
      <c r="J112" s="698"/>
      <c r="K112" s="755"/>
      <c r="L112" s="738" t="s">
        <v>1041</v>
      </c>
      <c r="M112" s="738" t="s">
        <v>1035</v>
      </c>
      <c r="N112" s="738" t="s">
        <v>1036</v>
      </c>
      <c r="O112" s="738" t="s">
        <v>1045</v>
      </c>
      <c r="P112" s="738" t="s">
        <v>1041</v>
      </c>
      <c r="Q112" s="738" t="s">
        <v>1035</v>
      </c>
      <c r="R112" s="738" t="s">
        <v>1036</v>
      </c>
      <c r="S112" s="738" t="s">
        <v>1045</v>
      </c>
      <c r="T112" s="692"/>
      <c r="U112" s="695"/>
    </row>
    <row r="113" spans="1:21" ht="14.25">
      <c r="A113" s="704"/>
      <c r="B113" s="698"/>
      <c r="C113" s="698"/>
      <c r="D113" s="698"/>
      <c r="E113" s="698"/>
      <c r="F113" s="698"/>
      <c r="G113" s="698"/>
      <c r="H113" s="698"/>
      <c r="I113" s="698"/>
      <c r="J113" s="698"/>
      <c r="K113" s="755"/>
      <c r="L113" s="738"/>
      <c r="M113" s="738"/>
      <c r="N113" s="738"/>
      <c r="O113" s="738"/>
      <c r="P113" s="738"/>
      <c r="Q113" s="738"/>
      <c r="R113" s="738"/>
      <c r="S113" s="738"/>
      <c r="T113" s="752"/>
      <c r="U113" s="753"/>
    </row>
    <row r="114" spans="1:21" ht="46.5" customHeight="1">
      <c r="A114" s="275" t="s">
        <v>754</v>
      </c>
      <c r="B114" s="462" t="s">
        <v>527</v>
      </c>
      <c r="C114" s="462" t="s">
        <v>430</v>
      </c>
      <c r="D114" s="462" t="s">
        <v>339</v>
      </c>
      <c r="E114" s="462"/>
      <c r="F114" s="463" t="s">
        <v>432</v>
      </c>
      <c r="G114" s="463" t="s">
        <v>430</v>
      </c>
      <c r="H114" s="376">
        <v>53376246</v>
      </c>
      <c r="I114" s="55">
        <v>83698402</v>
      </c>
      <c r="J114" s="156" t="s">
        <v>16</v>
      </c>
      <c r="K114" s="391">
        <v>1</v>
      </c>
      <c r="L114" s="45"/>
      <c r="M114" s="82">
        <v>500</v>
      </c>
      <c r="N114" s="82">
        <v>1000</v>
      </c>
      <c r="O114" s="202">
        <f>M114+N114</f>
        <v>1500</v>
      </c>
      <c r="P114" s="45"/>
      <c r="Q114" s="82">
        <f aca="true" t="shared" si="2" ref="Q114:R116">M114</f>
        <v>500</v>
      </c>
      <c r="R114" s="82">
        <f t="shared" si="2"/>
        <v>1000</v>
      </c>
      <c r="S114" s="202">
        <f>Q114+R114</f>
        <v>1500</v>
      </c>
      <c r="T114" s="138" t="s">
        <v>1930</v>
      </c>
      <c r="U114" s="52" t="s">
        <v>1996</v>
      </c>
    </row>
    <row r="115" spans="1:21" ht="46.5" customHeight="1">
      <c r="A115" s="275" t="s">
        <v>754</v>
      </c>
      <c r="B115" s="462" t="s">
        <v>527</v>
      </c>
      <c r="C115" s="462" t="s">
        <v>1997</v>
      </c>
      <c r="D115" s="462"/>
      <c r="E115" s="462"/>
      <c r="F115" s="463" t="s">
        <v>432</v>
      </c>
      <c r="G115" s="463" t="s">
        <v>430</v>
      </c>
      <c r="H115" s="376">
        <v>53377222</v>
      </c>
      <c r="I115" s="55">
        <v>83698348</v>
      </c>
      <c r="J115" s="156" t="s">
        <v>16</v>
      </c>
      <c r="K115" s="391">
        <v>3</v>
      </c>
      <c r="L115" s="45"/>
      <c r="M115" s="82">
        <v>1000</v>
      </c>
      <c r="N115" s="82">
        <v>2000</v>
      </c>
      <c r="O115" s="202">
        <f>M115+N115</f>
        <v>3000</v>
      </c>
      <c r="P115" s="45"/>
      <c r="Q115" s="82">
        <f t="shared" si="2"/>
        <v>1000</v>
      </c>
      <c r="R115" s="82">
        <f t="shared" si="2"/>
        <v>2000</v>
      </c>
      <c r="S115" s="202">
        <f>Q115+R115</f>
        <v>3000</v>
      </c>
      <c r="T115" s="138" t="s">
        <v>1930</v>
      </c>
      <c r="U115" s="52" t="s">
        <v>1996</v>
      </c>
    </row>
    <row r="116" spans="1:21" ht="46.5" customHeight="1" thickBot="1">
      <c r="A116" s="275" t="s">
        <v>754</v>
      </c>
      <c r="B116" s="462" t="s">
        <v>527</v>
      </c>
      <c r="C116" s="462" t="s">
        <v>430</v>
      </c>
      <c r="D116" s="462" t="s">
        <v>320</v>
      </c>
      <c r="E116" s="462"/>
      <c r="F116" s="463" t="s">
        <v>432</v>
      </c>
      <c r="G116" s="463" t="s">
        <v>430</v>
      </c>
      <c r="H116" s="376">
        <v>51006295</v>
      </c>
      <c r="I116" s="55">
        <v>83698296</v>
      </c>
      <c r="J116" s="156" t="s">
        <v>16</v>
      </c>
      <c r="K116" s="391">
        <v>1</v>
      </c>
      <c r="L116" s="45"/>
      <c r="M116" s="82">
        <v>500</v>
      </c>
      <c r="N116" s="82">
        <v>1000</v>
      </c>
      <c r="O116" s="202">
        <f>M116+N116</f>
        <v>1500</v>
      </c>
      <c r="P116" s="45"/>
      <c r="Q116" s="82">
        <f t="shared" si="2"/>
        <v>500</v>
      </c>
      <c r="R116" s="82">
        <f t="shared" si="2"/>
        <v>1000</v>
      </c>
      <c r="S116" s="202">
        <f>Q116+R116</f>
        <v>1500</v>
      </c>
      <c r="T116" s="138" t="s">
        <v>1930</v>
      </c>
      <c r="U116" s="52" t="s">
        <v>1996</v>
      </c>
    </row>
    <row r="117" spans="2:19" ht="15">
      <c r="B117" s="289" t="s">
        <v>155</v>
      </c>
      <c r="C117" s="65" t="s">
        <v>527</v>
      </c>
      <c r="D117" s="34"/>
      <c r="E117" s="84"/>
      <c r="H117" s="538" t="s">
        <v>2097</v>
      </c>
      <c r="I117" s="34" t="s">
        <v>527</v>
      </c>
      <c r="J117" s="461"/>
      <c r="L117" s="58"/>
      <c r="M117" s="2"/>
      <c r="R117" s="13" t="s">
        <v>156</v>
      </c>
      <c r="S117" s="281">
        <f>SUM(S114:S116)</f>
        <v>6000</v>
      </c>
    </row>
    <row r="118" spans="2:13" ht="15">
      <c r="B118" s="36"/>
      <c r="C118" s="68" t="s">
        <v>528</v>
      </c>
      <c r="D118" s="38"/>
      <c r="E118" s="84"/>
      <c r="H118" s="301"/>
      <c r="I118" s="38" t="s">
        <v>528</v>
      </c>
      <c r="J118" s="461"/>
      <c r="L118" s="58"/>
      <c r="M118" s="2"/>
    </row>
    <row r="119" spans="2:13" ht="15.75" thickBot="1">
      <c r="B119" s="36"/>
      <c r="C119" s="68" t="s">
        <v>529</v>
      </c>
      <c r="D119" s="38"/>
      <c r="E119" s="84"/>
      <c r="H119" s="317"/>
      <c r="I119" s="41" t="s">
        <v>529</v>
      </c>
      <c r="J119" s="461"/>
      <c r="L119" s="58"/>
      <c r="M119" s="2"/>
    </row>
    <row r="120" spans="2:13" ht="15.75" thickBot="1">
      <c r="B120" s="39"/>
      <c r="C120" s="71" t="s">
        <v>530</v>
      </c>
      <c r="D120" s="41"/>
      <c r="E120" s="84"/>
      <c r="J120" s="461"/>
      <c r="L120" s="58"/>
      <c r="M120" s="2"/>
    </row>
    <row r="121" spans="2:13" ht="15">
      <c r="B121" s="278"/>
      <c r="C121" s="68"/>
      <c r="D121" s="68"/>
      <c r="E121" s="84"/>
      <c r="J121" s="461"/>
      <c r="L121" s="58"/>
      <c r="M121" s="2"/>
    </row>
    <row r="122" spans="2:13" ht="15">
      <c r="B122" s="278"/>
      <c r="C122" s="68"/>
      <c r="D122" s="68"/>
      <c r="E122" s="84"/>
      <c r="J122" s="461"/>
      <c r="L122" s="58" t="s">
        <v>160</v>
      </c>
      <c r="M122" s="2">
        <f>O105+S117</f>
        <v>568759</v>
      </c>
    </row>
    <row r="123" spans="2:5" ht="15.75" thickBot="1">
      <c r="B123" s="196"/>
      <c r="C123" s="67"/>
      <c r="D123" s="196"/>
      <c r="E123" s="84"/>
    </row>
    <row r="124" spans="6:18" ht="44.25" customHeight="1">
      <c r="F124" s="31"/>
      <c r="G124" s="169"/>
      <c r="H124" s="169"/>
      <c r="J124" s="236"/>
      <c r="K124" s="709" t="s">
        <v>157</v>
      </c>
      <c r="L124" s="706" t="s">
        <v>1034</v>
      </c>
      <c r="M124" s="707"/>
      <c r="N124" s="708"/>
      <c r="O124" s="743" t="s">
        <v>158</v>
      </c>
      <c r="P124" s="2"/>
      <c r="Q124" s="2"/>
      <c r="R124" s="2"/>
    </row>
    <row r="125" spans="6:18" ht="21.75" customHeight="1" thickBot="1">
      <c r="F125" s="31"/>
      <c r="G125" s="233"/>
      <c r="H125" s="233"/>
      <c r="J125" s="234"/>
      <c r="K125" s="710"/>
      <c r="L125" s="128" t="s">
        <v>159</v>
      </c>
      <c r="M125" s="128" t="s">
        <v>1035</v>
      </c>
      <c r="N125" s="128" t="s">
        <v>1036</v>
      </c>
      <c r="O125" s="744"/>
      <c r="P125" s="2"/>
      <c r="Q125" s="2"/>
      <c r="R125" s="2"/>
    </row>
    <row r="126" spans="6:15" ht="14.25">
      <c r="F126" s="31"/>
      <c r="G126" s="31"/>
      <c r="H126" s="31"/>
      <c r="J126" s="154"/>
      <c r="K126" s="159" t="s">
        <v>152</v>
      </c>
      <c r="L126" s="160">
        <f>SUM(L72:L104)</f>
        <v>62913</v>
      </c>
      <c r="M126" s="165"/>
      <c r="N126" s="165"/>
      <c r="O126" s="160">
        <v>17</v>
      </c>
    </row>
    <row r="127" spans="6:15" ht="22.5" customHeight="1">
      <c r="F127" s="31"/>
      <c r="G127" s="147"/>
      <c r="H127" s="147"/>
      <c r="J127" s="154"/>
      <c r="K127" s="341" t="s">
        <v>16</v>
      </c>
      <c r="L127" s="342"/>
      <c r="M127" s="13">
        <f>SUM(M18:M71,M74:M83,M87:M88,M93,M103,M114:M116)</f>
        <v>97228</v>
      </c>
      <c r="N127" s="13">
        <f>SUM(N18:N71,N74:N83,N87:N88,N93,N103,N114:N116)</f>
        <v>405871</v>
      </c>
      <c r="O127" s="13">
        <v>71</v>
      </c>
    </row>
    <row r="128" spans="6:15" ht="22.5" customHeight="1" thickBot="1">
      <c r="F128" s="31"/>
      <c r="G128" s="147"/>
      <c r="H128" s="147"/>
      <c r="I128" s="343"/>
      <c r="J128" s="154"/>
      <c r="K128" s="341" t="s">
        <v>377</v>
      </c>
      <c r="L128" s="131"/>
      <c r="M128" s="14">
        <f>M84+M86</f>
        <v>929</v>
      </c>
      <c r="N128" s="14">
        <f>N84+N86</f>
        <v>1818</v>
      </c>
      <c r="O128" s="14">
        <v>2</v>
      </c>
    </row>
    <row r="129" spans="6:15" ht="15" thickBot="1">
      <c r="F129" s="31"/>
      <c r="G129" s="31"/>
      <c r="H129" s="31"/>
      <c r="J129" s="154"/>
      <c r="K129" s="132" t="s">
        <v>160</v>
      </c>
      <c r="L129" s="133">
        <f>SUM(L126:L128)</f>
        <v>62913</v>
      </c>
      <c r="M129" s="18">
        <f>SUM(M126:M128)</f>
        <v>98157</v>
      </c>
      <c r="N129" s="15">
        <f>SUM(N126:N128)</f>
        <v>407689</v>
      </c>
      <c r="O129" s="324">
        <f>SUM(O126:O128)</f>
        <v>90</v>
      </c>
    </row>
    <row r="130" spans="6:15" ht="18.75" thickBot="1">
      <c r="F130" s="31"/>
      <c r="G130" s="31"/>
      <c r="H130" s="31"/>
      <c r="I130" s="31"/>
      <c r="J130" s="86"/>
      <c r="L130" s="20" t="s">
        <v>161</v>
      </c>
      <c r="M130" s="323">
        <f>SUM(L129:N129)</f>
        <v>568759</v>
      </c>
      <c r="N130" s="2"/>
      <c r="O130" s="2"/>
    </row>
  </sheetData>
  <sheetProtection/>
  <mergeCells count="42">
    <mergeCell ref="L15:O15"/>
    <mergeCell ref="L16:O16"/>
    <mergeCell ref="B3:I3"/>
    <mergeCell ref="B5:I5"/>
    <mergeCell ref="E15:E17"/>
    <mergeCell ref="F15:F17"/>
    <mergeCell ref="G15:G17"/>
    <mergeCell ref="I15:I17"/>
    <mergeCell ref="K15:K17"/>
    <mergeCell ref="B1:K1"/>
    <mergeCell ref="K124:K125"/>
    <mergeCell ref="L124:N124"/>
    <mergeCell ref="O124:O125"/>
    <mergeCell ref="A15:A17"/>
    <mergeCell ref="B15:B17"/>
    <mergeCell ref="C15:C17"/>
    <mergeCell ref="D15:D17"/>
    <mergeCell ref="J15:J17"/>
    <mergeCell ref="H15:H17"/>
    <mergeCell ref="A111:A113"/>
    <mergeCell ref="B111:B113"/>
    <mergeCell ref="C111:C113"/>
    <mergeCell ref="D111:D113"/>
    <mergeCell ref="E111:E113"/>
    <mergeCell ref="F111:F113"/>
    <mergeCell ref="R112:R113"/>
    <mergeCell ref="G111:G113"/>
    <mergeCell ref="H111:H113"/>
    <mergeCell ref="I111:I113"/>
    <mergeCell ref="J111:J113"/>
    <mergeCell ref="K111:K113"/>
    <mergeCell ref="L111:O111"/>
    <mergeCell ref="S112:S113"/>
    <mergeCell ref="P111:S111"/>
    <mergeCell ref="T111:T113"/>
    <mergeCell ref="U111:U113"/>
    <mergeCell ref="L112:L113"/>
    <mergeCell ref="M112:M113"/>
    <mergeCell ref="N112:N113"/>
    <mergeCell ref="O112:O113"/>
    <mergeCell ref="P112:P113"/>
    <mergeCell ref="Q112:Q113"/>
  </mergeCells>
  <printOptions/>
  <pageMargins left="0.7" right="0.7" top="0.75" bottom="0.75" header="0.3" footer="0.3"/>
  <pageSetup horizontalDpi="600" verticalDpi="600" orientation="portrait" paperSize="9" r:id="rId1"/>
  <ignoredErrors>
    <ignoredError sqref="O93 O85 O103" formula="1"/>
    <ignoredError sqref="N12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6"/>
  <sheetViews>
    <sheetView zoomScale="80" zoomScaleNormal="80" zoomScalePageLayoutView="0" workbookViewId="0" topLeftCell="A98">
      <selection activeCell="P119" sqref="P119"/>
    </sheetView>
  </sheetViews>
  <sheetFormatPr defaultColWidth="8.796875" defaultRowHeight="14.25"/>
  <cols>
    <col min="1" max="1" width="11.5" style="0" customWidth="1"/>
    <col min="2" max="2" width="15.09765625" style="0" customWidth="1"/>
    <col min="3" max="3" width="14.5" style="0" customWidth="1"/>
    <col min="4" max="4" width="11.3984375" style="0" customWidth="1"/>
    <col min="7" max="7" width="18.19921875" style="0" customWidth="1"/>
    <col min="8" max="8" width="25.69921875" style="0" customWidth="1"/>
    <col min="9" max="9" width="17.8984375" style="0" customWidth="1"/>
    <col min="10" max="10" width="12.5" style="0" customWidth="1"/>
    <col min="11" max="11" width="13.59765625" style="0" customWidth="1"/>
    <col min="12" max="12" width="14.3984375" style="0" customWidth="1"/>
    <col min="13" max="13" width="15" style="0" customWidth="1"/>
    <col min="14" max="14" width="18.5" style="0" customWidth="1"/>
    <col min="15" max="15" width="15.8984375" style="0" customWidth="1"/>
    <col min="16" max="16" width="12.59765625" style="0" customWidth="1"/>
    <col min="17" max="17" width="15.19921875" style="0" customWidth="1"/>
    <col min="18" max="18" width="14.59765625" style="0" customWidth="1"/>
    <col min="19" max="19" width="21.5" style="0" customWidth="1"/>
    <col min="20" max="20" width="22.59765625" style="0" customWidth="1"/>
    <col min="21" max="21" width="20.59765625" style="0" customWidth="1"/>
  </cols>
  <sheetData>
    <row r="1" spans="2:10" ht="18">
      <c r="B1" s="726" t="s">
        <v>1736</v>
      </c>
      <c r="C1" s="726"/>
      <c r="D1" s="726"/>
      <c r="E1" s="726"/>
      <c r="F1" s="726"/>
      <c r="G1" s="726"/>
      <c r="H1" s="726"/>
      <c r="I1" s="726"/>
      <c r="J1" s="726"/>
    </row>
    <row r="2" spans="2:10" ht="15">
      <c r="B2" s="220"/>
      <c r="C2" s="220"/>
      <c r="D2" s="220"/>
      <c r="E2" s="220"/>
      <c r="F2" s="220"/>
      <c r="G2" s="220"/>
      <c r="H2" s="222"/>
      <c r="I2" s="220"/>
      <c r="J2" s="220"/>
    </row>
    <row r="3" spans="2:10" ht="26.25" customHeight="1">
      <c r="B3" s="740" t="s">
        <v>1052</v>
      </c>
      <c r="C3" s="741"/>
      <c r="D3" s="741"/>
      <c r="E3" s="741"/>
      <c r="F3" s="741"/>
      <c r="G3" s="741"/>
      <c r="H3" s="741"/>
      <c r="I3" s="742"/>
      <c r="J3" s="220"/>
    </row>
    <row r="4" spans="2:10" ht="15">
      <c r="B4" s="221"/>
      <c r="C4" s="221"/>
      <c r="D4" s="221"/>
      <c r="E4" s="221"/>
      <c r="F4" s="221"/>
      <c r="G4" s="221"/>
      <c r="H4" s="222"/>
      <c r="I4" s="220"/>
      <c r="J4" s="220"/>
    </row>
    <row r="5" spans="2:10" ht="15">
      <c r="B5" s="736" t="s">
        <v>1029</v>
      </c>
      <c r="C5" s="736"/>
      <c r="D5" s="736"/>
      <c r="E5" s="736"/>
      <c r="F5" s="736"/>
      <c r="G5" s="736"/>
      <c r="H5" s="736"/>
      <c r="I5" s="736"/>
      <c r="J5" s="220"/>
    </row>
    <row r="6" spans="2:10" ht="15">
      <c r="B6" s="221"/>
      <c r="C6" s="221"/>
      <c r="D6" s="221"/>
      <c r="E6" s="221"/>
      <c r="F6" s="221"/>
      <c r="G6" s="221"/>
      <c r="H6" s="222"/>
      <c r="I6" s="220"/>
      <c r="J6" s="220"/>
    </row>
    <row r="7" spans="2:10" ht="15.75">
      <c r="B7" s="502" t="s">
        <v>967</v>
      </c>
      <c r="C7" s="220"/>
      <c r="D7" s="221"/>
      <c r="E7" s="221"/>
      <c r="F7" s="221"/>
      <c r="G7" s="220"/>
      <c r="H7" s="222"/>
      <c r="I7" s="220"/>
      <c r="J7" s="220"/>
    </row>
    <row r="8" spans="2:10" ht="15.75">
      <c r="B8" s="502" t="s">
        <v>2098</v>
      </c>
      <c r="C8" s="220"/>
      <c r="D8" s="221"/>
      <c r="E8" s="221"/>
      <c r="F8" s="221"/>
      <c r="G8" s="220"/>
      <c r="H8" s="222"/>
      <c r="I8" s="220"/>
      <c r="J8" s="220"/>
    </row>
    <row r="9" spans="2:10" ht="15.75">
      <c r="B9" s="224" t="s">
        <v>2087</v>
      </c>
      <c r="C9" s="220"/>
      <c r="D9" s="225"/>
      <c r="E9" s="221"/>
      <c r="F9" s="221"/>
      <c r="G9" s="220"/>
      <c r="H9" s="222"/>
      <c r="I9" s="220"/>
      <c r="J9" s="220"/>
    </row>
    <row r="10" spans="2:10" ht="15.75">
      <c r="B10" s="224" t="s">
        <v>1663</v>
      </c>
      <c r="C10" s="220"/>
      <c r="D10" s="225"/>
      <c r="E10" s="221"/>
      <c r="F10" s="221"/>
      <c r="G10" s="220"/>
      <c r="H10" s="222"/>
      <c r="I10" s="220"/>
      <c r="J10" s="220"/>
    </row>
    <row r="11" spans="2:10" ht="15">
      <c r="B11" s="220" t="s">
        <v>1046</v>
      </c>
      <c r="C11" s="220"/>
      <c r="D11" s="220"/>
      <c r="E11" s="220"/>
      <c r="F11" s="220"/>
      <c r="G11" s="220"/>
      <c r="H11" s="222"/>
      <c r="I11" s="220"/>
      <c r="J11" s="220"/>
    </row>
    <row r="12" spans="2:10" ht="15.75">
      <c r="B12" s="226"/>
      <c r="C12" s="227"/>
      <c r="D12" s="225"/>
      <c r="E12" s="225"/>
      <c r="F12" s="225"/>
      <c r="G12" s="225"/>
      <c r="H12" s="220"/>
      <c r="I12" s="220"/>
      <c r="J12" s="220"/>
    </row>
    <row r="13" spans="2:10" ht="15.75">
      <c r="B13" s="226" t="s">
        <v>1032</v>
      </c>
      <c r="C13" s="223" t="s">
        <v>1033</v>
      </c>
      <c r="D13" s="225"/>
      <c r="E13" s="225"/>
      <c r="F13" s="225"/>
      <c r="G13" s="225"/>
      <c r="H13" s="220"/>
      <c r="I13" s="220"/>
      <c r="J13" s="220"/>
    </row>
    <row r="14" ht="15" thickBot="1"/>
    <row r="15" spans="1:15" ht="45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756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0.5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36.7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ht="31.5" customHeight="1">
      <c r="A18" s="275" t="s">
        <v>11</v>
      </c>
      <c r="B18" s="60" t="s">
        <v>162</v>
      </c>
      <c r="C18" s="487" t="s">
        <v>98</v>
      </c>
      <c r="D18" s="487"/>
      <c r="E18" s="491"/>
      <c r="F18" s="492" t="s">
        <v>531</v>
      </c>
      <c r="G18" s="487" t="s">
        <v>532</v>
      </c>
      <c r="H18" s="376" t="s">
        <v>533</v>
      </c>
      <c r="I18" s="487">
        <v>91423903</v>
      </c>
      <c r="J18" s="435" t="s">
        <v>154</v>
      </c>
      <c r="K18" s="391">
        <v>1.8</v>
      </c>
      <c r="L18" s="30">
        <v>7000</v>
      </c>
      <c r="M18" s="45"/>
      <c r="N18" s="45"/>
      <c r="O18" s="85">
        <f>L18</f>
        <v>7000</v>
      </c>
    </row>
    <row r="19" spans="1:15" ht="29.25">
      <c r="A19" s="275" t="s">
        <v>11</v>
      </c>
      <c r="B19" s="60" t="s">
        <v>162</v>
      </c>
      <c r="C19" s="487" t="s">
        <v>534</v>
      </c>
      <c r="D19" s="487"/>
      <c r="E19" s="487"/>
      <c r="F19" s="492" t="s">
        <v>531</v>
      </c>
      <c r="G19" s="487" t="s">
        <v>532</v>
      </c>
      <c r="H19" s="376" t="s">
        <v>535</v>
      </c>
      <c r="I19" s="487">
        <v>83426448</v>
      </c>
      <c r="J19" s="435" t="s">
        <v>154</v>
      </c>
      <c r="K19" s="391">
        <v>1.1</v>
      </c>
      <c r="L19" s="30">
        <f>7211-4041</f>
        <v>3170</v>
      </c>
      <c r="M19" s="45"/>
      <c r="N19" s="45"/>
      <c r="O19" s="85">
        <f>L19</f>
        <v>3170</v>
      </c>
    </row>
    <row r="20" spans="1:15" ht="29.25">
      <c r="A20" s="275" t="s">
        <v>11</v>
      </c>
      <c r="B20" s="60" t="s">
        <v>162</v>
      </c>
      <c r="C20" s="487" t="s">
        <v>536</v>
      </c>
      <c r="D20" s="487"/>
      <c r="E20" s="487"/>
      <c r="F20" s="492" t="s">
        <v>531</v>
      </c>
      <c r="G20" s="487" t="s">
        <v>532</v>
      </c>
      <c r="H20" s="376" t="s">
        <v>537</v>
      </c>
      <c r="I20" s="487">
        <v>83426421</v>
      </c>
      <c r="J20" s="435" t="s">
        <v>154</v>
      </c>
      <c r="K20" s="391">
        <v>1.4</v>
      </c>
      <c r="L20" s="30">
        <f>14282-7029</f>
        <v>7253</v>
      </c>
      <c r="M20" s="45"/>
      <c r="N20" s="45"/>
      <c r="O20" s="85">
        <f>L20</f>
        <v>7253</v>
      </c>
    </row>
    <row r="21" spans="1:15" ht="29.25">
      <c r="A21" s="275" t="s">
        <v>11</v>
      </c>
      <c r="B21" s="60" t="s">
        <v>162</v>
      </c>
      <c r="C21" s="487" t="s">
        <v>538</v>
      </c>
      <c r="D21" s="493"/>
      <c r="E21" s="487"/>
      <c r="F21" s="492" t="s">
        <v>531</v>
      </c>
      <c r="G21" s="487" t="s">
        <v>532</v>
      </c>
      <c r="H21" s="376" t="s">
        <v>539</v>
      </c>
      <c r="I21" s="487">
        <v>83990765</v>
      </c>
      <c r="J21" s="435" t="s">
        <v>154</v>
      </c>
      <c r="K21" s="391">
        <v>1.5</v>
      </c>
      <c r="L21" s="30">
        <v>7300</v>
      </c>
      <c r="M21" s="45"/>
      <c r="N21" s="45"/>
      <c r="O21" s="85">
        <f>L21</f>
        <v>7300</v>
      </c>
    </row>
    <row r="22" spans="1:15" ht="29.25">
      <c r="A22" s="275" t="s">
        <v>11</v>
      </c>
      <c r="B22" s="60" t="s">
        <v>162</v>
      </c>
      <c r="C22" s="487" t="s">
        <v>540</v>
      </c>
      <c r="D22" s="493"/>
      <c r="E22" s="487"/>
      <c r="F22" s="492" t="s">
        <v>531</v>
      </c>
      <c r="G22" s="487" t="s">
        <v>532</v>
      </c>
      <c r="H22" s="376" t="s">
        <v>541</v>
      </c>
      <c r="I22" s="487">
        <v>83426427</v>
      </c>
      <c r="J22" s="435" t="s">
        <v>154</v>
      </c>
      <c r="K22" s="391">
        <v>1.5</v>
      </c>
      <c r="L22" s="30">
        <f>11026-5590</f>
        <v>5436</v>
      </c>
      <c r="M22" s="45"/>
      <c r="N22" s="45"/>
      <c r="O22" s="85">
        <f>L22</f>
        <v>5436</v>
      </c>
    </row>
    <row r="23" spans="1:15" ht="29.25">
      <c r="A23" s="275" t="s">
        <v>11</v>
      </c>
      <c r="B23" s="60" t="s">
        <v>162</v>
      </c>
      <c r="C23" s="487" t="s">
        <v>542</v>
      </c>
      <c r="D23" s="493"/>
      <c r="E23" s="487"/>
      <c r="F23" s="492" t="s">
        <v>531</v>
      </c>
      <c r="G23" s="487" t="s">
        <v>532</v>
      </c>
      <c r="H23" s="376" t="s">
        <v>543</v>
      </c>
      <c r="I23" s="487">
        <v>83426550</v>
      </c>
      <c r="J23" s="435" t="s">
        <v>154</v>
      </c>
      <c r="K23" s="391">
        <v>0.6</v>
      </c>
      <c r="L23" s="30">
        <f>6815-3139</f>
        <v>3676</v>
      </c>
      <c r="M23" s="45"/>
      <c r="N23" s="45"/>
      <c r="O23" s="85">
        <f aca="true" t="shared" si="0" ref="O23:O86">L23</f>
        <v>3676</v>
      </c>
    </row>
    <row r="24" spans="1:15" ht="29.25">
      <c r="A24" s="275" t="s">
        <v>11</v>
      </c>
      <c r="B24" s="60" t="s">
        <v>162</v>
      </c>
      <c r="C24" s="487" t="s">
        <v>534</v>
      </c>
      <c r="D24" s="493"/>
      <c r="E24" s="487"/>
      <c r="F24" s="492" t="s">
        <v>531</v>
      </c>
      <c r="G24" s="487" t="s">
        <v>532</v>
      </c>
      <c r="H24" s="376" t="s">
        <v>1322</v>
      </c>
      <c r="I24" s="487">
        <v>83426397</v>
      </c>
      <c r="J24" s="435" t="s">
        <v>154</v>
      </c>
      <c r="K24" s="391">
        <v>0.5</v>
      </c>
      <c r="L24" s="30">
        <f>4124-2028</f>
        <v>2096</v>
      </c>
      <c r="M24" s="45"/>
      <c r="N24" s="45"/>
      <c r="O24" s="85">
        <f t="shared" si="0"/>
        <v>2096</v>
      </c>
    </row>
    <row r="25" spans="1:15" ht="29.25">
      <c r="A25" s="275" t="s">
        <v>11</v>
      </c>
      <c r="B25" s="60" t="s">
        <v>162</v>
      </c>
      <c r="C25" s="487" t="s">
        <v>532</v>
      </c>
      <c r="D25" s="493" t="s">
        <v>544</v>
      </c>
      <c r="E25" s="487">
        <v>22</v>
      </c>
      <c r="F25" s="492" t="s">
        <v>531</v>
      </c>
      <c r="G25" s="487" t="s">
        <v>532</v>
      </c>
      <c r="H25" s="376" t="s">
        <v>545</v>
      </c>
      <c r="I25" s="487">
        <v>83426197</v>
      </c>
      <c r="J25" s="435" t="s">
        <v>154</v>
      </c>
      <c r="K25" s="391">
        <v>2.2</v>
      </c>
      <c r="L25" s="30">
        <f>13573-6376</f>
        <v>7197</v>
      </c>
      <c r="M25" s="45"/>
      <c r="N25" s="45"/>
      <c r="O25" s="85">
        <f t="shared" si="0"/>
        <v>7197</v>
      </c>
    </row>
    <row r="26" spans="1:15" ht="29.25">
      <c r="A26" s="275" t="s">
        <v>11</v>
      </c>
      <c r="B26" s="60" t="s">
        <v>162</v>
      </c>
      <c r="C26" s="487" t="s">
        <v>532</v>
      </c>
      <c r="D26" s="493" t="s">
        <v>544</v>
      </c>
      <c r="E26" s="487">
        <v>44</v>
      </c>
      <c r="F26" s="492" t="s">
        <v>531</v>
      </c>
      <c r="G26" s="487" t="s">
        <v>532</v>
      </c>
      <c r="H26" s="376" t="s">
        <v>546</v>
      </c>
      <c r="I26" s="487">
        <v>83426543</v>
      </c>
      <c r="J26" s="435" t="s">
        <v>154</v>
      </c>
      <c r="K26" s="391">
        <v>1.1</v>
      </c>
      <c r="L26" s="30">
        <f>7655-3516</f>
        <v>4139</v>
      </c>
      <c r="M26" s="45"/>
      <c r="N26" s="45"/>
      <c r="O26" s="85">
        <f t="shared" si="0"/>
        <v>4139</v>
      </c>
    </row>
    <row r="27" spans="1:15" ht="29.25">
      <c r="A27" s="275" t="s">
        <v>11</v>
      </c>
      <c r="B27" s="60" t="s">
        <v>162</v>
      </c>
      <c r="C27" s="487" t="s">
        <v>532</v>
      </c>
      <c r="D27" s="493" t="s">
        <v>547</v>
      </c>
      <c r="E27" s="487">
        <v>1</v>
      </c>
      <c r="F27" s="492" t="s">
        <v>531</v>
      </c>
      <c r="G27" s="487" t="s">
        <v>532</v>
      </c>
      <c r="H27" s="376" t="s">
        <v>548</v>
      </c>
      <c r="I27" s="668">
        <v>90694310</v>
      </c>
      <c r="J27" s="435" t="s">
        <v>154</v>
      </c>
      <c r="K27" s="391">
        <v>4.5</v>
      </c>
      <c r="L27" s="30">
        <f>15735-1647</f>
        <v>14088</v>
      </c>
      <c r="M27" s="45"/>
      <c r="N27" s="45"/>
      <c r="O27" s="85">
        <f t="shared" si="0"/>
        <v>14088</v>
      </c>
    </row>
    <row r="28" spans="1:15" ht="45.75">
      <c r="A28" s="275" t="s">
        <v>11</v>
      </c>
      <c r="B28" s="60" t="s">
        <v>162</v>
      </c>
      <c r="C28" s="487" t="s">
        <v>532</v>
      </c>
      <c r="D28" s="493" t="s">
        <v>1693</v>
      </c>
      <c r="E28" s="487">
        <v>6</v>
      </c>
      <c r="F28" s="492" t="s">
        <v>531</v>
      </c>
      <c r="G28" s="487" t="s">
        <v>532</v>
      </c>
      <c r="H28" s="376" t="s">
        <v>549</v>
      </c>
      <c r="I28" s="487">
        <v>70959092</v>
      </c>
      <c r="J28" s="435" t="s">
        <v>154</v>
      </c>
      <c r="K28" s="391">
        <v>3</v>
      </c>
      <c r="L28" s="30">
        <f>33460-18753</f>
        <v>14707</v>
      </c>
      <c r="M28" s="45"/>
      <c r="N28" s="45"/>
      <c r="O28" s="85">
        <f t="shared" si="0"/>
        <v>14707</v>
      </c>
    </row>
    <row r="29" spans="1:15" ht="29.25">
      <c r="A29" s="275" t="s">
        <v>11</v>
      </c>
      <c r="B29" s="60" t="s">
        <v>162</v>
      </c>
      <c r="C29" s="487" t="s">
        <v>532</v>
      </c>
      <c r="D29" s="493" t="s">
        <v>550</v>
      </c>
      <c r="E29" s="487">
        <v>41</v>
      </c>
      <c r="F29" s="492" t="s">
        <v>531</v>
      </c>
      <c r="G29" s="487" t="s">
        <v>532</v>
      </c>
      <c r="H29" s="376" t="s">
        <v>551</v>
      </c>
      <c r="I29" s="487">
        <v>83426011</v>
      </c>
      <c r="J29" s="435" t="s">
        <v>154</v>
      </c>
      <c r="K29" s="391">
        <v>0.4</v>
      </c>
      <c r="L29" s="30">
        <f>7042-3487</f>
        <v>3555</v>
      </c>
      <c r="M29" s="45"/>
      <c r="N29" s="45"/>
      <c r="O29" s="85">
        <f t="shared" si="0"/>
        <v>3555</v>
      </c>
    </row>
    <row r="30" spans="1:15" ht="29.25">
      <c r="A30" s="275" t="s">
        <v>11</v>
      </c>
      <c r="B30" s="60" t="s">
        <v>162</v>
      </c>
      <c r="C30" s="487" t="s">
        <v>532</v>
      </c>
      <c r="D30" s="493" t="s">
        <v>550</v>
      </c>
      <c r="E30" s="487">
        <v>74</v>
      </c>
      <c r="F30" s="492" t="s">
        <v>531</v>
      </c>
      <c r="G30" s="487" t="s">
        <v>532</v>
      </c>
      <c r="H30" s="376" t="s">
        <v>552</v>
      </c>
      <c r="I30" s="668">
        <v>90342537</v>
      </c>
      <c r="J30" s="435" t="s">
        <v>154</v>
      </c>
      <c r="K30" s="391">
        <v>2.3</v>
      </c>
      <c r="L30" s="30">
        <f>9202-4971</f>
        <v>4231</v>
      </c>
      <c r="M30" s="45"/>
      <c r="N30" s="45"/>
      <c r="O30" s="85">
        <f t="shared" si="0"/>
        <v>4231</v>
      </c>
    </row>
    <row r="31" spans="1:15" ht="29.25">
      <c r="A31" s="275" t="s">
        <v>11</v>
      </c>
      <c r="B31" s="60" t="s">
        <v>162</v>
      </c>
      <c r="C31" s="487" t="s">
        <v>532</v>
      </c>
      <c r="D31" s="493" t="s">
        <v>553</v>
      </c>
      <c r="E31" s="487"/>
      <c r="F31" s="492" t="s">
        <v>531</v>
      </c>
      <c r="G31" s="487" t="s">
        <v>532</v>
      </c>
      <c r="H31" s="376" t="s">
        <v>554</v>
      </c>
      <c r="I31" s="487">
        <v>83426587</v>
      </c>
      <c r="J31" s="435" t="s">
        <v>154</v>
      </c>
      <c r="K31" s="391">
        <v>1</v>
      </c>
      <c r="L31" s="30">
        <f>6325-3211</f>
        <v>3114</v>
      </c>
      <c r="M31" s="45"/>
      <c r="N31" s="45"/>
      <c r="O31" s="85">
        <f t="shared" si="0"/>
        <v>3114</v>
      </c>
    </row>
    <row r="32" spans="1:15" ht="29.25">
      <c r="A32" s="275" t="s">
        <v>11</v>
      </c>
      <c r="B32" s="60" t="s">
        <v>162</v>
      </c>
      <c r="C32" s="487" t="s">
        <v>532</v>
      </c>
      <c r="D32" s="493" t="s">
        <v>555</v>
      </c>
      <c r="E32" s="487"/>
      <c r="F32" s="492" t="s">
        <v>531</v>
      </c>
      <c r="G32" s="487" t="s">
        <v>532</v>
      </c>
      <c r="H32" s="376" t="s">
        <v>556</v>
      </c>
      <c r="I32" s="487">
        <v>71020542</v>
      </c>
      <c r="J32" s="435" t="s">
        <v>154</v>
      </c>
      <c r="K32" s="391">
        <v>1.6</v>
      </c>
      <c r="L32" s="30">
        <f>19986-11708</f>
        <v>8278</v>
      </c>
      <c r="M32" s="45"/>
      <c r="N32" s="45"/>
      <c r="O32" s="85">
        <f t="shared" si="0"/>
        <v>8278</v>
      </c>
    </row>
    <row r="33" spans="1:15" ht="29.25">
      <c r="A33" s="275" t="s">
        <v>11</v>
      </c>
      <c r="B33" s="60" t="s">
        <v>162</v>
      </c>
      <c r="C33" s="493" t="s">
        <v>1320</v>
      </c>
      <c r="D33" s="493"/>
      <c r="E33" s="487">
        <v>3</v>
      </c>
      <c r="F33" s="492" t="s">
        <v>531</v>
      </c>
      <c r="G33" s="487" t="s">
        <v>532</v>
      </c>
      <c r="H33" s="376" t="s">
        <v>557</v>
      </c>
      <c r="I33" s="487">
        <v>83426588</v>
      </c>
      <c r="J33" s="435" t="s">
        <v>154</v>
      </c>
      <c r="K33" s="391">
        <v>0.6</v>
      </c>
      <c r="L33" s="30">
        <f>2756-1277</f>
        <v>1479</v>
      </c>
      <c r="M33" s="45"/>
      <c r="N33" s="45"/>
      <c r="O33" s="85">
        <f t="shared" si="0"/>
        <v>1479</v>
      </c>
    </row>
    <row r="34" spans="1:15" ht="29.25">
      <c r="A34" s="275" t="s">
        <v>11</v>
      </c>
      <c r="B34" s="60" t="s">
        <v>162</v>
      </c>
      <c r="C34" s="493" t="s">
        <v>1320</v>
      </c>
      <c r="D34" s="493"/>
      <c r="E34" s="487">
        <v>1</v>
      </c>
      <c r="F34" s="492" t="s">
        <v>531</v>
      </c>
      <c r="G34" s="487" t="s">
        <v>532</v>
      </c>
      <c r="H34" s="376" t="s">
        <v>558</v>
      </c>
      <c r="I34" s="487">
        <v>71905193</v>
      </c>
      <c r="J34" s="435" t="s">
        <v>154</v>
      </c>
      <c r="K34" s="391">
        <v>4</v>
      </c>
      <c r="L34" s="30">
        <f>33835-16095</f>
        <v>17740</v>
      </c>
      <c r="M34" s="45"/>
      <c r="N34" s="45"/>
      <c r="O34" s="85">
        <f t="shared" si="0"/>
        <v>17740</v>
      </c>
    </row>
    <row r="35" spans="1:15" ht="29.25">
      <c r="A35" s="275" t="s">
        <v>11</v>
      </c>
      <c r="B35" s="60" t="s">
        <v>162</v>
      </c>
      <c r="C35" s="493" t="s">
        <v>1320</v>
      </c>
      <c r="D35" s="493"/>
      <c r="E35" s="487">
        <v>4</v>
      </c>
      <c r="F35" s="492" t="s">
        <v>531</v>
      </c>
      <c r="G35" s="487" t="s">
        <v>532</v>
      </c>
      <c r="H35" s="376" t="s">
        <v>559</v>
      </c>
      <c r="I35" s="487">
        <v>90694271</v>
      </c>
      <c r="J35" s="435" t="s">
        <v>154</v>
      </c>
      <c r="K35" s="391">
        <v>1.3</v>
      </c>
      <c r="L35" s="30">
        <f>6433-662</f>
        <v>5771</v>
      </c>
      <c r="M35" s="45"/>
      <c r="N35" s="45"/>
      <c r="O35" s="85">
        <f t="shared" si="0"/>
        <v>5771</v>
      </c>
    </row>
    <row r="36" spans="1:15" ht="29.25">
      <c r="A36" s="275" t="s">
        <v>11</v>
      </c>
      <c r="B36" s="60" t="s">
        <v>162</v>
      </c>
      <c r="C36" s="487" t="s">
        <v>560</v>
      </c>
      <c r="D36" s="493"/>
      <c r="E36" s="487">
        <v>23</v>
      </c>
      <c r="F36" s="492" t="s">
        <v>531</v>
      </c>
      <c r="G36" s="487" t="s">
        <v>532</v>
      </c>
      <c r="H36" s="376" t="s">
        <v>561</v>
      </c>
      <c r="I36" s="487">
        <v>83426437</v>
      </c>
      <c r="J36" s="435" t="s">
        <v>154</v>
      </c>
      <c r="K36" s="391">
        <v>2.2</v>
      </c>
      <c r="L36" s="30">
        <f>6007-2873</f>
        <v>3134</v>
      </c>
      <c r="M36" s="45"/>
      <c r="N36" s="45"/>
      <c r="O36" s="85">
        <f t="shared" si="0"/>
        <v>3134</v>
      </c>
    </row>
    <row r="37" spans="1:15" ht="29.25">
      <c r="A37" s="275" t="s">
        <v>11</v>
      </c>
      <c r="B37" s="60" t="s">
        <v>162</v>
      </c>
      <c r="C37" s="487" t="s">
        <v>562</v>
      </c>
      <c r="D37" s="493"/>
      <c r="E37" s="487">
        <v>2</v>
      </c>
      <c r="F37" s="492" t="s">
        <v>531</v>
      </c>
      <c r="G37" s="487" t="s">
        <v>532</v>
      </c>
      <c r="H37" s="376" t="s">
        <v>563</v>
      </c>
      <c r="I37" s="487">
        <v>83426420</v>
      </c>
      <c r="J37" s="435" t="s">
        <v>154</v>
      </c>
      <c r="K37" s="391">
        <v>1</v>
      </c>
      <c r="L37" s="30">
        <f>6247-3283</f>
        <v>2964</v>
      </c>
      <c r="M37" s="45"/>
      <c r="N37" s="45"/>
      <c r="O37" s="85">
        <f t="shared" si="0"/>
        <v>2964</v>
      </c>
    </row>
    <row r="38" spans="1:15" ht="29.25">
      <c r="A38" s="275" t="s">
        <v>11</v>
      </c>
      <c r="B38" s="60" t="s">
        <v>162</v>
      </c>
      <c r="C38" s="487" t="s">
        <v>562</v>
      </c>
      <c r="D38" s="493"/>
      <c r="E38" s="487">
        <v>1</v>
      </c>
      <c r="F38" s="492" t="s">
        <v>531</v>
      </c>
      <c r="G38" s="487" t="s">
        <v>532</v>
      </c>
      <c r="H38" s="376" t="s">
        <v>564</v>
      </c>
      <c r="I38" s="487">
        <v>83426450</v>
      </c>
      <c r="J38" s="435" t="s">
        <v>154</v>
      </c>
      <c r="K38" s="391">
        <v>1.5</v>
      </c>
      <c r="L38" s="30">
        <f>5692-2686</f>
        <v>3006</v>
      </c>
      <c r="M38" s="45"/>
      <c r="N38" s="45"/>
      <c r="O38" s="85">
        <f t="shared" si="0"/>
        <v>3006</v>
      </c>
    </row>
    <row r="39" spans="1:15" ht="29.25">
      <c r="A39" s="275" t="s">
        <v>11</v>
      </c>
      <c r="B39" s="60" t="s">
        <v>162</v>
      </c>
      <c r="C39" s="487" t="s">
        <v>565</v>
      </c>
      <c r="D39" s="493"/>
      <c r="E39" s="487"/>
      <c r="F39" s="492" t="s">
        <v>531</v>
      </c>
      <c r="G39" s="487" t="s">
        <v>532</v>
      </c>
      <c r="H39" s="376" t="s">
        <v>566</v>
      </c>
      <c r="I39" s="487">
        <v>83425875</v>
      </c>
      <c r="J39" s="435" t="s">
        <v>154</v>
      </c>
      <c r="K39" s="391">
        <v>0.7</v>
      </c>
      <c r="L39" s="30">
        <f>9105-4447</f>
        <v>4658</v>
      </c>
      <c r="M39" s="45"/>
      <c r="N39" s="45"/>
      <c r="O39" s="85">
        <f t="shared" si="0"/>
        <v>4658</v>
      </c>
    </row>
    <row r="40" spans="1:15" ht="29.25">
      <c r="A40" s="275" t="s">
        <v>11</v>
      </c>
      <c r="B40" s="60" t="s">
        <v>162</v>
      </c>
      <c r="C40" s="487" t="s">
        <v>567</v>
      </c>
      <c r="D40" s="493"/>
      <c r="E40" s="487"/>
      <c r="F40" s="492" t="s">
        <v>531</v>
      </c>
      <c r="G40" s="487" t="s">
        <v>532</v>
      </c>
      <c r="H40" s="376" t="s">
        <v>568</v>
      </c>
      <c r="I40" s="487">
        <v>71020612</v>
      </c>
      <c r="J40" s="435" t="s">
        <v>154</v>
      </c>
      <c r="K40" s="391">
        <v>1.6</v>
      </c>
      <c r="L40" s="30">
        <f>14785-9472</f>
        <v>5313</v>
      </c>
      <c r="M40" s="45"/>
      <c r="N40" s="45"/>
      <c r="O40" s="85">
        <f t="shared" si="0"/>
        <v>5313</v>
      </c>
    </row>
    <row r="41" spans="1:15" ht="29.25">
      <c r="A41" s="275" t="s">
        <v>11</v>
      </c>
      <c r="B41" s="60" t="s">
        <v>162</v>
      </c>
      <c r="C41" s="487" t="s">
        <v>569</v>
      </c>
      <c r="D41" s="493"/>
      <c r="E41" s="487"/>
      <c r="F41" s="492" t="s">
        <v>531</v>
      </c>
      <c r="G41" s="487" t="s">
        <v>532</v>
      </c>
      <c r="H41" s="376" t="s">
        <v>570</v>
      </c>
      <c r="I41" s="487">
        <v>83426436</v>
      </c>
      <c r="J41" s="435" t="s">
        <v>154</v>
      </c>
      <c r="K41" s="391">
        <v>0.5</v>
      </c>
      <c r="L41" s="30">
        <f>3426-1647</f>
        <v>1779</v>
      </c>
      <c r="M41" s="45"/>
      <c r="N41" s="45"/>
      <c r="O41" s="85">
        <f t="shared" si="0"/>
        <v>1779</v>
      </c>
    </row>
    <row r="42" spans="1:15" ht="29.25">
      <c r="A42" s="275" t="s">
        <v>11</v>
      </c>
      <c r="B42" s="60" t="s">
        <v>162</v>
      </c>
      <c r="C42" s="487" t="s">
        <v>569</v>
      </c>
      <c r="D42" s="493"/>
      <c r="E42" s="487"/>
      <c r="F42" s="492" t="s">
        <v>531</v>
      </c>
      <c r="G42" s="487" t="s">
        <v>532</v>
      </c>
      <c r="H42" s="376" t="s">
        <v>571</v>
      </c>
      <c r="I42" s="487">
        <v>83426406</v>
      </c>
      <c r="J42" s="435" t="s">
        <v>154</v>
      </c>
      <c r="K42" s="391">
        <v>0.3</v>
      </c>
      <c r="L42" s="30">
        <f>4840-1914</f>
        <v>2926</v>
      </c>
      <c r="M42" s="45"/>
      <c r="N42" s="45"/>
      <c r="O42" s="85">
        <f t="shared" si="0"/>
        <v>2926</v>
      </c>
    </row>
    <row r="43" spans="1:15" ht="30.75">
      <c r="A43" s="275" t="s">
        <v>11</v>
      </c>
      <c r="B43" s="60" t="s">
        <v>162</v>
      </c>
      <c r="C43" s="493" t="s">
        <v>572</v>
      </c>
      <c r="D43" s="493"/>
      <c r="E43" s="487">
        <v>1</v>
      </c>
      <c r="F43" s="492" t="s">
        <v>531</v>
      </c>
      <c r="G43" s="487" t="s">
        <v>532</v>
      </c>
      <c r="H43" s="376" t="s">
        <v>573</v>
      </c>
      <c r="I43" s="487">
        <v>83426589</v>
      </c>
      <c r="J43" s="435" t="s">
        <v>154</v>
      </c>
      <c r="K43" s="391">
        <v>0.6</v>
      </c>
      <c r="L43" s="30">
        <f>6342-2684</f>
        <v>3658</v>
      </c>
      <c r="M43" s="45"/>
      <c r="N43" s="45"/>
      <c r="O43" s="85">
        <f t="shared" si="0"/>
        <v>3658</v>
      </c>
    </row>
    <row r="44" spans="1:15" ht="29.25">
      <c r="A44" s="275" t="s">
        <v>11</v>
      </c>
      <c r="B44" s="60" t="s">
        <v>162</v>
      </c>
      <c r="C44" s="487" t="s">
        <v>574</v>
      </c>
      <c r="D44" s="493"/>
      <c r="E44" s="487"/>
      <c r="F44" s="492" t="s">
        <v>531</v>
      </c>
      <c r="G44" s="487" t="s">
        <v>532</v>
      </c>
      <c r="H44" s="376" t="s">
        <v>575</v>
      </c>
      <c r="I44" s="487">
        <v>83426538</v>
      </c>
      <c r="J44" s="435" t="s">
        <v>154</v>
      </c>
      <c r="K44" s="391">
        <v>0.7</v>
      </c>
      <c r="L44" s="30">
        <f>5690-2816</f>
        <v>2874</v>
      </c>
      <c r="M44" s="45"/>
      <c r="N44" s="45"/>
      <c r="O44" s="85">
        <f t="shared" si="0"/>
        <v>2874</v>
      </c>
    </row>
    <row r="45" spans="1:15" ht="29.25">
      <c r="A45" s="275" t="s">
        <v>11</v>
      </c>
      <c r="B45" s="60" t="s">
        <v>162</v>
      </c>
      <c r="C45" s="487" t="s">
        <v>576</v>
      </c>
      <c r="D45" s="493"/>
      <c r="E45" s="487"/>
      <c r="F45" s="492" t="s">
        <v>531</v>
      </c>
      <c r="G45" s="487" t="s">
        <v>532</v>
      </c>
      <c r="H45" s="376" t="s">
        <v>577</v>
      </c>
      <c r="I45" s="668">
        <v>90182721</v>
      </c>
      <c r="J45" s="435" t="s">
        <v>154</v>
      </c>
      <c r="K45" s="391">
        <v>4.2</v>
      </c>
      <c r="L45" s="30">
        <f>35229-20536</f>
        <v>14693</v>
      </c>
      <c r="M45" s="45"/>
      <c r="N45" s="45"/>
      <c r="O45" s="85">
        <f t="shared" si="0"/>
        <v>14693</v>
      </c>
    </row>
    <row r="46" spans="1:15" ht="29.25">
      <c r="A46" s="275" t="s">
        <v>11</v>
      </c>
      <c r="B46" s="60" t="s">
        <v>162</v>
      </c>
      <c r="C46" s="487" t="s">
        <v>578</v>
      </c>
      <c r="D46" s="493"/>
      <c r="E46" s="487"/>
      <c r="F46" s="492" t="s">
        <v>531</v>
      </c>
      <c r="G46" s="487" t="s">
        <v>532</v>
      </c>
      <c r="H46" s="376" t="s">
        <v>579</v>
      </c>
      <c r="I46" s="487">
        <v>83426571</v>
      </c>
      <c r="J46" s="435" t="s">
        <v>154</v>
      </c>
      <c r="K46" s="391">
        <v>1</v>
      </c>
      <c r="L46" s="30">
        <f>11474-5325</f>
        <v>6149</v>
      </c>
      <c r="M46" s="45"/>
      <c r="N46" s="45"/>
      <c r="O46" s="85">
        <f t="shared" si="0"/>
        <v>6149</v>
      </c>
    </row>
    <row r="47" spans="1:15" ht="29.25">
      <c r="A47" s="275" t="s">
        <v>11</v>
      </c>
      <c r="B47" s="60" t="s">
        <v>162</v>
      </c>
      <c r="C47" s="487" t="s">
        <v>580</v>
      </c>
      <c r="D47" s="493"/>
      <c r="E47" s="487"/>
      <c r="F47" s="492" t="s">
        <v>531</v>
      </c>
      <c r="G47" s="487" t="s">
        <v>532</v>
      </c>
      <c r="H47" s="376" t="s">
        <v>1321</v>
      </c>
      <c r="I47" s="487">
        <v>83291714</v>
      </c>
      <c r="J47" s="435" t="s">
        <v>154</v>
      </c>
      <c r="K47" s="391">
        <v>0.3</v>
      </c>
      <c r="L47" s="30">
        <f>2339-883</f>
        <v>1456</v>
      </c>
      <c r="M47" s="45"/>
      <c r="N47" s="45"/>
      <c r="O47" s="85">
        <f t="shared" si="0"/>
        <v>1456</v>
      </c>
    </row>
    <row r="48" spans="1:15" ht="29.25">
      <c r="A48" s="275" t="s">
        <v>11</v>
      </c>
      <c r="B48" s="60" t="s">
        <v>162</v>
      </c>
      <c r="C48" s="487" t="s">
        <v>581</v>
      </c>
      <c r="D48" s="493"/>
      <c r="E48" s="487"/>
      <c r="F48" s="492" t="s">
        <v>531</v>
      </c>
      <c r="G48" s="487" t="s">
        <v>532</v>
      </c>
      <c r="H48" s="376" t="s">
        <v>582</v>
      </c>
      <c r="I48" s="487">
        <v>1394972</v>
      </c>
      <c r="J48" s="435" t="s">
        <v>154</v>
      </c>
      <c r="K48" s="391">
        <v>0.3</v>
      </c>
      <c r="L48" s="30">
        <f>1601-1230</f>
        <v>371</v>
      </c>
      <c r="M48" s="45"/>
      <c r="N48" s="45"/>
      <c r="O48" s="85">
        <f t="shared" si="0"/>
        <v>371</v>
      </c>
    </row>
    <row r="49" spans="1:15" ht="29.25">
      <c r="A49" s="275" t="s">
        <v>11</v>
      </c>
      <c r="B49" s="60" t="s">
        <v>162</v>
      </c>
      <c r="C49" s="487" t="s">
        <v>583</v>
      </c>
      <c r="D49" s="493"/>
      <c r="E49" s="487"/>
      <c r="F49" s="492" t="s">
        <v>531</v>
      </c>
      <c r="G49" s="487" t="s">
        <v>532</v>
      </c>
      <c r="H49" s="376" t="s">
        <v>584</v>
      </c>
      <c r="I49" s="487">
        <v>83426062</v>
      </c>
      <c r="J49" s="435" t="s">
        <v>154</v>
      </c>
      <c r="K49" s="391">
        <v>1.3</v>
      </c>
      <c r="L49" s="30">
        <f>11812-5475</f>
        <v>6337</v>
      </c>
      <c r="M49" s="45"/>
      <c r="N49" s="45"/>
      <c r="O49" s="85">
        <f t="shared" si="0"/>
        <v>6337</v>
      </c>
    </row>
    <row r="50" spans="1:15" ht="29.25">
      <c r="A50" s="275" t="s">
        <v>11</v>
      </c>
      <c r="B50" s="60" t="s">
        <v>162</v>
      </c>
      <c r="C50" s="487" t="s">
        <v>585</v>
      </c>
      <c r="D50" s="493"/>
      <c r="E50" s="487"/>
      <c r="F50" s="492" t="s">
        <v>531</v>
      </c>
      <c r="G50" s="487" t="s">
        <v>532</v>
      </c>
      <c r="H50" s="376" t="s">
        <v>586</v>
      </c>
      <c r="I50" s="487">
        <v>83426459</v>
      </c>
      <c r="J50" s="435" t="s">
        <v>154</v>
      </c>
      <c r="K50" s="391">
        <v>2.2</v>
      </c>
      <c r="L50" s="30">
        <f>26907-12672</f>
        <v>14235</v>
      </c>
      <c r="M50" s="45"/>
      <c r="N50" s="45"/>
      <c r="O50" s="85">
        <f t="shared" si="0"/>
        <v>14235</v>
      </c>
    </row>
    <row r="51" spans="1:15" ht="29.25">
      <c r="A51" s="275" t="s">
        <v>11</v>
      </c>
      <c r="B51" s="60" t="s">
        <v>162</v>
      </c>
      <c r="C51" s="487" t="s">
        <v>587</v>
      </c>
      <c r="D51" s="493"/>
      <c r="E51" s="487"/>
      <c r="F51" s="492" t="s">
        <v>531</v>
      </c>
      <c r="G51" s="487" t="s">
        <v>532</v>
      </c>
      <c r="H51" s="376" t="s">
        <v>588</v>
      </c>
      <c r="I51" s="487">
        <v>83426455</v>
      </c>
      <c r="J51" s="435" t="s">
        <v>154</v>
      </c>
      <c r="K51" s="391">
        <v>1.4</v>
      </c>
      <c r="L51" s="30">
        <f>24859-12204</f>
        <v>12655</v>
      </c>
      <c r="M51" s="45"/>
      <c r="N51" s="45"/>
      <c r="O51" s="85">
        <f t="shared" si="0"/>
        <v>12655</v>
      </c>
    </row>
    <row r="52" spans="1:15" ht="29.25">
      <c r="A52" s="275" t="s">
        <v>11</v>
      </c>
      <c r="B52" s="60" t="s">
        <v>162</v>
      </c>
      <c r="C52" s="493" t="s">
        <v>589</v>
      </c>
      <c r="D52" s="493"/>
      <c r="E52" s="487"/>
      <c r="F52" s="492" t="s">
        <v>531</v>
      </c>
      <c r="G52" s="487" t="s">
        <v>532</v>
      </c>
      <c r="H52" s="376" t="s">
        <v>590</v>
      </c>
      <c r="I52" s="487">
        <v>83425902</v>
      </c>
      <c r="J52" s="435" t="s">
        <v>154</v>
      </c>
      <c r="K52" s="391">
        <v>0.4</v>
      </c>
      <c r="L52" s="30">
        <f>8031-3820</f>
        <v>4211</v>
      </c>
      <c r="M52" s="45"/>
      <c r="N52" s="45"/>
      <c r="O52" s="85">
        <f t="shared" si="0"/>
        <v>4211</v>
      </c>
    </row>
    <row r="53" spans="1:15" ht="29.25">
      <c r="A53" s="275" t="s">
        <v>11</v>
      </c>
      <c r="B53" s="60" t="s">
        <v>162</v>
      </c>
      <c r="C53" s="487" t="s">
        <v>591</v>
      </c>
      <c r="D53" s="493"/>
      <c r="E53" s="487">
        <v>2</v>
      </c>
      <c r="F53" s="492" t="s">
        <v>531</v>
      </c>
      <c r="G53" s="487" t="s">
        <v>532</v>
      </c>
      <c r="H53" s="376" t="s">
        <v>592</v>
      </c>
      <c r="I53" s="487">
        <v>70968828</v>
      </c>
      <c r="J53" s="435" t="s">
        <v>154</v>
      </c>
      <c r="K53" s="391">
        <v>1</v>
      </c>
      <c r="L53" s="30">
        <f>9707-6786</f>
        <v>2921</v>
      </c>
      <c r="M53" s="45"/>
      <c r="N53" s="45"/>
      <c r="O53" s="85">
        <f t="shared" si="0"/>
        <v>2921</v>
      </c>
    </row>
    <row r="54" spans="1:15" ht="29.25">
      <c r="A54" s="275" t="s">
        <v>11</v>
      </c>
      <c r="B54" s="60" t="s">
        <v>162</v>
      </c>
      <c r="C54" s="487" t="s">
        <v>591</v>
      </c>
      <c r="D54" s="493"/>
      <c r="E54" s="487">
        <v>1</v>
      </c>
      <c r="F54" s="492" t="s">
        <v>531</v>
      </c>
      <c r="G54" s="487" t="s">
        <v>532</v>
      </c>
      <c r="H54" s="376" t="s">
        <v>593</v>
      </c>
      <c r="I54" s="487">
        <v>70968194</v>
      </c>
      <c r="J54" s="435" t="s">
        <v>154</v>
      </c>
      <c r="K54" s="391">
        <v>1.2</v>
      </c>
      <c r="L54" s="30">
        <f>11109-6559</f>
        <v>4550</v>
      </c>
      <c r="M54" s="45"/>
      <c r="N54" s="45"/>
      <c r="O54" s="85">
        <f t="shared" si="0"/>
        <v>4550</v>
      </c>
    </row>
    <row r="55" spans="1:15" ht="29.25">
      <c r="A55" s="275" t="s">
        <v>11</v>
      </c>
      <c r="B55" s="60" t="s">
        <v>162</v>
      </c>
      <c r="C55" s="487" t="s">
        <v>594</v>
      </c>
      <c r="D55" s="493"/>
      <c r="E55" s="487"/>
      <c r="F55" s="492" t="s">
        <v>531</v>
      </c>
      <c r="G55" s="487" t="s">
        <v>532</v>
      </c>
      <c r="H55" s="376" t="s">
        <v>595</v>
      </c>
      <c r="I55" s="487">
        <v>83426467</v>
      </c>
      <c r="J55" s="435" t="s">
        <v>154</v>
      </c>
      <c r="K55" s="391">
        <v>1</v>
      </c>
      <c r="L55" s="30">
        <f>4535-2178</f>
        <v>2357</v>
      </c>
      <c r="M55" s="45"/>
      <c r="N55" s="45"/>
      <c r="O55" s="85">
        <f t="shared" si="0"/>
        <v>2357</v>
      </c>
    </row>
    <row r="56" spans="1:15" ht="30.75">
      <c r="A56" s="275" t="s">
        <v>11</v>
      </c>
      <c r="B56" s="60" t="s">
        <v>162</v>
      </c>
      <c r="C56" s="493" t="s">
        <v>567</v>
      </c>
      <c r="D56" s="493"/>
      <c r="E56" s="487">
        <v>1</v>
      </c>
      <c r="F56" s="492" t="s">
        <v>531</v>
      </c>
      <c r="G56" s="487" t="s">
        <v>532</v>
      </c>
      <c r="H56" s="376" t="s">
        <v>1324</v>
      </c>
      <c r="I56" s="487">
        <v>90694280</v>
      </c>
      <c r="J56" s="435" t="s">
        <v>154</v>
      </c>
      <c r="K56" s="391">
        <v>2</v>
      </c>
      <c r="L56" s="30">
        <f>7491-1247</f>
        <v>6244</v>
      </c>
      <c r="M56" s="45"/>
      <c r="N56" s="45"/>
      <c r="O56" s="85">
        <f t="shared" si="0"/>
        <v>6244</v>
      </c>
    </row>
    <row r="57" spans="1:15" ht="29.25">
      <c r="A57" s="275" t="s">
        <v>11</v>
      </c>
      <c r="B57" s="60" t="s">
        <v>162</v>
      </c>
      <c r="C57" s="487" t="s">
        <v>596</v>
      </c>
      <c r="D57" s="493"/>
      <c r="E57" s="487">
        <v>2</v>
      </c>
      <c r="F57" s="492" t="s">
        <v>531</v>
      </c>
      <c r="G57" s="487" t="s">
        <v>532</v>
      </c>
      <c r="H57" s="376" t="s">
        <v>597</v>
      </c>
      <c r="I57" s="487">
        <v>83426428</v>
      </c>
      <c r="J57" s="435" t="s">
        <v>154</v>
      </c>
      <c r="K57" s="391">
        <v>0.6</v>
      </c>
      <c r="L57" s="30">
        <f>6643-3119</f>
        <v>3524</v>
      </c>
      <c r="M57" s="45"/>
      <c r="N57" s="45"/>
      <c r="O57" s="85">
        <f t="shared" si="0"/>
        <v>3524</v>
      </c>
    </row>
    <row r="58" spans="1:15" ht="29.25">
      <c r="A58" s="275" t="s">
        <v>11</v>
      </c>
      <c r="B58" s="60" t="s">
        <v>162</v>
      </c>
      <c r="C58" s="487" t="s">
        <v>598</v>
      </c>
      <c r="D58" s="493"/>
      <c r="E58" s="487">
        <v>4</v>
      </c>
      <c r="F58" s="492" t="s">
        <v>531</v>
      </c>
      <c r="G58" s="487" t="s">
        <v>532</v>
      </c>
      <c r="H58" s="376" t="s">
        <v>599</v>
      </c>
      <c r="I58" s="487">
        <v>83425916</v>
      </c>
      <c r="J58" s="435" t="s">
        <v>154</v>
      </c>
      <c r="K58" s="391">
        <v>1</v>
      </c>
      <c r="L58" s="30">
        <f>8047-3640</f>
        <v>4407</v>
      </c>
      <c r="M58" s="45"/>
      <c r="N58" s="45"/>
      <c r="O58" s="85">
        <f t="shared" si="0"/>
        <v>4407</v>
      </c>
    </row>
    <row r="59" spans="1:15" ht="29.25">
      <c r="A59" s="275" t="s">
        <v>11</v>
      </c>
      <c r="B59" s="60" t="s">
        <v>162</v>
      </c>
      <c r="C59" s="487" t="s">
        <v>600</v>
      </c>
      <c r="D59" s="493"/>
      <c r="E59" s="487">
        <v>1</v>
      </c>
      <c r="F59" s="492" t="s">
        <v>531</v>
      </c>
      <c r="G59" s="487" t="s">
        <v>532</v>
      </c>
      <c r="H59" s="376" t="s">
        <v>601</v>
      </c>
      <c r="I59" s="487">
        <v>83426458</v>
      </c>
      <c r="J59" s="435" t="s">
        <v>154</v>
      </c>
      <c r="K59" s="391">
        <v>0.4</v>
      </c>
      <c r="L59" s="30">
        <f>5005-2464</f>
        <v>2541</v>
      </c>
      <c r="M59" s="45"/>
      <c r="N59" s="45"/>
      <c r="O59" s="85">
        <f t="shared" si="0"/>
        <v>2541</v>
      </c>
    </row>
    <row r="60" spans="1:15" ht="29.25">
      <c r="A60" s="275" t="s">
        <v>11</v>
      </c>
      <c r="B60" s="60" t="s">
        <v>162</v>
      </c>
      <c r="C60" s="487" t="s">
        <v>602</v>
      </c>
      <c r="D60" s="493"/>
      <c r="E60" s="487">
        <v>2</v>
      </c>
      <c r="F60" s="492" t="s">
        <v>531</v>
      </c>
      <c r="G60" s="487" t="s">
        <v>532</v>
      </c>
      <c r="H60" s="376" t="s">
        <v>603</v>
      </c>
      <c r="I60" s="487">
        <v>83426457</v>
      </c>
      <c r="J60" s="435" t="s">
        <v>154</v>
      </c>
      <c r="K60" s="391">
        <v>0.7</v>
      </c>
      <c r="L60" s="30">
        <f>6093-3142</f>
        <v>2951</v>
      </c>
      <c r="M60" s="45"/>
      <c r="N60" s="45"/>
      <c r="O60" s="85">
        <f t="shared" si="0"/>
        <v>2951</v>
      </c>
    </row>
    <row r="61" spans="1:15" ht="29.25">
      <c r="A61" s="275" t="s">
        <v>11</v>
      </c>
      <c r="B61" s="60" t="s">
        <v>162</v>
      </c>
      <c r="C61" s="487" t="s">
        <v>604</v>
      </c>
      <c r="D61" s="493"/>
      <c r="E61" s="487"/>
      <c r="F61" s="492" t="s">
        <v>531</v>
      </c>
      <c r="G61" s="487" t="s">
        <v>532</v>
      </c>
      <c r="H61" s="376" t="s">
        <v>605</v>
      </c>
      <c r="I61" s="487">
        <v>83425857</v>
      </c>
      <c r="J61" s="435" t="s">
        <v>154</v>
      </c>
      <c r="K61" s="391">
        <v>0.5</v>
      </c>
      <c r="L61" s="30">
        <f>4995-2366</f>
        <v>2629</v>
      </c>
      <c r="M61" s="45"/>
      <c r="N61" s="45"/>
      <c r="O61" s="85">
        <f t="shared" si="0"/>
        <v>2629</v>
      </c>
    </row>
    <row r="62" spans="1:15" ht="30.75">
      <c r="A62" s="275" t="s">
        <v>11</v>
      </c>
      <c r="B62" s="60" t="s">
        <v>162</v>
      </c>
      <c r="C62" s="493" t="s">
        <v>572</v>
      </c>
      <c r="D62" s="493"/>
      <c r="E62" s="487">
        <v>3</v>
      </c>
      <c r="F62" s="492" t="s">
        <v>531</v>
      </c>
      <c r="G62" s="487" t="s">
        <v>532</v>
      </c>
      <c r="H62" s="376" t="s">
        <v>606</v>
      </c>
      <c r="I62" s="487">
        <v>83426007</v>
      </c>
      <c r="J62" s="435" t="s">
        <v>154</v>
      </c>
      <c r="K62" s="391">
        <v>0.6</v>
      </c>
      <c r="L62" s="30">
        <f>6046-2685</f>
        <v>3361</v>
      </c>
      <c r="M62" s="45"/>
      <c r="N62" s="45"/>
      <c r="O62" s="85">
        <f t="shared" si="0"/>
        <v>3361</v>
      </c>
    </row>
    <row r="63" spans="1:15" ht="30.75">
      <c r="A63" s="275" t="s">
        <v>11</v>
      </c>
      <c r="B63" s="60" t="s">
        <v>162</v>
      </c>
      <c r="C63" s="493" t="s">
        <v>572</v>
      </c>
      <c r="D63" s="493"/>
      <c r="E63" s="487">
        <v>2</v>
      </c>
      <c r="F63" s="492" t="s">
        <v>531</v>
      </c>
      <c r="G63" s="487" t="s">
        <v>532</v>
      </c>
      <c r="H63" s="376" t="s">
        <v>607</v>
      </c>
      <c r="I63" s="487">
        <v>83426303</v>
      </c>
      <c r="J63" s="435" t="s">
        <v>154</v>
      </c>
      <c r="K63" s="391">
        <v>1</v>
      </c>
      <c r="L63" s="30">
        <f>9051-4782</f>
        <v>4269</v>
      </c>
      <c r="M63" s="45"/>
      <c r="N63" s="45"/>
      <c r="O63" s="85">
        <f t="shared" si="0"/>
        <v>4269</v>
      </c>
    </row>
    <row r="64" spans="1:15" ht="29.25">
      <c r="A64" s="275" t="s">
        <v>11</v>
      </c>
      <c r="B64" s="60" t="s">
        <v>162</v>
      </c>
      <c r="C64" s="487" t="s">
        <v>608</v>
      </c>
      <c r="D64" s="493"/>
      <c r="E64" s="487">
        <v>1</v>
      </c>
      <c r="F64" s="492" t="s">
        <v>531</v>
      </c>
      <c r="G64" s="487" t="s">
        <v>532</v>
      </c>
      <c r="H64" s="376" t="s">
        <v>609</v>
      </c>
      <c r="I64" s="487">
        <v>83425909</v>
      </c>
      <c r="J64" s="435" t="s">
        <v>154</v>
      </c>
      <c r="K64" s="391">
        <v>0.7</v>
      </c>
      <c r="L64" s="30">
        <f>1879-1030</f>
        <v>849</v>
      </c>
      <c r="M64" s="45"/>
      <c r="N64" s="45"/>
      <c r="O64" s="85">
        <f t="shared" si="0"/>
        <v>849</v>
      </c>
    </row>
    <row r="65" spans="1:15" ht="29.25">
      <c r="A65" s="275" t="s">
        <v>11</v>
      </c>
      <c r="B65" s="60" t="s">
        <v>162</v>
      </c>
      <c r="C65" s="487" t="s">
        <v>610</v>
      </c>
      <c r="D65" s="493"/>
      <c r="E65" s="487"/>
      <c r="F65" s="492" t="s">
        <v>531</v>
      </c>
      <c r="G65" s="487" t="s">
        <v>532</v>
      </c>
      <c r="H65" s="376" t="s">
        <v>611</v>
      </c>
      <c r="I65" s="487">
        <v>83426591</v>
      </c>
      <c r="J65" s="435" t="s">
        <v>154</v>
      </c>
      <c r="K65" s="391">
        <v>0.1</v>
      </c>
      <c r="L65" s="30">
        <f>11104-5296</f>
        <v>5808</v>
      </c>
      <c r="M65" s="45"/>
      <c r="N65" s="45"/>
      <c r="O65" s="85">
        <f t="shared" si="0"/>
        <v>5808</v>
      </c>
    </row>
    <row r="66" spans="1:15" ht="29.25">
      <c r="A66" s="275" t="s">
        <v>11</v>
      </c>
      <c r="B66" s="60" t="s">
        <v>162</v>
      </c>
      <c r="C66" s="487" t="s">
        <v>612</v>
      </c>
      <c r="D66" s="493"/>
      <c r="E66" s="487"/>
      <c r="F66" s="492" t="s">
        <v>531</v>
      </c>
      <c r="G66" s="487" t="s">
        <v>532</v>
      </c>
      <c r="H66" s="376" t="s">
        <v>613</v>
      </c>
      <c r="I66" s="487">
        <v>83426593</v>
      </c>
      <c r="J66" s="435" t="s">
        <v>154</v>
      </c>
      <c r="K66" s="391">
        <v>0.4</v>
      </c>
      <c r="L66" s="30">
        <f>4180-1965</f>
        <v>2215</v>
      </c>
      <c r="M66" s="45"/>
      <c r="N66" s="45"/>
      <c r="O66" s="85">
        <f t="shared" si="0"/>
        <v>2215</v>
      </c>
    </row>
    <row r="67" spans="1:15" ht="29.25">
      <c r="A67" s="275" t="s">
        <v>11</v>
      </c>
      <c r="B67" s="60" t="s">
        <v>162</v>
      </c>
      <c r="C67" s="487" t="s">
        <v>614</v>
      </c>
      <c r="D67" s="493"/>
      <c r="E67" s="487"/>
      <c r="F67" s="492" t="s">
        <v>531</v>
      </c>
      <c r="G67" s="487" t="s">
        <v>532</v>
      </c>
      <c r="H67" s="376" t="s">
        <v>615</v>
      </c>
      <c r="I67" s="487">
        <v>83426510</v>
      </c>
      <c r="J67" s="435" t="s">
        <v>154</v>
      </c>
      <c r="K67" s="391">
        <v>0.4</v>
      </c>
      <c r="L67" s="30">
        <f>4327-2315</f>
        <v>2012</v>
      </c>
      <c r="M67" s="45"/>
      <c r="N67" s="45"/>
      <c r="O67" s="85">
        <f t="shared" si="0"/>
        <v>2012</v>
      </c>
    </row>
    <row r="68" spans="1:15" ht="29.25">
      <c r="A68" s="275" t="s">
        <v>11</v>
      </c>
      <c r="B68" s="60" t="s">
        <v>162</v>
      </c>
      <c r="C68" s="487" t="s">
        <v>1323</v>
      </c>
      <c r="D68" s="493"/>
      <c r="E68" s="487">
        <v>1</v>
      </c>
      <c r="F68" s="492" t="s">
        <v>531</v>
      </c>
      <c r="G68" s="487" t="s">
        <v>532</v>
      </c>
      <c r="H68" s="376" t="s">
        <v>616</v>
      </c>
      <c r="I68" s="487">
        <v>83425917</v>
      </c>
      <c r="J68" s="435" t="s">
        <v>154</v>
      </c>
      <c r="K68" s="391">
        <v>1.1</v>
      </c>
      <c r="L68" s="30">
        <f>10794-5106</f>
        <v>5688</v>
      </c>
      <c r="M68" s="45"/>
      <c r="N68" s="45"/>
      <c r="O68" s="85">
        <f t="shared" si="0"/>
        <v>5688</v>
      </c>
    </row>
    <row r="69" spans="1:15" ht="29.25">
      <c r="A69" s="275" t="s">
        <v>11</v>
      </c>
      <c r="B69" s="60" t="s">
        <v>162</v>
      </c>
      <c r="C69" s="487" t="s">
        <v>617</v>
      </c>
      <c r="D69" s="493"/>
      <c r="E69" s="487">
        <v>2</v>
      </c>
      <c r="F69" s="492" t="s">
        <v>531</v>
      </c>
      <c r="G69" s="487" t="s">
        <v>532</v>
      </c>
      <c r="H69" s="376" t="s">
        <v>618</v>
      </c>
      <c r="I69" s="487">
        <v>83425894</v>
      </c>
      <c r="J69" s="435" t="s">
        <v>154</v>
      </c>
      <c r="K69" s="391">
        <v>0.6</v>
      </c>
      <c r="L69" s="30">
        <f>5245-2592</f>
        <v>2653</v>
      </c>
      <c r="M69" s="45"/>
      <c r="N69" s="45"/>
      <c r="O69" s="85">
        <f t="shared" si="0"/>
        <v>2653</v>
      </c>
    </row>
    <row r="70" spans="1:15" ht="29.25">
      <c r="A70" s="275" t="s">
        <v>11</v>
      </c>
      <c r="B70" s="60" t="s">
        <v>162</v>
      </c>
      <c r="C70" s="487" t="s">
        <v>619</v>
      </c>
      <c r="D70" s="493"/>
      <c r="E70" s="487">
        <v>1</v>
      </c>
      <c r="F70" s="492" t="s">
        <v>531</v>
      </c>
      <c r="G70" s="487" t="s">
        <v>532</v>
      </c>
      <c r="H70" s="376" t="s">
        <v>620</v>
      </c>
      <c r="I70" s="487">
        <v>83426568</v>
      </c>
      <c r="J70" s="435" t="s">
        <v>154</v>
      </c>
      <c r="K70" s="391">
        <v>1.2</v>
      </c>
      <c r="L70" s="30">
        <f>11816-5793</f>
        <v>6023</v>
      </c>
      <c r="M70" s="45"/>
      <c r="N70" s="45"/>
      <c r="O70" s="85">
        <f t="shared" si="0"/>
        <v>6023</v>
      </c>
    </row>
    <row r="71" spans="1:15" ht="29.25">
      <c r="A71" s="275" t="s">
        <v>11</v>
      </c>
      <c r="B71" s="60" t="s">
        <v>162</v>
      </c>
      <c r="C71" s="487" t="s">
        <v>619</v>
      </c>
      <c r="D71" s="493"/>
      <c r="E71" s="487">
        <v>5</v>
      </c>
      <c r="F71" s="492" t="s">
        <v>531</v>
      </c>
      <c r="G71" s="487" t="s">
        <v>532</v>
      </c>
      <c r="H71" s="376" t="s">
        <v>621</v>
      </c>
      <c r="I71" s="487">
        <v>83426559</v>
      </c>
      <c r="J71" s="435" t="s">
        <v>154</v>
      </c>
      <c r="K71" s="391">
        <v>0.7</v>
      </c>
      <c r="L71" s="30">
        <f>9473-4602</f>
        <v>4871</v>
      </c>
      <c r="M71" s="45"/>
      <c r="N71" s="45"/>
      <c r="O71" s="85">
        <f t="shared" si="0"/>
        <v>4871</v>
      </c>
    </row>
    <row r="72" spans="1:15" ht="29.25">
      <c r="A72" s="275" t="s">
        <v>11</v>
      </c>
      <c r="B72" s="60" t="s">
        <v>162</v>
      </c>
      <c r="C72" s="487" t="s">
        <v>619</v>
      </c>
      <c r="D72" s="493"/>
      <c r="E72" s="487">
        <v>4</v>
      </c>
      <c r="F72" s="492" t="s">
        <v>531</v>
      </c>
      <c r="G72" s="487" t="s">
        <v>532</v>
      </c>
      <c r="H72" s="376" t="s">
        <v>622</v>
      </c>
      <c r="I72" s="487">
        <v>83426566</v>
      </c>
      <c r="J72" s="435" t="s">
        <v>154</v>
      </c>
      <c r="K72" s="391">
        <v>1.6</v>
      </c>
      <c r="L72" s="30">
        <f>9245-4345</f>
        <v>4900</v>
      </c>
      <c r="M72" s="45"/>
      <c r="N72" s="45"/>
      <c r="O72" s="85">
        <f t="shared" si="0"/>
        <v>4900</v>
      </c>
    </row>
    <row r="73" spans="1:15" ht="30.75">
      <c r="A73" s="275" t="s">
        <v>11</v>
      </c>
      <c r="B73" s="60" t="s">
        <v>162</v>
      </c>
      <c r="C73" s="493" t="s">
        <v>623</v>
      </c>
      <c r="D73" s="493"/>
      <c r="E73" s="487"/>
      <c r="F73" s="492" t="s">
        <v>531</v>
      </c>
      <c r="G73" s="487" t="s">
        <v>532</v>
      </c>
      <c r="H73" s="376" t="s">
        <v>624</v>
      </c>
      <c r="I73" s="487">
        <v>83426558</v>
      </c>
      <c r="J73" s="435" t="s">
        <v>154</v>
      </c>
      <c r="K73" s="391">
        <v>2.2</v>
      </c>
      <c r="L73" s="30">
        <f>4318-2095</f>
        <v>2223</v>
      </c>
      <c r="M73" s="45"/>
      <c r="N73" s="45"/>
      <c r="O73" s="85">
        <f t="shared" si="0"/>
        <v>2223</v>
      </c>
    </row>
    <row r="74" spans="1:15" ht="29.25">
      <c r="A74" s="275" t="s">
        <v>11</v>
      </c>
      <c r="B74" s="60" t="s">
        <v>162</v>
      </c>
      <c r="C74" s="487" t="s">
        <v>625</v>
      </c>
      <c r="D74" s="493"/>
      <c r="E74" s="487">
        <v>2</v>
      </c>
      <c r="F74" s="492" t="s">
        <v>531</v>
      </c>
      <c r="G74" s="487" t="s">
        <v>532</v>
      </c>
      <c r="H74" s="376" t="s">
        <v>626</v>
      </c>
      <c r="I74" s="487">
        <v>83426452</v>
      </c>
      <c r="J74" s="435" t="s">
        <v>154</v>
      </c>
      <c r="K74" s="391">
        <v>0.8</v>
      </c>
      <c r="L74" s="30">
        <f>7587-3872</f>
        <v>3715</v>
      </c>
      <c r="M74" s="45"/>
      <c r="N74" s="45"/>
      <c r="O74" s="85">
        <f t="shared" si="0"/>
        <v>3715</v>
      </c>
    </row>
    <row r="75" spans="1:15" ht="29.25">
      <c r="A75" s="275" t="s">
        <v>11</v>
      </c>
      <c r="B75" s="60" t="s">
        <v>162</v>
      </c>
      <c r="C75" s="487" t="s">
        <v>594</v>
      </c>
      <c r="D75" s="493"/>
      <c r="E75" s="487"/>
      <c r="F75" s="492" t="s">
        <v>531</v>
      </c>
      <c r="G75" s="487" t="s">
        <v>532</v>
      </c>
      <c r="H75" s="376" t="s">
        <v>627</v>
      </c>
      <c r="I75" s="487">
        <v>83426012</v>
      </c>
      <c r="J75" s="435" t="s">
        <v>154</v>
      </c>
      <c r="K75" s="391">
        <v>1</v>
      </c>
      <c r="L75" s="30">
        <f>9639-4481</f>
        <v>5158</v>
      </c>
      <c r="M75" s="45"/>
      <c r="N75" s="45"/>
      <c r="O75" s="85">
        <f t="shared" si="0"/>
        <v>5158</v>
      </c>
    </row>
    <row r="76" spans="1:15" ht="29.25">
      <c r="A76" s="275" t="s">
        <v>11</v>
      </c>
      <c r="B76" s="60" t="s">
        <v>162</v>
      </c>
      <c r="C76" s="487" t="s">
        <v>628</v>
      </c>
      <c r="D76" s="493"/>
      <c r="E76" s="487">
        <v>1</v>
      </c>
      <c r="F76" s="492" t="s">
        <v>531</v>
      </c>
      <c r="G76" s="487" t="s">
        <v>532</v>
      </c>
      <c r="H76" s="376" t="s">
        <v>629</v>
      </c>
      <c r="I76" s="487">
        <v>83426466</v>
      </c>
      <c r="J76" s="435" t="s">
        <v>154</v>
      </c>
      <c r="K76" s="391">
        <v>0.7</v>
      </c>
      <c r="L76" s="30">
        <f>6748-3360</f>
        <v>3388</v>
      </c>
      <c r="M76" s="45"/>
      <c r="N76" s="45"/>
      <c r="O76" s="85">
        <f t="shared" si="0"/>
        <v>3388</v>
      </c>
    </row>
    <row r="77" spans="1:15" ht="29.25">
      <c r="A77" s="275" t="s">
        <v>11</v>
      </c>
      <c r="B77" s="60" t="s">
        <v>162</v>
      </c>
      <c r="C77" s="487" t="s">
        <v>596</v>
      </c>
      <c r="D77" s="493"/>
      <c r="E77" s="487">
        <v>3</v>
      </c>
      <c r="F77" s="492" t="s">
        <v>531</v>
      </c>
      <c r="G77" s="487" t="s">
        <v>532</v>
      </c>
      <c r="H77" s="376" t="s">
        <v>630</v>
      </c>
      <c r="I77" s="487">
        <v>83425883</v>
      </c>
      <c r="J77" s="435" t="s">
        <v>154</v>
      </c>
      <c r="K77" s="391">
        <v>1</v>
      </c>
      <c r="L77" s="30">
        <f>6087-3460</f>
        <v>2627</v>
      </c>
      <c r="M77" s="45"/>
      <c r="N77" s="45"/>
      <c r="O77" s="85">
        <f t="shared" si="0"/>
        <v>2627</v>
      </c>
    </row>
    <row r="78" spans="1:15" ht="29.25">
      <c r="A78" s="275" t="s">
        <v>11</v>
      </c>
      <c r="B78" s="60" t="s">
        <v>162</v>
      </c>
      <c r="C78" s="487" t="s">
        <v>608</v>
      </c>
      <c r="D78" s="493"/>
      <c r="E78" s="487">
        <v>2</v>
      </c>
      <c r="F78" s="492" t="s">
        <v>531</v>
      </c>
      <c r="G78" s="487" t="s">
        <v>532</v>
      </c>
      <c r="H78" s="376" t="s">
        <v>631</v>
      </c>
      <c r="I78" s="487">
        <v>83426567</v>
      </c>
      <c r="J78" s="435" t="s">
        <v>154</v>
      </c>
      <c r="K78" s="391">
        <v>0.6</v>
      </c>
      <c r="L78" s="30">
        <f>1617-839</f>
        <v>778</v>
      </c>
      <c r="M78" s="45"/>
      <c r="N78" s="45"/>
      <c r="O78" s="85">
        <f t="shared" si="0"/>
        <v>778</v>
      </c>
    </row>
    <row r="79" spans="1:15" ht="29.25">
      <c r="A79" s="275" t="s">
        <v>11</v>
      </c>
      <c r="B79" s="60" t="s">
        <v>162</v>
      </c>
      <c r="C79" s="487" t="s">
        <v>608</v>
      </c>
      <c r="D79" s="493"/>
      <c r="E79" s="487">
        <v>3</v>
      </c>
      <c r="F79" s="492" t="s">
        <v>531</v>
      </c>
      <c r="G79" s="487" t="s">
        <v>532</v>
      </c>
      <c r="H79" s="376" t="s">
        <v>632</v>
      </c>
      <c r="I79" s="487">
        <v>83425876</v>
      </c>
      <c r="J79" s="435" t="s">
        <v>154</v>
      </c>
      <c r="K79" s="391">
        <v>0.6</v>
      </c>
      <c r="L79" s="30">
        <f>5469-2545</f>
        <v>2924</v>
      </c>
      <c r="M79" s="45"/>
      <c r="N79" s="45"/>
      <c r="O79" s="85">
        <f t="shared" si="0"/>
        <v>2924</v>
      </c>
    </row>
    <row r="80" spans="1:15" ht="29.25">
      <c r="A80" s="275" t="s">
        <v>11</v>
      </c>
      <c r="B80" s="60" t="s">
        <v>162</v>
      </c>
      <c r="C80" s="487" t="s">
        <v>619</v>
      </c>
      <c r="D80" s="493"/>
      <c r="E80" s="487">
        <v>3</v>
      </c>
      <c r="F80" s="492" t="s">
        <v>531</v>
      </c>
      <c r="G80" s="487" t="s">
        <v>532</v>
      </c>
      <c r="H80" s="376" t="s">
        <v>633</v>
      </c>
      <c r="I80" s="487">
        <v>83426410</v>
      </c>
      <c r="J80" s="435" t="s">
        <v>154</v>
      </c>
      <c r="K80" s="391">
        <v>1.2</v>
      </c>
      <c r="L80" s="30">
        <f>1896-894</f>
        <v>1002</v>
      </c>
      <c r="M80" s="45"/>
      <c r="N80" s="45"/>
      <c r="O80" s="85">
        <f t="shared" si="0"/>
        <v>1002</v>
      </c>
    </row>
    <row r="81" spans="1:15" ht="29.25">
      <c r="A81" s="275" t="s">
        <v>11</v>
      </c>
      <c r="B81" s="60" t="s">
        <v>162</v>
      </c>
      <c r="C81" s="487" t="s">
        <v>634</v>
      </c>
      <c r="D81" s="493"/>
      <c r="E81" s="487">
        <v>1</v>
      </c>
      <c r="F81" s="492" t="s">
        <v>531</v>
      </c>
      <c r="G81" s="487" t="s">
        <v>532</v>
      </c>
      <c r="H81" s="376" t="s">
        <v>635</v>
      </c>
      <c r="I81" s="487">
        <v>83426031</v>
      </c>
      <c r="J81" s="435" t="s">
        <v>154</v>
      </c>
      <c r="K81" s="391">
        <v>0.5</v>
      </c>
      <c r="L81" s="30">
        <f>5794-3246</f>
        <v>2548</v>
      </c>
      <c r="M81" s="45"/>
      <c r="N81" s="45"/>
      <c r="O81" s="85">
        <f t="shared" si="0"/>
        <v>2548</v>
      </c>
    </row>
    <row r="82" spans="1:15" ht="29.25">
      <c r="A82" s="275" t="s">
        <v>11</v>
      </c>
      <c r="B82" s="60" t="s">
        <v>162</v>
      </c>
      <c r="C82" s="487" t="s">
        <v>625</v>
      </c>
      <c r="D82" s="493"/>
      <c r="E82" s="487">
        <v>1</v>
      </c>
      <c r="F82" s="492" t="s">
        <v>531</v>
      </c>
      <c r="G82" s="487" t="s">
        <v>532</v>
      </c>
      <c r="H82" s="376" t="s">
        <v>636</v>
      </c>
      <c r="I82" s="487">
        <v>83425901</v>
      </c>
      <c r="J82" s="435" t="s">
        <v>154</v>
      </c>
      <c r="K82" s="391">
        <v>0.6</v>
      </c>
      <c r="L82" s="30">
        <v>3634</v>
      </c>
      <c r="M82" s="45"/>
      <c r="N82" s="45"/>
      <c r="O82" s="85">
        <f t="shared" si="0"/>
        <v>3634</v>
      </c>
    </row>
    <row r="83" spans="1:15" ht="29.25">
      <c r="A83" s="275" t="s">
        <v>11</v>
      </c>
      <c r="B83" s="60" t="s">
        <v>162</v>
      </c>
      <c r="C83" s="487" t="s">
        <v>634</v>
      </c>
      <c r="D83" s="493"/>
      <c r="E83" s="487"/>
      <c r="F83" s="492" t="s">
        <v>531</v>
      </c>
      <c r="G83" s="487" t="s">
        <v>532</v>
      </c>
      <c r="H83" s="376" t="s">
        <v>637</v>
      </c>
      <c r="I83" s="487">
        <v>83426071</v>
      </c>
      <c r="J83" s="436" t="s">
        <v>154</v>
      </c>
      <c r="K83" s="391">
        <v>0.5</v>
      </c>
      <c r="L83" s="30">
        <f>4267-2009</f>
        <v>2258</v>
      </c>
      <c r="M83" s="45"/>
      <c r="N83" s="45"/>
      <c r="O83" s="85">
        <f t="shared" si="0"/>
        <v>2258</v>
      </c>
    </row>
    <row r="84" spans="1:15" ht="29.25">
      <c r="A84" s="275" t="s">
        <v>11</v>
      </c>
      <c r="B84" s="60" t="s">
        <v>162</v>
      </c>
      <c r="C84" s="487" t="s">
        <v>634</v>
      </c>
      <c r="D84" s="493"/>
      <c r="E84" s="487">
        <v>1</v>
      </c>
      <c r="F84" s="492" t="s">
        <v>531</v>
      </c>
      <c r="G84" s="487" t="s">
        <v>532</v>
      </c>
      <c r="H84" s="376" t="s">
        <v>638</v>
      </c>
      <c r="I84" s="668">
        <v>83426606</v>
      </c>
      <c r="J84" s="436" t="s">
        <v>154</v>
      </c>
      <c r="K84" s="391">
        <v>0.6</v>
      </c>
      <c r="L84" s="30">
        <f>3825-1946</f>
        <v>1879</v>
      </c>
      <c r="M84" s="438"/>
      <c r="N84" s="45"/>
      <c r="O84" s="85">
        <f t="shared" si="0"/>
        <v>1879</v>
      </c>
    </row>
    <row r="85" spans="1:15" ht="29.25">
      <c r="A85" s="275" t="s">
        <v>11</v>
      </c>
      <c r="B85" s="60" t="s">
        <v>162</v>
      </c>
      <c r="C85" s="487" t="s">
        <v>619</v>
      </c>
      <c r="D85" s="493"/>
      <c r="E85" s="487">
        <v>2</v>
      </c>
      <c r="F85" s="492" t="s">
        <v>531</v>
      </c>
      <c r="G85" s="487" t="s">
        <v>532</v>
      </c>
      <c r="H85" s="376" t="s">
        <v>639</v>
      </c>
      <c r="I85" s="487">
        <v>83425820</v>
      </c>
      <c r="J85" s="436" t="s">
        <v>154</v>
      </c>
      <c r="K85" s="391">
        <v>0.5</v>
      </c>
      <c r="L85" s="30">
        <f>3054-1436</f>
        <v>1618</v>
      </c>
      <c r="M85" s="45"/>
      <c r="N85" s="45"/>
      <c r="O85" s="85">
        <f t="shared" si="0"/>
        <v>1618</v>
      </c>
    </row>
    <row r="86" spans="1:15" ht="29.25">
      <c r="A86" s="275" t="s">
        <v>11</v>
      </c>
      <c r="B86" s="60" t="s">
        <v>162</v>
      </c>
      <c r="C86" s="487" t="s">
        <v>640</v>
      </c>
      <c r="D86" s="493"/>
      <c r="E86" s="487"/>
      <c r="F86" s="492" t="s">
        <v>531</v>
      </c>
      <c r="G86" s="487" t="s">
        <v>532</v>
      </c>
      <c r="H86" s="376" t="s">
        <v>641</v>
      </c>
      <c r="I86" s="487">
        <v>83426395</v>
      </c>
      <c r="J86" s="436" t="s">
        <v>154</v>
      </c>
      <c r="K86" s="391">
        <v>1</v>
      </c>
      <c r="L86" s="30">
        <f>3422-1870</f>
        <v>1552</v>
      </c>
      <c r="M86" s="45"/>
      <c r="N86" s="45"/>
      <c r="O86" s="85">
        <f t="shared" si="0"/>
        <v>1552</v>
      </c>
    </row>
    <row r="87" spans="1:15" ht="29.25">
      <c r="A87" s="275" t="s">
        <v>11</v>
      </c>
      <c r="B87" s="60" t="s">
        <v>162</v>
      </c>
      <c r="C87" s="487" t="s">
        <v>642</v>
      </c>
      <c r="D87" s="493"/>
      <c r="E87" s="487"/>
      <c r="F87" s="492" t="s">
        <v>531</v>
      </c>
      <c r="G87" s="487" t="s">
        <v>532</v>
      </c>
      <c r="H87" s="376" t="s">
        <v>643</v>
      </c>
      <c r="I87" s="487">
        <v>83426132</v>
      </c>
      <c r="J87" s="435" t="s">
        <v>154</v>
      </c>
      <c r="K87" s="391">
        <v>2.2</v>
      </c>
      <c r="L87" s="13">
        <f>1754-764</f>
        <v>990</v>
      </c>
      <c r="M87" s="45"/>
      <c r="N87" s="45"/>
      <c r="O87" s="85">
        <f aca="true" t="shared" si="1" ref="O87:O96">L87</f>
        <v>990</v>
      </c>
    </row>
    <row r="88" spans="1:15" ht="29.25">
      <c r="A88" s="275" t="s">
        <v>11</v>
      </c>
      <c r="B88" s="60" t="s">
        <v>162</v>
      </c>
      <c r="C88" s="487" t="s">
        <v>580</v>
      </c>
      <c r="D88" s="493"/>
      <c r="E88" s="487"/>
      <c r="F88" s="492" t="s">
        <v>531</v>
      </c>
      <c r="G88" s="487" t="s">
        <v>532</v>
      </c>
      <c r="H88" s="376" t="s">
        <v>644</v>
      </c>
      <c r="I88" s="487">
        <v>83426434</v>
      </c>
      <c r="J88" s="435" t="s">
        <v>154</v>
      </c>
      <c r="K88" s="391">
        <v>2.2</v>
      </c>
      <c r="L88" s="13">
        <f>1153-510</f>
        <v>643</v>
      </c>
      <c r="M88" s="45"/>
      <c r="N88" s="45"/>
      <c r="O88" s="85">
        <f t="shared" si="1"/>
        <v>643</v>
      </c>
    </row>
    <row r="89" spans="1:15" ht="29.25">
      <c r="A89" s="274" t="s">
        <v>11</v>
      </c>
      <c r="B89" s="184" t="s">
        <v>12</v>
      </c>
      <c r="C89" s="489" t="s">
        <v>634</v>
      </c>
      <c r="D89" s="494"/>
      <c r="E89" s="489"/>
      <c r="F89" s="495" t="s">
        <v>531</v>
      </c>
      <c r="G89" s="496" t="s">
        <v>532</v>
      </c>
      <c r="H89" s="376" t="s">
        <v>1782</v>
      </c>
      <c r="I89" s="490">
        <v>70958228</v>
      </c>
      <c r="J89" s="435" t="s">
        <v>154</v>
      </c>
      <c r="K89" s="398">
        <v>7</v>
      </c>
      <c r="L89" s="13">
        <f>97426-79129</f>
        <v>18297</v>
      </c>
      <c r="M89" s="45"/>
      <c r="N89" s="45"/>
      <c r="O89" s="85">
        <f t="shared" si="1"/>
        <v>18297</v>
      </c>
    </row>
    <row r="90" spans="1:15" ht="29.25">
      <c r="A90" s="275" t="s">
        <v>11</v>
      </c>
      <c r="B90" s="184" t="s">
        <v>12</v>
      </c>
      <c r="C90" s="489" t="s">
        <v>532</v>
      </c>
      <c r="D90" s="494"/>
      <c r="E90" s="489"/>
      <c r="F90" s="492" t="s">
        <v>531</v>
      </c>
      <c r="G90" s="487" t="s">
        <v>532</v>
      </c>
      <c r="H90" s="376" t="s">
        <v>1783</v>
      </c>
      <c r="I90" s="489">
        <v>129356</v>
      </c>
      <c r="J90" s="435" t="s">
        <v>154</v>
      </c>
      <c r="K90" s="391">
        <v>0.3</v>
      </c>
      <c r="L90" s="13">
        <f>4431-3386</f>
        <v>1045</v>
      </c>
      <c r="M90" s="45"/>
      <c r="N90" s="45"/>
      <c r="O90" s="85">
        <f t="shared" si="1"/>
        <v>1045</v>
      </c>
    </row>
    <row r="91" spans="1:15" ht="36" customHeight="1">
      <c r="A91" s="275" t="s">
        <v>11</v>
      </c>
      <c r="B91" s="60" t="s">
        <v>162</v>
      </c>
      <c r="C91" s="489" t="s">
        <v>1775</v>
      </c>
      <c r="D91" s="494"/>
      <c r="E91" s="489"/>
      <c r="F91" s="495" t="s">
        <v>531</v>
      </c>
      <c r="G91" s="496" t="s">
        <v>532</v>
      </c>
      <c r="H91" s="376" t="s">
        <v>1776</v>
      </c>
      <c r="I91" s="489">
        <v>1382668</v>
      </c>
      <c r="J91" s="155" t="s">
        <v>154</v>
      </c>
      <c r="K91" s="391">
        <v>4</v>
      </c>
      <c r="L91" s="13">
        <f>10392-3227</f>
        <v>7165</v>
      </c>
      <c r="M91" s="45"/>
      <c r="N91" s="45"/>
      <c r="O91" s="85">
        <f t="shared" si="1"/>
        <v>7165</v>
      </c>
    </row>
    <row r="92" spans="1:15" ht="37.5" customHeight="1">
      <c r="A92" s="275" t="s">
        <v>11</v>
      </c>
      <c r="B92" s="184" t="s">
        <v>12</v>
      </c>
      <c r="C92" s="489" t="s">
        <v>1777</v>
      </c>
      <c r="D92" s="494"/>
      <c r="E92" s="489"/>
      <c r="F92" s="492" t="s">
        <v>531</v>
      </c>
      <c r="G92" s="487" t="s">
        <v>532</v>
      </c>
      <c r="H92" s="376" t="s">
        <v>1778</v>
      </c>
      <c r="I92" s="489">
        <v>1398821</v>
      </c>
      <c r="J92" s="155" t="s">
        <v>154</v>
      </c>
      <c r="K92" s="391">
        <v>0.8</v>
      </c>
      <c r="L92" s="13">
        <f>5986-4759</f>
        <v>1227</v>
      </c>
      <c r="M92" s="45"/>
      <c r="N92" s="45"/>
      <c r="O92" s="85">
        <f t="shared" si="1"/>
        <v>1227</v>
      </c>
    </row>
    <row r="93" spans="1:15" ht="36.75" customHeight="1">
      <c r="A93" s="275" t="s">
        <v>11</v>
      </c>
      <c r="B93" s="184" t="s">
        <v>12</v>
      </c>
      <c r="C93" s="489" t="s">
        <v>625</v>
      </c>
      <c r="D93" s="494"/>
      <c r="E93" s="489"/>
      <c r="F93" s="495" t="s">
        <v>531</v>
      </c>
      <c r="G93" s="496" t="s">
        <v>532</v>
      </c>
      <c r="H93" s="376" t="s">
        <v>1779</v>
      </c>
      <c r="I93" s="489">
        <v>249421</v>
      </c>
      <c r="J93" s="155" t="s">
        <v>154</v>
      </c>
      <c r="K93" s="391">
        <v>1.1</v>
      </c>
      <c r="L93" s="13">
        <f>8247-3782</f>
        <v>4465</v>
      </c>
      <c r="M93" s="45"/>
      <c r="N93" s="45"/>
      <c r="O93" s="85">
        <f t="shared" si="1"/>
        <v>4465</v>
      </c>
    </row>
    <row r="94" spans="1:15" ht="36.75" customHeight="1">
      <c r="A94" s="275" t="s">
        <v>11</v>
      </c>
      <c r="B94" s="184" t="s">
        <v>12</v>
      </c>
      <c r="C94" s="489" t="s">
        <v>569</v>
      </c>
      <c r="D94" s="494"/>
      <c r="E94" s="489"/>
      <c r="F94" s="492" t="s">
        <v>531</v>
      </c>
      <c r="G94" s="487" t="s">
        <v>532</v>
      </c>
      <c r="H94" s="376" t="s">
        <v>1780</v>
      </c>
      <c r="I94" s="107">
        <v>83292202</v>
      </c>
      <c r="J94" s="155" t="s">
        <v>154</v>
      </c>
      <c r="K94" s="391">
        <v>1.2</v>
      </c>
      <c r="L94" s="13">
        <f>7968-3963</f>
        <v>4005</v>
      </c>
      <c r="M94" s="45"/>
      <c r="N94" s="45"/>
      <c r="O94" s="85">
        <f t="shared" si="1"/>
        <v>4005</v>
      </c>
    </row>
    <row r="95" spans="1:15" ht="36.75" customHeight="1">
      <c r="A95" s="275" t="s">
        <v>11</v>
      </c>
      <c r="B95" s="399" t="s">
        <v>12</v>
      </c>
      <c r="C95" s="497" t="s">
        <v>532</v>
      </c>
      <c r="D95" s="488" t="s">
        <v>409</v>
      </c>
      <c r="E95" s="488"/>
      <c r="F95" s="490" t="s">
        <v>531</v>
      </c>
      <c r="G95" s="490" t="s">
        <v>532</v>
      </c>
      <c r="H95" s="376" t="s">
        <v>1781</v>
      </c>
      <c r="I95" s="490">
        <v>83426045</v>
      </c>
      <c r="J95" s="155" t="s">
        <v>154</v>
      </c>
      <c r="K95" s="334">
        <v>1</v>
      </c>
      <c r="L95" s="13">
        <f>3413-1524</f>
        <v>1889</v>
      </c>
      <c r="M95" s="45"/>
      <c r="N95" s="45"/>
      <c r="O95" s="85">
        <f t="shared" si="1"/>
        <v>1889</v>
      </c>
    </row>
    <row r="96" spans="1:15" ht="36.75" customHeight="1">
      <c r="A96" s="275" t="s">
        <v>11</v>
      </c>
      <c r="B96" s="185" t="s">
        <v>12</v>
      </c>
      <c r="C96" s="488" t="s">
        <v>581</v>
      </c>
      <c r="D96" s="498"/>
      <c r="E96" s="488"/>
      <c r="F96" s="492" t="s">
        <v>531</v>
      </c>
      <c r="G96" s="487" t="s">
        <v>532</v>
      </c>
      <c r="H96" s="377" t="s">
        <v>1953</v>
      </c>
      <c r="I96" s="52">
        <v>1401630</v>
      </c>
      <c r="J96" s="270" t="s">
        <v>154</v>
      </c>
      <c r="K96" s="391">
        <v>1</v>
      </c>
      <c r="L96" s="53">
        <f>6112-3564</f>
        <v>2548</v>
      </c>
      <c r="M96" s="54"/>
      <c r="N96" s="54"/>
      <c r="O96" s="85">
        <f t="shared" si="1"/>
        <v>2548</v>
      </c>
    </row>
    <row r="97" spans="1:15" ht="36.75" customHeight="1">
      <c r="A97" s="275" t="s">
        <v>11</v>
      </c>
      <c r="B97" s="185" t="s">
        <v>12</v>
      </c>
      <c r="C97" s="488" t="s">
        <v>576</v>
      </c>
      <c r="D97" s="666" t="s">
        <v>94</v>
      </c>
      <c r="E97" s="488"/>
      <c r="F97" s="492" t="s">
        <v>531</v>
      </c>
      <c r="G97" s="609" t="s">
        <v>532</v>
      </c>
      <c r="H97" s="377" t="s">
        <v>2090</v>
      </c>
      <c r="I97" s="52">
        <v>89115063</v>
      </c>
      <c r="J97" s="270" t="s">
        <v>154</v>
      </c>
      <c r="K97" s="391">
        <v>1</v>
      </c>
      <c r="L97" s="53">
        <v>1000</v>
      </c>
      <c r="M97" s="54"/>
      <c r="N97" s="54"/>
      <c r="O97" s="85">
        <f>L97</f>
        <v>1000</v>
      </c>
    </row>
    <row r="98" spans="1:15" ht="36.75" customHeight="1" thickBot="1">
      <c r="A98" s="275" t="s">
        <v>11</v>
      </c>
      <c r="B98" s="185" t="s">
        <v>12</v>
      </c>
      <c r="C98" s="667" t="s">
        <v>572</v>
      </c>
      <c r="D98" s="666"/>
      <c r="E98" s="488" t="s">
        <v>2091</v>
      </c>
      <c r="F98" s="492" t="s">
        <v>531</v>
      </c>
      <c r="G98" s="609" t="s">
        <v>532</v>
      </c>
      <c r="H98" s="377" t="s">
        <v>2092</v>
      </c>
      <c r="I98" s="52">
        <v>89114915</v>
      </c>
      <c r="J98" s="270" t="s">
        <v>154</v>
      </c>
      <c r="K98" s="391">
        <v>1</v>
      </c>
      <c r="L98" s="53">
        <v>1000</v>
      </c>
      <c r="M98" s="54"/>
      <c r="N98" s="54"/>
      <c r="O98" s="85">
        <f>L98</f>
        <v>1000</v>
      </c>
    </row>
    <row r="99" spans="2:15" ht="30">
      <c r="B99" s="556" t="s">
        <v>155</v>
      </c>
      <c r="C99" s="557" t="s">
        <v>1951</v>
      </c>
      <c r="D99" s="524"/>
      <c r="E99" s="558"/>
      <c r="F99" s="558"/>
      <c r="G99" s="672" t="s">
        <v>2097</v>
      </c>
      <c r="H99" s="34" t="s">
        <v>1965</v>
      </c>
      <c r="L99" s="2"/>
      <c r="M99" s="2"/>
      <c r="N99" s="53" t="s">
        <v>156</v>
      </c>
      <c r="O99" s="349">
        <f>SUM(O18:O98)</f>
        <v>365000</v>
      </c>
    </row>
    <row r="100" spans="2:8" ht="15">
      <c r="B100" s="293"/>
      <c r="C100" s="559" t="s">
        <v>645</v>
      </c>
      <c r="D100" s="526"/>
      <c r="E100" s="558"/>
      <c r="F100" s="558"/>
      <c r="G100" s="673"/>
      <c r="H100" s="548" t="s">
        <v>645</v>
      </c>
    </row>
    <row r="101" spans="2:8" ht="15.75" thickBot="1">
      <c r="B101" s="293"/>
      <c r="C101" s="559" t="s">
        <v>646</v>
      </c>
      <c r="D101" s="526"/>
      <c r="E101" s="560"/>
      <c r="F101" s="558"/>
      <c r="G101" s="674"/>
      <c r="H101" s="549" t="s">
        <v>646</v>
      </c>
    </row>
    <row r="102" spans="2:14" ht="15">
      <c r="B102" s="293" t="s">
        <v>1670</v>
      </c>
      <c r="C102" s="294">
        <v>8222147162</v>
      </c>
      <c r="D102" s="526"/>
      <c r="E102" s="560"/>
      <c r="F102" s="560"/>
      <c r="G102" s="560"/>
      <c r="H102" s="560"/>
      <c r="M102" s="2"/>
      <c r="N102" s="2"/>
    </row>
    <row r="103" spans="2:14" ht="15.75" thickBot="1">
      <c r="B103" s="238" t="s">
        <v>1674</v>
      </c>
      <c r="C103" s="71" t="s">
        <v>1952</v>
      </c>
      <c r="D103" s="41"/>
      <c r="E103" s="560"/>
      <c r="F103" s="560"/>
      <c r="G103" s="560"/>
      <c r="H103" s="560"/>
      <c r="M103" s="2"/>
      <c r="N103" s="2"/>
    </row>
    <row r="104" spans="2:14" ht="15">
      <c r="B104" s="278"/>
      <c r="C104" s="68"/>
      <c r="D104" s="68"/>
      <c r="M104" s="2"/>
      <c r="N104" s="2"/>
    </row>
    <row r="105" spans="2:14" ht="15.75" thickBot="1">
      <c r="B105" s="291"/>
      <c r="C105" s="294"/>
      <c r="D105" s="290"/>
      <c r="F105" s="31"/>
      <c r="G105" s="31"/>
      <c r="H105" s="31"/>
      <c r="I105" s="31"/>
      <c r="J105" s="31"/>
      <c r="K105" s="31"/>
      <c r="M105" s="2"/>
      <c r="N105" s="2"/>
    </row>
    <row r="106" spans="6:15" ht="48.75" customHeight="1">
      <c r="F106" s="31"/>
      <c r="G106" s="169"/>
      <c r="I106" s="169"/>
      <c r="J106" s="236"/>
      <c r="K106" s="711" t="s">
        <v>157</v>
      </c>
      <c r="L106" s="706" t="s">
        <v>1034</v>
      </c>
      <c r="M106" s="707"/>
      <c r="N106" s="708"/>
      <c r="O106" s="743" t="s">
        <v>158</v>
      </c>
    </row>
    <row r="107" spans="2:15" ht="23.25" customHeight="1" thickBot="1">
      <c r="B107" s="68"/>
      <c r="F107" s="31"/>
      <c r="G107" s="169"/>
      <c r="I107" s="232"/>
      <c r="J107" s="236"/>
      <c r="K107" s="713"/>
      <c r="L107" s="128" t="s">
        <v>159</v>
      </c>
      <c r="M107" s="128" t="s">
        <v>1035</v>
      </c>
      <c r="N107" s="128" t="s">
        <v>1036</v>
      </c>
      <c r="O107" s="744"/>
    </row>
    <row r="108" spans="2:15" ht="20.25" customHeight="1" thickBot="1">
      <c r="B108" s="68"/>
      <c r="F108" s="31"/>
      <c r="G108" s="169"/>
      <c r="I108" s="232"/>
      <c r="J108" s="236"/>
      <c r="K108" s="335" t="s">
        <v>154</v>
      </c>
      <c r="L108" s="439">
        <f>SUM(O18:O98)</f>
        <v>365000</v>
      </c>
      <c r="M108" s="179"/>
      <c r="N108" s="440"/>
      <c r="O108" s="437">
        <v>81</v>
      </c>
    </row>
    <row r="109" spans="6:15" ht="20.25" customHeight="1" thickBot="1">
      <c r="F109" s="31"/>
      <c r="G109" s="147"/>
      <c r="I109" s="154"/>
      <c r="J109" s="31"/>
      <c r="K109" s="16" t="s">
        <v>160</v>
      </c>
      <c r="L109" s="441">
        <f>L108</f>
        <v>365000</v>
      </c>
      <c r="M109" s="442">
        <f>SUM(M108:M108)</f>
        <v>0</v>
      </c>
      <c r="N109" s="443">
        <f>SUM(N108:N108)</f>
        <v>0</v>
      </c>
      <c r="O109" s="336">
        <f>SUM(O108:O108)</f>
        <v>81</v>
      </c>
    </row>
    <row r="110" spans="6:13" ht="18.75" thickBot="1">
      <c r="F110" s="31"/>
      <c r="G110" s="31"/>
      <c r="H110" s="235"/>
      <c r="I110" s="31"/>
      <c r="J110" s="31"/>
      <c r="L110" s="58" t="s">
        <v>161</v>
      </c>
      <c r="M110" s="337">
        <f>SUM(L109:N109)</f>
        <v>365000</v>
      </c>
    </row>
    <row r="111" spans="6:15" ht="14.25">
      <c r="F111" s="31"/>
      <c r="G111" s="31"/>
      <c r="H111" s="31"/>
      <c r="I111" s="31"/>
      <c r="J111" s="86"/>
      <c r="O111" s="86"/>
    </row>
    <row r="112" spans="6:11" ht="14.25">
      <c r="F112" s="31"/>
      <c r="G112" s="31"/>
      <c r="H112" s="31"/>
      <c r="I112" s="31"/>
      <c r="J112" s="31"/>
      <c r="K112" s="31"/>
    </row>
    <row r="113" ht="14.25">
      <c r="J113" s="31"/>
    </row>
    <row r="114" ht="14.25">
      <c r="J114" s="31"/>
    </row>
    <row r="115" ht="14.25">
      <c r="J115" s="31"/>
    </row>
    <row r="116" spans="7:10" ht="14.25">
      <c r="G116" s="31"/>
      <c r="H116" s="31"/>
      <c r="I116" s="31"/>
      <c r="J116" s="31"/>
    </row>
  </sheetData>
  <sheetProtection/>
  <mergeCells count="19">
    <mergeCell ref="A15:A17"/>
    <mergeCell ref="B15:B17"/>
    <mergeCell ref="C15:C17"/>
    <mergeCell ref="D15:D17"/>
    <mergeCell ref="H15:H17"/>
    <mergeCell ref="B3:I3"/>
    <mergeCell ref="B5:I5"/>
    <mergeCell ref="E15:E17"/>
    <mergeCell ref="F15:F17"/>
    <mergeCell ref="G15:G17"/>
    <mergeCell ref="K106:K107"/>
    <mergeCell ref="L106:N106"/>
    <mergeCell ref="O106:O107"/>
    <mergeCell ref="B1:J1"/>
    <mergeCell ref="L16:O16"/>
    <mergeCell ref="J15:J17"/>
    <mergeCell ref="K15:K17"/>
    <mergeCell ref="L15:O15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zoomScale="87" zoomScaleNormal="87" zoomScalePageLayoutView="0" workbookViewId="0" topLeftCell="C68">
      <selection activeCell="F79" sqref="F79"/>
    </sheetView>
  </sheetViews>
  <sheetFormatPr defaultColWidth="8.796875" defaultRowHeight="14.25"/>
  <cols>
    <col min="1" max="1" width="14.5" style="1" customWidth="1"/>
    <col min="2" max="2" width="12.09765625" style="0" customWidth="1"/>
    <col min="3" max="3" width="12.19921875" style="0" customWidth="1"/>
    <col min="4" max="4" width="12.59765625" style="0" customWidth="1"/>
    <col min="5" max="6" width="11.3984375" style="0" customWidth="1"/>
    <col min="7" max="7" width="18" style="0" customWidth="1"/>
    <col min="8" max="8" width="26.09765625" style="0" customWidth="1"/>
    <col min="9" max="9" width="18" style="0" customWidth="1"/>
    <col min="10" max="10" width="12.3984375" style="0" customWidth="1"/>
    <col min="11" max="11" width="11.09765625" style="0" customWidth="1"/>
    <col min="12" max="12" width="13.09765625" style="0" customWidth="1"/>
    <col min="13" max="13" width="15" style="0" customWidth="1"/>
    <col min="14" max="14" width="16.69921875" style="0" customWidth="1"/>
    <col min="15" max="15" width="18.69921875" style="0" customWidth="1"/>
  </cols>
  <sheetData>
    <row r="1" spans="1:11" ht="18">
      <c r="A1"/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1:10" ht="15">
      <c r="A2"/>
      <c r="B2" s="220"/>
      <c r="C2" s="220"/>
      <c r="D2" s="220"/>
      <c r="E2" s="220"/>
      <c r="F2" s="220"/>
      <c r="G2" s="220"/>
      <c r="H2" s="222"/>
      <c r="I2" s="220"/>
      <c r="J2" s="220"/>
    </row>
    <row r="3" spans="1:10" ht="27" customHeight="1">
      <c r="A3"/>
      <c r="B3" s="740" t="s">
        <v>1051</v>
      </c>
      <c r="C3" s="741"/>
      <c r="D3" s="741"/>
      <c r="E3" s="741"/>
      <c r="F3" s="741"/>
      <c r="G3" s="741"/>
      <c r="H3" s="741"/>
      <c r="I3" s="742"/>
      <c r="J3" s="220"/>
    </row>
    <row r="4" spans="1:10" ht="15">
      <c r="A4"/>
      <c r="B4" s="221"/>
      <c r="C4" s="221"/>
      <c r="D4" s="221"/>
      <c r="E4" s="221"/>
      <c r="F4" s="221"/>
      <c r="G4" s="221"/>
      <c r="H4" s="222"/>
      <c r="I4" s="220"/>
      <c r="J4" s="220"/>
    </row>
    <row r="5" spans="1:10" ht="15">
      <c r="A5"/>
      <c r="B5" s="736" t="s">
        <v>1029</v>
      </c>
      <c r="C5" s="736"/>
      <c r="D5" s="736"/>
      <c r="E5" s="736"/>
      <c r="F5" s="736"/>
      <c r="G5" s="736"/>
      <c r="H5" s="736"/>
      <c r="I5" s="736"/>
      <c r="J5" s="220"/>
    </row>
    <row r="6" spans="1:10" ht="15">
      <c r="A6"/>
      <c r="B6" s="221"/>
      <c r="C6" s="221"/>
      <c r="D6" s="221"/>
      <c r="E6" s="221"/>
      <c r="F6" s="221"/>
      <c r="G6" s="221"/>
      <c r="H6" s="222"/>
      <c r="I6" s="220"/>
      <c r="J6" s="220"/>
    </row>
    <row r="7" spans="1:10" ht="15.75">
      <c r="A7"/>
      <c r="B7" s="502" t="s">
        <v>967</v>
      </c>
      <c r="C7" s="220"/>
      <c r="D7" s="221"/>
      <c r="E7" s="221"/>
      <c r="F7" s="221"/>
      <c r="G7" s="220"/>
      <c r="H7" s="222"/>
      <c r="I7" s="220"/>
      <c r="J7" s="220"/>
    </row>
    <row r="8" spans="1:10" ht="15.75">
      <c r="A8"/>
      <c r="B8" s="502" t="s">
        <v>2098</v>
      </c>
      <c r="C8" s="220"/>
      <c r="D8" s="221"/>
      <c r="E8" s="221"/>
      <c r="F8" s="221"/>
      <c r="G8" s="220"/>
      <c r="H8" s="222"/>
      <c r="I8" s="220"/>
      <c r="J8" s="220"/>
    </row>
    <row r="9" spans="1:10" ht="15.75">
      <c r="A9"/>
      <c r="B9" s="224" t="s">
        <v>2087</v>
      </c>
      <c r="C9" s="220"/>
      <c r="D9" s="225"/>
      <c r="E9" s="221"/>
      <c r="F9" s="221"/>
      <c r="G9" s="220"/>
      <c r="H9" s="222"/>
      <c r="I9" s="220"/>
      <c r="J9" s="220"/>
    </row>
    <row r="10" spans="1:10" ht="15.75">
      <c r="A10"/>
      <c r="B10" s="224" t="s">
        <v>1663</v>
      </c>
      <c r="C10" s="220"/>
      <c r="D10" s="225"/>
      <c r="E10" s="221"/>
      <c r="F10" s="221"/>
      <c r="G10" s="220"/>
      <c r="H10" s="222"/>
      <c r="I10" s="220"/>
      <c r="J10" s="220"/>
    </row>
    <row r="11" spans="1:10" ht="15">
      <c r="A11"/>
      <c r="B11" s="220" t="s">
        <v>1665</v>
      </c>
      <c r="C11" s="220"/>
      <c r="D11" s="220"/>
      <c r="E11" s="220"/>
      <c r="F11" s="220"/>
      <c r="G11" s="220"/>
      <c r="H11" s="222"/>
      <c r="I11" s="220"/>
      <c r="J11" s="220"/>
    </row>
    <row r="12" spans="1:10" ht="15.75">
      <c r="A12"/>
      <c r="B12" s="226"/>
      <c r="C12" s="227"/>
      <c r="D12" s="225"/>
      <c r="E12" s="225"/>
      <c r="F12" s="225"/>
      <c r="G12" s="225"/>
      <c r="H12" s="220"/>
      <c r="I12" s="220"/>
      <c r="J12" s="220"/>
    </row>
    <row r="13" spans="1:10" ht="15.75">
      <c r="A13"/>
      <c r="B13" s="226" t="s">
        <v>1032</v>
      </c>
      <c r="C13" s="223" t="s">
        <v>1033</v>
      </c>
      <c r="D13" s="225"/>
      <c r="E13" s="225"/>
      <c r="F13" s="225"/>
      <c r="G13" s="225"/>
      <c r="H13" s="220"/>
      <c r="I13" s="220"/>
      <c r="J13" s="220"/>
    </row>
    <row r="14" spans="1:9" ht="15" thickBot="1">
      <c r="A14" s="86"/>
      <c r="B14" s="86"/>
      <c r="C14" s="31"/>
      <c r="D14" s="31"/>
      <c r="E14" s="31"/>
      <c r="F14" s="31"/>
      <c r="G14" s="31"/>
      <c r="H14" s="31"/>
      <c r="I14" s="31"/>
    </row>
    <row r="15" spans="1:15" ht="54" customHeight="1">
      <c r="A15" s="711" t="s">
        <v>0</v>
      </c>
      <c r="B15" s="714" t="s">
        <v>993</v>
      </c>
      <c r="C15" s="721" t="s">
        <v>2</v>
      </c>
      <c r="D15" s="721" t="s">
        <v>3</v>
      </c>
      <c r="E15" s="697" t="s">
        <v>1038</v>
      </c>
      <c r="F15" s="697" t="s">
        <v>5</v>
      </c>
      <c r="G15" s="721" t="s">
        <v>6</v>
      </c>
      <c r="H15" s="697" t="s">
        <v>7</v>
      </c>
      <c r="I15" s="697" t="s">
        <v>753</v>
      </c>
      <c r="J15" s="697" t="s">
        <v>157</v>
      </c>
      <c r="K15" s="729" t="s">
        <v>992</v>
      </c>
      <c r="L15" s="718" t="s">
        <v>1039</v>
      </c>
      <c r="M15" s="719"/>
      <c r="N15" s="719"/>
      <c r="O15" s="720"/>
    </row>
    <row r="16" spans="1:15" ht="40.5" customHeight="1">
      <c r="A16" s="712"/>
      <c r="B16" s="715"/>
      <c r="C16" s="722"/>
      <c r="D16" s="722"/>
      <c r="E16" s="698"/>
      <c r="F16" s="698"/>
      <c r="G16" s="722"/>
      <c r="H16" s="698"/>
      <c r="I16" s="727"/>
      <c r="J16" s="698"/>
      <c r="K16" s="730"/>
      <c r="L16" s="737" t="s">
        <v>1040</v>
      </c>
      <c r="M16" s="738"/>
      <c r="N16" s="738"/>
      <c r="O16" s="739"/>
    </row>
    <row r="17" spans="1:15" ht="37.5" customHeight="1" thickBot="1">
      <c r="A17" s="713"/>
      <c r="B17" s="716"/>
      <c r="C17" s="723"/>
      <c r="D17" s="723"/>
      <c r="E17" s="699"/>
      <c r="F17" s="699"/>
      <c r="G17" s="723"/>
      <c r="H17" s="699"/>
      <c r="I17" s="728"/>
      <c r="J17" s="699"/>
      <c r="K17" s="731"/>
      <c r="L17" s="134" t="s">
        <v>1041</v>
      </c>
      <c r="M17" s="135" t="s">
        <v>1035</v>
      </c>
      <c r="N17" s="135" t="s">
        <v>1036</v>
      </c>
      <c r="O17" s="136" t="s">
        <v>10</v>
      </c>
    </row>
    <row r="18" spans="1:15" ht="28.5">
      <c r="A18" s="306" t="s">
        <v>11</v>
      </c>
      <c r="B18" s="88" t="s">
        <v>12</v>
      </c>
      <c r="C18" s="89" t="s">
        <v>647</v>
      </c>
      <c r="D18" s="90"/>
      <c r="E18" s="91">
        <v>21</v>
      </c>
      <c r="F18" s="91" t="s">
        <v>13</v>
      </c>
      <c r="G18" s="90" t="s">
        <v>14</v>
      </c>
      <c r="H18" s="410" t="s">
        <v>648</v>
      </c>
      <c r="I18" s="92">
        <v>43689</v>
      </c>
      <c r="J18" s="93" t="s">
        <v>16</v>
      </c>
      <c r="K18" s="94">
        <v>0.6</v>
      </c>
      <c r="L18" s="95"/>
      <c r="M18" s="30">
        <f>4350-3479</f>
        <v>871</v>
      </c>
      <c r="N18" s="30">
        <f>11537-9166</f>
        <v>2371</v>
      </c>
      <c r="O18" s="30">
        <f aca="true" t="shared" si="0" ref="O18:O68">SUM(M18:N18)</f>
        <v>3242</v>
      </c>
    </row>
    <row r="19" spans="1:15" ht="28.5">
      <c r="A19" s="306" t="s">
        <v>11</v>
      </c>
      <c r="B19" s="88" t="s">
        <v>12</v>
      </c>
      <c r="C19" s="89" t="s">
        <v>649</v>
      </c>
      <c r="D19" s="90"/>
      <c r="E19" s="91"/>
      <c r="F19" s="91" t="s">
        <v>650</v>
      </c>
      <c r="G19" s="90" t="s">
        <v>651</v>
      </c>
      <c r="H19" s="410" t="s">
        <v>652</v>
      </c>
      <c r="I19" s="46">
        <v>83995703</v>
      </c>
      <c r="J19" s="93" t="s">
        <v>16</v>
      </c>
      <c r="K19" s="94">
        <v>0.3</v>
      </c>
      <c r="L19" s="95"/>
      <c r="M19" s="30">
        <f>1584-1328</f>
        <v>256</v>
      </c>
      <c r="N19" s="30">
        <f>5390-4832</f>
        <v>558</v>
      </c>
      <c r="O19" s="30">
        <f t="shared" si="0"/>
        <v>814</v>
      </c>
    </row>
    <row r="20" spans="1:15" ht="28.5">
      <c r="A20" s="306" t="s">
        <v>11</v>
      </c>
      <c r="B20" s="88" t="s">
        <v>12</v>
      </c>
      <c r="C20" s="89" t="s">
        <v>653</v>
      </c>
      <c r="D20" s="90"/>
      <c r="E20" s="91">
        <v>61</v>
      </c>
      <c r="F20" s="91" t="s">
        <v>13</v>
      </c>
      <c r="G20" s="90" t="s">
        <v>14</v>
      </c>
      <c r="H20" s="410" t="s">
        <v>654</v>
      </c>
      <c r="I20" s="46">
        <v>43686</v>
      </c>
      <c r="J20" s="93" t="s">
        <v>16</v>
      </c>
      <c r="K20" s="94">
        <v>1.6</v>
      </c>
      <c r="L20" s="95"/>
      <c r="M20" s="30">
        <f>10947-8953</f>
        <v>1994</v>
      </c>
      <c r="N20" s="30">
        <f>25555-22309</f>
        <v>3246</v>
      </c>
      <c r="O20" s="30">
        <f t="shared" si="0"/>
        <v>5240</v>
      </c>
    </row>
    <row r="21" spans="1:15" ht="28.5">
      <c r="A21" s="306" t="s">
        <v>11</v>
      </c>
      <c r="B21" s="88" t="s">
        <v>12</v>
      </c>
      <c r="C21" s="89" t="s">
        <v>655</v>
      </c>
      <c r="D21" s="90"/>
      <c r="E21" s="91">
        <v>10</v>
      </c>
      <c r="F21" s="91" t="s">
        <v>13</v>
      </c>
      <c r="G21" s="90" t="s">
        <v>14</v>
      </c>
      <c r="H21" s="410" t="s">
        <v>656</v>
      </c>
      <c r="I21" s="46">
        <v>43685</v>
      </c>
      <c r="J21" s="93" t="s">
        <v>16</v>
      </c>
      <c r="K21" s="94">
        <v>1.4</v>
      </c>
      <c r="L21" s="95"/>
      <c r="M21" s="30">
        <f>8928-7195</f>
        <v>1733</v>
      </c>
      <c r="N21" s="30">
        <f>21273-18723</f>
        <v>2550</v>
      </c>
      <c r="O21" s="30">
        <f t="shared" si="0"/>
        <v>4283</v>
      </c>
    </row>
    <row r="22" spans="1:15" ht="28.5">
      <c r="A22" s="306" t="s">
        <v>11</v>
      </c>
      <c r="B22" s="88" t="s">
        <v>12</v>
      </c>
      <c r="C22" s="89" t="s">
        <v>1824</v>
      </c>
      <c r="D22" s="90"/>
      <c r="E22" s="91"/>
      <c r="F22" s="91" t="s">
        <v>650</v>
      </c>
      <c r="G22" s="90" t="s">
        <v>651</v>
      </c>
      <c r="H22" s="410" t="s">
        <v>657</v>
      </c>
      <c r="I22" s="46">
        <v>41475</v>
      </c>
      <c r="J22" s="93" t="s">
        <v>16</v>
      </c>
      <c r="K22" s="94">
        <v>2.1</v>
      </c>
      <c r="L22" s="95"/>
      <c r="M22" s="30">
        <f>7622-6324</f>
        <v>1298</v>
      </c>
      <c r="N22" s="30">
        <f>17477-14926</f>
        <v>2551</v>
      </c>
      <c r="O22" s="30">
        <f t="shared" si="0"/>
        <v>3849</v>
      </c>
    </row>
    <row r="23" spans="1:15" ht="28.5">
      <c r="A23" s="306" t="s">
        <v>11</v>
      </c>
      <c r="B23" s="88" t="s">
        <v>12</v>
      </c>
      <c r="C23" s="89" t="s">
        <v>580</v>
      </c>
      <c r="D23" s="90"/>
      <c r="E23" s="91"/>
      <c r="F23" s="91" t="s">
        <v>650</v>
      </c>
      <c r="G23" s="90" t="s">
        <v>651</v>
      </c>
      <c r="H23" s="410" t="s">
        <v>658</v>
      </c>
      <c r="I23" s="46">
        <v>43883</v>
      </c>
      <c r="J23" s="93" t="s">
        <v>16</v>
      </c>
      <c r="K23" s="94">
        <v>0.4</v>
      </c>
      <c r="L23" s="95"/>
      <c r="M23" s="30">
        <f>6991-5602</f>
        <v>1389</v>
      </c>
      <c r="N23" s="30">
        <f>20029-16116</f>
        <v>3913</v>
      </c>
      <c r="O23" s="30">
        <f t="shared" si="0"/>
        <v>5302</v>
      </c>
    </row>
    <row r="24" spans="1:15" ht="28.5">
      <c r="A24" s="306" t="s">
        <v>11</v>
      </c>
      <c r="B24" s="88" t="s">
        <v>12</v>
      </c>
      <c r="C24" s="89" t="s">
        <v>1824</v>
      </c>
      <c r="D24" s="90"/>
      <c r="E24" s="91">
        <v>98</v>
      </c>
      <c r="F24" s="91" t="s">
        <v>650</v>
      </c>
      <c r="G24" s="90" t="s">
        <v>651</v>
      </c>
      <c r="H24" s="410" t="s">
        <v>659</v>
      </c>
      <c r="I24" s="46">
        <v>43884</v>
      </c>
      <c r="J24" s="93" t="s">
        <v>16</v>
      </c>
      <c r="K24" s="94">
        <v>0.3</v>
      </c>
      <c r="L24" s="95"/>
      <c r="M24" s="30">
        <f>2924-2252</f>
        <v>672</v>
      </c>
      <c r="N24" s="30">
        <f>6057-4999</f>
        <v>1058</v>
      </c>
      <c r="O24" s="30">
        <f t="shared" si="0"/>
        <v>1730</v>
      </c>
    </row>
    <row r="25" spans="1:15" ht="28.5">
      <c r="A25" s="306" t="s">
        <v>11</v>
      </c>
      <c r="B25" s="88" t="s">
        <v>12</v>
      </c>
      <c r="C25" s="89" t="s">
        <v>393</v>
      </c>
      <c r="D25" s="90"/>
      <c r="E25" s="91">
        <v>3</v>
      </c>
      <c r="F25" s="91" t="s">
        <v>650</v>
      </c>
      <c r="G25" s="90" t="s">
        <v>651</v>
      </c>
      <c r="H25" s="410" t="s">
        <v>660</v>
      </c>
      <c r="I25" s="46">
        <v>44869</v>
      </c>
      <c r="J25" s="93" t="s">
        <v>16</v>
      </c>
      <c r="K25" s="94">
        <v>1.1</v>
      </c>
      <c r="L25" s="95"/>
      <c r="M25" s="30">
        <f>6586-5582</f>
        <v>1004</v>
      </c>
      <c r="N25" s="30">
        <f>15698-14104</f>
        <v>1594</v>
      </c>
      <c r="O25" s="30">
        <f t="shared" si="0"/>
        <v>2598</v>
      </c>
    </row>
    <row r="26" spans="1:15" ht="28.5">
      <c r="A26" s="306" t="s">
        <v>11</v>
      </c>
      <c r="B26" s="88" t="s">
        <v>12</v>
      </c>
      <c r="C26" s="89" t="s">
        <v>393</v>
      </c>
      <c r="D26" s="90"/>
      <c r="E26" s="91">
        <v>2</v>
      </c>
      <c r="F26" s="91" t="s">
        <v>650</v>
      </c>
      <c r="G26" s="90" t="s">
        <v>651</v>
      </c>
      <c r="H26" s="410" t="s">
        <v>661</v>
      </c>
      <c r="I26" s="46">
        <v>44862</v>
      </c>
      <c r="J26" s="93" t="s">
        <v>16</v>
      </c>
      <c r="K26" s="94">
        <v>0.5</v>
      </c>
      <c r="L26" s="95"/>
      <c r="M26" s="30">
        <f>3106-2576</f>
        <v>530</v>
      </c>
      <c r="N26" s="30">
        <f>7125-6318</f>
        <v>807</v>
      </c>
      <c r="O26" s="30">
        <f t="shared" si="0"/>
        <v>1337</v>
      </c>
    </row>
    <row r="27" spans="1:15" ht="28.5">
      <c r="A27" s="306" t="s">
        <v>11</v>
      </c>
      <c r="B27" s="88" t="s">
        <v>12</v>
      </c>
      <c r="C27" s="89" t="s">
        <v>393</v>
      </c>
      <c r="D27" s="90"/>
      <c r="E27" s="91">
        <v>1</v>
      </c>
      <c r="F27" s="91" t="s">
        <v>650</v>
      </c>
      <c r="G27" s="90" t="s">
        <v>651</v>
      </c>
      <c r="H27" s="410" t="s">
        <v>662</v>
      </c>
      <c r="I27" s="46">
        <v>113102</v>
      </c>
      <c r="J27" s="93" t="s">
        <v>16</v>
      </c>
      <c r="K27" s="94">
        <v>0.2</v>
      </c>
      <c r="L27" s="95"/>
      <c r="M27" s="30">
        <f>941-737</f>
        <v>204</v>
      </c>
      <c r="N27" s="30">
        <f>2753-2262</f>
        <v>491</v>
      </c>
      <c r="O27" s="30">
        <f t="shared" si="0"/>
        <v>695</v>
      </c>
    </row>
    <row r="28" spans="1:15" ht="28.5">
      <c r="A28" s="306" t="s">
        <v>11</v>
      </c>
      <c r="B28" s="88" t="s">
        <v>12</v>
      </c>
      <c r="C28" s="89" t="s">
        <v>663</v>
      </c>
      <c r="D28" s="90"/>
      <c r="E28" s="91"/>
      <c r="F28" s="91" t="s">
        <v>650</v>
      </c>
      <c r="G28" s="90" t="s">
        <v>651</v>
      </c>
      <c r="H28" s="410" t="s">
        <v>664</v>
      </c>
      <c r="I28" s="46">
        <v>43886</v>
      </c>
      <c r="J28" s="93" t="s">
        <v>16</v>
      </c>
      <c r="K28" s="94">
        <v>1.8</v>
      </c>
      <c r="L28" s="95"/>
      <c r="M28" s="30">
        <f>12658-10148</f>
        <v>2510</v>
      </c>
      <c r="N28" s="30">
        <f>27693-24183</f>
        <v>3510</v>
      </c>
      <c r="O28" s="30">
        <f t="shared" si="0"/>
        <v>6020</v>
      </c>
    </row>
    <row r="29" spans="1:15" ht="28.5">
      <c r="A29" s="306" t="s">
        <v>11</v>
      </c>
      <c r="B29" s="88" t="s">
        <v>12</v>
      </c>
      <c r="C29" s="89" t="s">
        <v>1825</v>
      </c>
      <c r="D29" s="90"/>
      <c r="E29" s="91">
        <v>1</v>
      </c>
      <c r="F29" s="91" t="s">
        <v>650</v>
      </c>
      <c r="G29" s="90" t="s">
        <v>651</v>
      </c>
      <c r="H29" s="410" t="s">
        <v>665</v>
      </c>
      <c r="I29" s="46">
        <v>44868</v>
      </c>
      <c r="J29" s="93" t="s">
        <v>16</v>
      </c>
      <c r="K29" s="94">
        <v>1.2</v>
      </c>
      <c r="L29" s="95"/>
      <c r="M29" s="30">
        <f>8487-7058</f>
        <v>1429</v>
      </c>
      <c r="N29" s="30">
        <f>19570-17469</f>
        <v>2101</v>
      </c>
      <c r="O29" s="30">
        <f t="shared" si="0"/>
        <v>3530</v>
      </c>
    </row>
    <row r="30" spans="1:15" ht="28.5">
      <c r="A30" s="306" t="s">
        <v>11</v>
      </c>
      <c r="B30" s="88" t="s">
        <v>12</v>
      </c>
      <c r="C30" s="89" t="s">
        <v>1825</v>
      </c>
      <c r="D30" s="90"/>
      <c r="E30" s="91">
        <v>2</v>
      </c>
      <c r="F30" s="91" t="s">
        <v>650</v>
      </c>
      <c r="G30" s="90" t="s">
        <v>651</v>
      </c>
      <c r="H30" s="410" t="s">
        <v>666</v>
      </c>
      <c r="I30" s="46">
        <v>42812</v>
      </c>
      <c r="J30" s="93" t="s">
        <v>16</v>
      </c>
      <c r="K30" s="94">
        <v>0.6</v>
      </c>
      <c r="L30" s="95"/>
      <c r="M30" s="30">
        <f>4141-3432</f>
        <v>709</v>
      </c>
      <c r="N30" s="30">
        <f>10844-9780</f>
        <v>1064</v>
      </c>
      <c r="O30" s="30">
        <f t="shared" si="0"/>
        <v>1773</v>
      </c>
    </row>
    <row r="31" spans="1:15" ht="28.5">
      <c r="A31" s="306" t="s">
        <v>11</v>
      </c>
      <c r="B31" s="88" t="s">
        <v>12</v>
      </c>
      <c r="C31" s="89" t="s">
        <v>1825</v>
      </c>
      <c r="D31" s="90"/>
      <c r="E31" s="91">
        <v>2</v>
      </c>
      <c r="F31" s="91" t="s">
        <v>650</v>
      </c>
      <c r="G31" s="90" t="s">
        <v>651</v>
      </c>
      <c r="H31" s="410" t="s">
        <v>667</v>
      </c>
      <c r="I31" s="46">
        <v>44866</v>
      </c>
      <c r="J31" s="93" t="s">
        <v>16</v>
      </c>
      <c r="K31" s="94">
        <v>0.5</v>
      </c>
      <c r="L31" s="95"/>
      <c r="M31" s="30">
        <f>5654-4600</f>
        <v>1054</v>
      </c>
      <c r="N31" s="30">
        <f>12427-10872</f>
        <v>1555</v>
      </c>
      <c r="O31" s="30">
        <f t="shared" si="0"/>
        <v>2609</v>
      </c>
    </row>
    <row r="32" spans="1:15" ht="28.5">
      <c r="A32" s="306" t="s">
        <v>11</v>
      </c>
      <c r="B32" s="88" t="s">
        <v>12</v>
      </c>
      <c r="C32" s="89" t="s">
        <v>668</v>
      </c>
      <c r="D32" s="90"/>
      <c r="E32" s="91">
        <v>2</v>
      </c>
      <c r="F32" s="91" t="s">
        <v>650</v>
      </c>
      <c r="G32" s="90" t="s">
        <v>651</v>
      </c>
      <c r="H32" s="410" t="s">
        <v>669</v>
      </c>
      <c r="I32" s="46">
        <v>43831</v>
      </c>
      <c r="J32" s="93" t="s">
        <v>16</v>
      </c>
      <c r="K32" s="94">
        <v>0.7</v>
      </c>
      <c r="L32" s="95"/>
      <c r="M32" s="30">
        <f>895-744</f>
        <v>151</v>
      </c>
      <c r="N32" s="30">
        <f>2118-1875</f>
        <v>243</v>
      </c>
      <c r="O32" s="30">
        <f t="shared" si="0"/>
        <v>394</v>
      </c>
    </row>
    <row r="33" spans="1:15" ht="28.5">
      <c r="A33" s="306" t="s">
        <v>11</v>
      </c>
      <c r="B33" s="88" t="s">
        <v>12</v>
      </c>
      <c r="C33" s="89" t="s">
        <v>668</v>
      </c>
      <c r="D33" s="90"/>
      <c r="E33" s="91">
        <v>2</v>
      </c>
      <c r="F33" s="91" t="s">
        <v>650</v>
      </c>
      <c r="G33" s="90" t="s">
        <v>651</v>
      </c>
      <c r="H33" s="410" t="s">
        <v>670</v>
      </c>
      <c r="I33" s="46">
        <v>44870</v>
      </c>
      <c r="J33" s="93" t="s">
        <v>16</v>
      </c>
      <c r="K33" s="94">
        <v>0.1</v>
      </c>
      <c r="L33" s="95"/>
      <c r="M33" s="30">
        <f>841-644</f>
        <v>197</v>
      </c>
      <c r="N33" s="30">
        <f>2057-1757</f>
        <v>300</v>
      </c>
      <c r="O33" s="30">
        <f t="shared" si="0"/>
        <v>497</v>
      </c>
    </row>
    <row r="34" spans="1:15" ht="28.5">
      <c r="A34" s="306" t="s">
        <v>11</v>
      </c>
      <c r="B34" s="88" t="s">
        <v>12</v>
      </c>
      <c r="C34" s="89" t="s">
        <v>649</v>
      </c>
      <c r="D34" s="90"/>
      <c r="E34" s="91"/>
      <c r="F34" s="91" t="s">
        <v>650</v>
      </c>
      <c r="G34" s="90" t="s">
        <v>651</v>
      </c>
      <c r="H34" s="410" t="s">
        <v>671</v>
      </c>
      <c r="I34" s="46">
        <v>42329</v>
      </c>
      <c r="J34" s="93" t="s">
        <v>16</v>
      </c>
      <c r="K34" s="94">
        <v>1.1</v>
      </c>
      <c r="L34" s="95"/>
      <c r="M34" s="30">
        <f>11078-9200</f>
        <v>1878</v>
      </c>
      <c r="N34" s="30">
        <f>25685-22998</f>
        <v>2687</v>
      </c>
      <c r="O34" s="30">
        <f t="shared" si="0"/>
        <v>4565</v>
      </c>
    </row>
    <row r="35" spans="1:15" ht="28.5">
      <c r="A35" s="306" t="s">
        <v>11</v>
      </c>
      <c r="B35" s="88" t="s">
        <v>12</v>
      </c>
      <c r="C35" s="89" t="s">
        <v>649</v>
      </c>
      <c r="D35" s="90"/>
      <c r="E35" s="91">
        <v>1</v>
      </c>
      <c r="F35" s="91" t="s">
        <v>650</v>
      </c>
      <c r="G35" s="90" t="s">
        <v>651</v>
      </c>
      <c r="H35" s="410" t="s">
        <v>672</v>
      </c>
      <c r="I35" s="46">
        <v>43683</v>
      </c>
      <c r="J35" s="93" t="s">
        <v>16</v>
      </c>
      <c r="K35" s="94">
        <v>0.8</v>
      </c>
      <c r="L35" s="95"/>
      <c r="M35" s="30">
        <f>5451-4530</f>
        <v>921</v>
      </c>
      <c r="N35" s="30">
        <f>12193-10770</f>
        <v>1423</v>
      </c>
      <c r="O35" s="30">
        <f t="shared" si="0"/>
        <v>2344</v>
      </c>
    </row>
    <row r="36" spans="1:15" ht="28.5">
      <c r="A36" s="306" t="s">
        <v>11</v>
      </c>
      <c r="B36" s="88" t="s">
        <v>12</v>
      </c>
      <c r="C36" s="89" t="s">
        <v>673</v>
      </c>
      <c r="D36" s="90"/>
      <c r="E36" s="91"/>
      <c r="F36" s="91" t="s">
        <v>650</v>
      </c>
      <c r="G36" s="90" t="s">
        <v>651</v>
      </c>
      <c r="H36" s="410" t="s">
        <v>674</v>
      </c>
      <c r="I36" s="46">
        <v>44867</v>
      </c>
      <c r="J36" s="93" t="s">
        <v>16</v>
      </c>
      <c r="K36" s="94">
        <v>3.5</v>
      </c>
      <c r="L36" s="95"/>
      <c r="M36" s="30">
        <f>3086-2523</f>
        <v>563</v>
      </c>
      <c r="N36" s="30">
        <f>7023-6156</f>
        <v>867</v>
      </c>
      <c r="O36" s="30">
        <f t="shared" si="0"/>
        <v>1430</v>
      </c>
    </row>
    <row r="37" spans="1:15" ht="28.5">
      <c r="A37" s="306" t="s">
        <v>11</v>
      </c>
      <c r="B37" s="88" t="s">
        <v>12</v>
      </c>
      <c r="C37" s="89" t="s">
        <v>651</v>
      </c>
      <c r="D37" s="90" t="s">
        <v>675</v>
      </c>
      <c r="E37" s="91"/>
      <c r="F37" s="91" t="s">
        <v>650</v>
      </c>
      <c r="G37" s="90" t="s">
        <v>651</v>
      </c>
      <c r="H37" s="410" t="s">
        <v>676</v>
      </c>
      <c r="I37" s="46">
        <v>70926071</v>
      </c>
      <c r="J37" s="93" t="s">
        <v>16</v>
      </c>
      <c r="K37" s="94">
        <v>2.2</v>
      </c>
      <c r="L37" s="95"/>
      <c r="M37" s="30">
        <f>10401-8741</f>
        <v>1660</v>
      </c>
      <c r="N37" s="30">
        <f>40145-34965</f>
        <v>5180</v>
      </c>
      <c r="O37" s="30">
        <f t="shared" si="0"/>
        <v>6840</v>
      </c>
    </row>
    <row r="38" spans="1:15" ht="28.5">
      <c r="A38" s="306" t="s">
        <v>11</v>
      </c>
      <c r="B38" s="88" t="s">
        <v>12</v>
      </c>
      <c r="C38" s="89" t="s">
        <v>651</v>
      </c>
      <c r="D38" s="90" t="s">
        <v>677</v>
      </c>
      <c r="E38" s="91"/>
      <c r="F38" s="91" t="s">
        <v>650</v>
      </c>
      <c r="G38" s="90" t="s">
        <v>651</v>
      </c>
      <c r="H38" s="410" t="s">
        <v>678</v>
      </c>
      <c r="I38" s="46">
        <v>89124985</v>
      </c>
      <c r="J38" s="93" t="s">
        <v>16</v>
      </c>
      <c r="K38" s="94">
        <v>2.7</v>
      </c>
      <c r="L38" s="95"/>
      <c r="M38" s="30">
        <f>9893-8119</f>
        <v>1774</v>
      </c>
      <c r="N38" s="30">
        <v>6000</v>
      </c>
      <c r="O38" s="30">
        <f t="shared" si="0"/>
        <v>7774</v>
      </c>
    </row>
    <row r="39" spans="1:15" ht="28.5">
      <c r="A39" s="306" t="s">
        <v>11</v>
      </c>
      <c r="B39" s="88" t="s">
        <v>12</v>
      </c>
      <c r="C39" s="89" t="s">
        <v>651</v>
      </c>
      <c r="D39" s="90" t="s">
        <v>679</v>
      </c>
      <c r="E39" s="91">
        <v>4</v>
      </c>
      <c r="F39" s="91" t="s">
        <v>650</v>
      </c>
      <c r="G39" s="90" t="s">
        <v>651</v>
      </c>
      <c r="H39" s="410" t="s">
        <v>680</v>
      </c>
      <c r="I39" s="46">
        <v>70926060</v>
      </c>
      <c r="J39" s="93" t="s">
        <v>16</v>
      </c>
      <c r="K39" s="94">
        <v>1.8</v>
      </c>
      <c r="L39" s="95"/>
      <c r="M39" s="30">
        <f>8327-7127</f>
        <v>1200</v>
      </c>
      <c r="N39" s="30">
        <f>35856-30740</f>
        <v>5116</v>
      </c>
      <c r="O39" s="30">
        <f t="shared" si="0"/>
        <v>6316</v>
      </c>
    </row>
    <row r="40" spans="1:15" ht="28.5">
      <c r="A40" s="306" t="s">
        <v>11</v>
      </c>
      <c r="B40" s="88" t="s">
        <v>12</v>
      </c>
      <c r="C40" s="89" t="s">
        <v>651</v>
      </c>
      <c r="D40" s="89" t="s">
        <v>1325</v>
      </c>
      <c r="E40" s="91">
        <v>5</v>
      </c>
      <c r="F40" s="91" t="s">
        <v>650</v>
      </c>
      <c r="G40" s="90" t="s">
        <v>651</v>
      </c>
      <c r="H40" s="410" t="s">
        <v>681</v>
      </c>
      <c r="I40" s="46">
        <v>89124990</v>
      </c>
      <c r="J40" s="93" t="s">
        <v>16</v>
      </c>
      <c r="K40" s="94">
        <v>2.3</v>
      </c>
      <c r="L40" s="95"/>
      <c r="M40" s="30">
        <f>5424-4405</f>
        <v>1019</v>
      </c>
      <c r="N40" s="30">
        <f>23134-18635</f>
        <v>4499</v>
      </c>
      <c r="O40" s="30">
        <f t="shared" si="0"/>
        <v>5518</v>
      </c>
    </row>
    <row r="41" spans="1:15" ht="28.5">
      <c r="A41" s="306" t="s">
        <v>11</v>
      </c>
      <c r="B41" s="88" t="s">
        <v>12</v>
      </c>
      <c r="C41" s="89" t="s">
        <v>682</v>
      </c>
      <c r="D41" s="90"/>
      <c r="E41" s="91"/>
      <c r="F41" s="91" t="s">
        <v>650</v>
      </c>
      <c r="G41" s="90" t="s">
        <v>651</v>
      </c>
      <c r="H41" s="410" t="s">
        <v>683</v>
      </c>
      <c r="I41" s="46">
        <v>89092625</v>
      </c>
      <c r="J41" s="93" t="s">
        <v>16</v>
      </c>
      <c r="K41" s="94">
        <v>3.8</v>
      </c>
      <c r="L41" s="95"/>
      <c r="M41" s="30">
        <v>2000</v>
      </c>
      <c r="N41" s="30">
        <v>7000</v>
      </c>
      <c r="O41" s="30">
        <f t="shared" si="0"/>
        <v>9000</v>
      </c>
    </row>
    <row r="42" spans="1:15" ht="28.5">
      <c r="A42" s="306" t="s">
        <v>11</v>
      </c>
      <c r="B42" s="88" t="s">
        <v>12</v>
      </c>
      <c r="C42" s="89" t="s">
        <v>1326</v>
      </c>
      <c r="D42" s="90"/>
      <c r="E42" s="91"/>
      <c r="F42" s="91" t="s">
        <v>650</v>
      </c>
      <c r="G42" s="90" t="s">
        <v>651</v>
      </c>
      <c r="H42" s="410" t="s">
        <v>685</v>
      </c>
      <c r="I42" s="46">
        <v>43684</v>
      </c>
      <c r="J42" s="93" t="s">
        <v>16</v>
      </c>
      <c r="K42" s="94">
        <v>0.3</v>
      </c>
      <c r="L42" s="95"/>
      <c r="M42" s="30">
        <f>2269-1833</f>
        <v>436</v>
      </c>
      <c r="N42" s="30">
        <f>5400-4736</f>
        <v>664</v>
      </c>
      <c r="O42" s="30">
        <f t="shared" si="0"/>
        <v>1100</v>
      </c>
    </row>
    <row r="43" spans="1:15" ht="28.5">
      <c r="A43" s="306" t="s">
        <v>11</v>
      </c>
      <c r="B43" s="88" t="s">
        <v>12</v>
      </c>
      <c r="C43" s="89" t="s">
        <v>1327</v>
      </c>
      <c r="D43" s="90"/>
      <c r="E43" s="91"/>
      <c r="F43" s="91" t="s">
        <v>650</v>
      </c>
      <c r="G43" s="90" t="s">
        <v>651</v>
      </c>
      <c r="H43" s="410" t="s">
        <v>687</v>
      </c>
      <c r="I43" s="46">
        <v>43824</v>
      </c>
      <c r="J43" s="93" t="s">
        <v>16</v>
      </c>
      <c r="K43" s="94">
        <v>0.3</v>
      </c>
      <c r="L43" s="95"/>
      <c r="M43" s="30">
        <f>2267-1925</f>
        <v>342</v>
      </c>
      <c r="N43" s="30">
        <f>5146-4632</f>
        <v>514</v>
      </c>
      <c r="O43" s="30">
        <f t="shared" si="0"/>
        <v>856</v>
      </c>
    </row>
    <row r="44" spans="1:15" ht="28.5">
      <c r="A44" s="306" t="s">
        <v>11</v>
      </c>
      <c r="B44" s="88" t="s">
        <v>12</v>
      </c>
      <c r="C44" s="89" t="s">
        <v>684</v>
      </c>
      <c r="D44" s="90"/>
      <c r="E44" s="91"/>
      <c r="F44" s="91" t="s">
        <v>650</v>
      </c>
      <c r="G44" s="90" t="s">
        <v>651</v>
      </c>
      <c r="H44" s="410" t="s">
        <v>688</v>
      </c>
      <c r="I44" s="46">
        <v>43690</v>
      </c>
      <c r="J44" s="93" t="s">
        <v>16</v>
      </c>
      <c r="K44" s="94">
        <v>0.1</v>
      </c>
      <c r="L44" s="95"/>
      <c r="M44" s="30">
        <f>2697-2169</f>
        <v>528</v>
      </c>
      <c r="N44" s="30">
        <f>6170-5355</f>
        <v>815</v>
      </c>
      <c r="O44" s="30">
        <f t="shared" si="0"/>
        <v>1343</v>
      </c>
    </row>
    <row r="45" spans="1:15" ht="28.5">
      <c r="A45" s="306" t="s">
        <v>11</v>
      </c>
      <c r="B45" s="88" t="s">
        <v>12</v>
      </c>
      <c r="C45" s="89" t="s">
        <v>651</v>
      </c>
      <c r="D45" s="89" t="s">
        <v>1713</v>
      </c>
      <c r="E45" s="91"/>
      <c r="F45" s="91" t="s">
        <v>650</v>
      </c>
      <c r="G45" s="90" t="s">
        <v>651</v>
      </c>
      <c r="H45" s="410" t="s">
        <v>689</v>
      </c>
      <c r="I45" s="46">
        <v>70907956</v>
      </c>
      <c r="J45" s="93" t="s">
        <v>16</v>
      </c>
      <c r="K45" s="94">
        <v>14</v>
      </c>
      <c r="L45" s="95"/>
      <c r="M45" s="30">
        <f>12358-10064</f>
        <v>2294</v>
      </c>
      <c r="N45" s="30">
        <f>51295-39632</f>
        <v>11663</v>
      </c>
      <c r="O45" s="30">
        <f t="shared" si="0"/>
        <v>13957</v>
      </c>
    </row>
    <row r="46" spans="1:15" ht="28.5">
      <c r="A46" s="306" t="s">
        <v>11</v>
      </c>
      <c r="B46" s="88" t="s">
        <v>12</v>
      </c>
      <c r="C46" s="89" t="s">
        <v>651</v>
      </c>
      <c r="D46" s="89" t="s">
        <v>1328</v>
      </c>
      <c r="E46" s="91"/>
      <c r="F46" s="91" t="s">
        <v>650</v>
      </c>
      <c r="G46" s="90" t="s">
        <v>651</v>
      </c>
      <c r="H46" s="410" t="s">
        <v>690</v>
      </c>
      <c r="I46" s="46">
        <v>70906484</v>
      </c>
      <c r="J46" s="93" t="s">
        <v>16</v>
      </c>
      <c r="K46" s="94">
        <v>1.6</v>
      </c>
      <c r="L46" s="95"/>
      <c r="M46" s="30">
        <f>7661-6571</f>
        <v>1090</v>
      </c>
      <c r="N46" s="30">
        <f>29491-25640</f>
        <v>3851</v>
      </c>
      <c r="O46" s="30">
        <f t="shared" si="0"/>
        <v>4941</v>
      </c>
    </row>
    <row r="47" spans="1:15" ht="28.5">
      <c r="A47" s="306" t="s">
        <v>11</v>
      </c>
      <c r="B47" s="88" t="s">
        <v>12</v>
      </c>
      <c r="C47" s="89" t="s">
        <v>691</v>
      </c>
      <c r="D47" s="90"/>
      <c r="E47" s="91">
        <v>4</v>
      </c>
      <c r="F47" s="91" t="s">
        <v>650</v>
      </c>
      <c r="G47" s="90" t="s">
        <v>651</v>
      </c>
      <c r="H47" s="410" t="s">
        <v>692</v>
      </c>
      <c r="I47" s="46">
        <v>43687</v>
      </c>
      <c r="J47" s="93" t="s">
        <v>16</v>
      </c>
      <c r="K47" s="94">
        <v>2</v>
      </c>
      <c r="L47" s="95"/>
      <c r="M47" s="30">
        <f>2933-2426</f>
        <v>507</v>
      </c>
      <c r="N47" s="30">
        <f>6777-5978</f>
        <v>799</v>
      </c>
      <c r="O47" s="30">
        <f t="shared" si="0"/>
        <v>1306</v>
      </c>
    </row>
    <row r="48" spans="1:15" ht="28.5">
      <c r="A48" s="306" t="s">
        <v>11</v>
      </c>
      <c r="B48" s="88" t="s">
        <v>12</v>
      </c>
      <c r="C48" s="89" t="s">
        <v>691</v>
      </c>
      <c r="D48" s="90"/>
      <c r="E48" s="91">
        <v>2</v>
      </c>
      <c r="F48" s="91" t="s">
        <v>650</v>
      </c>
      <c r="G48" s="90" t="s">
        <v>651</v>
      </c>
      <c r="H48" s="410" t="s">
        <v>693</v>
      </c>
      <c r="I48" s="46">
        <v>43825</v>
      </c>
      <c r="J48" s="93" t="s">
        <v>16</v>
      </c>
      <c r="K48" s="94">
        <v>0.7</v>
      </c>
      <c r="L48" s="95"/>
      <c r="M48" s="30">
        <f>4732-3907</f>
        <v>825</v>
      </c>
      <c r="N48" s="30">
        <f>10920-9647</f>
        <v>1273</v>
      </c>
      <c r="O48" s="30">
        <f t="shared" si="0"/>
        <v>2098</v>
      </c>
    </row>
    <row r="49" spans="1:15" ht="28.5">
      <c r="A49" s="306" t="s">
        <v>11</v>
      </c>
      <c r="B49" s="88" t="s">
        <v>12</v>
      </c>
      <c r="C49" s="89" t="s">
        <v>691</v>
      </c>
      <c r="D49" s="90"/>
      <c r="E49" s="91">
        <v>3</v>
      </c>
      <c r="F49" s="91" t="s">
        <v>650</v>
      </c>
      <c r="G49" s="90" t="s">
        <v>651</v>
      </c>
      <c r="H49" s="410" t="s">
        <v>694</v>
      </c>
      <c r="I49" s="46">
        <v>34829</v>
      </c>
      <c r="J49" s="93" t="s">
        <v>16</v>
      </c>
      <c r="K49" s="94">
        <v>1</v>
      </c>
      <c r="L49" s="95"/>
      <c r="M49" s="30">
        <f>5530-4701</f>
        <v>829</v>
      </c>
      <c r="N49" s="30">
        <f>18790-16377</f>
        <v>2413</v>
      </c>
      <c r="O49" s="30">
        <f t="shared" si="0"/>
        <v>3242</v>
      </c>
    </row>
    <row r="50" spans="1:15" ht="28.5">
      <c r="A50" s="306" t="s">
        <v>11</v>
      </c>
      <c r="B50" s="88" t="s">
        <v>12</v>
      </c>
      <c r="C50" s="89" t="s">
        <v>691</v>
      </c>
      <c r="D50" s="90"/>
      <c r="E50" s="91">
        <v>1</v>
      </c>
      <c r="F50" s="91" t="s">
        <v>650</v>
      </c>
      <c r="G50" s="90" t="s">
        <v>651</v>
      </c>
      <c r="H50" s="410" t="s">
        <v>695</v>
      </c>
      <c r="I50" s="46">
        <v>43827</v>
      </c>
      <c r="J50" s="93" t="s">
        <v>16</v>
      </c>
      <c r="K50" s="94">
        <v>0.8</v>
      </c>
      <c r="L50" s="95"/>
      <c r="M50" s="30">
        <f>5097-4155</f>
        <v>942</v>
      </c>
      <c r="N50" s="30">
        <f>12315-10853</f>
        <v>1462</v>
      </c>
      <c r="O50" s="30">
        <f t="shared" si="0"/>
        <v>2404</v>
      </c>
    </row>
    <row r="51" spans="1:15" ht="28.5">
      <c r="A51" s="306" t="s">
        <v>11</v>
      </c>
      <c r="B51" s="88" t="s">
        <v>12</v>
      </c>
      <c r="C51" s="89" t="s">
        <v>673</v>
      </c>
      <c r="D51" s="90"/>
      <c r="E51" s="91">
        <v>8</v>
      </c>
      <c r="F51" s="91" t="s">
        <v>650</v>
      </c>
      <c r="G51" s="90" t="s">
        <v>651</v>
      </c>
      <c r="H51" s="410" t="s">
        <v>696</v>
      </c>
      <c r="I51" s="46">
        <v>70906693</v>
      </c>
      <c r="J51" s="93" t="s">
        <v>16</v>
      </c>
      <c r="K51" s="94">
        <v>0.6</v>
      </c>
      <c r="L51" s="95"/>
      <c r="M51" s="30">
        <f>8083-6742</f>
        <v>1341</v>
      </c>
      <c r="N51" s="30">
        <f>26836-23388</f>
        <v>3448</v>
      </c>
      <c r="O51" s="30">
        <f t="shared" si="0"/>
        <v>4789</v>
      </c>
    </row>
    <row r="52" spans="1:15" ht="28.5">
      <c r="A52" s="306" t="s">
        <v>11</v>
      </c>
      <c r="B52" s="88" t="s">
        <v>12</v>
      </c>
      <c r="C52" s="89" t="s">
        <v>673</v>
      </c>
      <c r="D52" s="90"/>
      <c r="E52" s="91">
        <v>14</v>
      </c>
      <c r="F52" s="91" t="s">
        <v>650</v>
      </c>
      <c r="G52" s="90" t="s">
        <v>651</v>
      </c>
      <c r="H52" s="410" t="s">
        <v>697</v>
      </c>
      <c r="I52" s="46">
        <v>70917107</v>
      </c>
      <c r="J52" s="93" t="s">
        <v>16</v>
      </c>
      <c r="K52" s="94">
        <v>2.3</v>
      </c>
      <c r="L52" s="95"/>
      <c r="M52" s="30">
        <f>8547-7123</f>
        <v>1424</v>
      </c>
      <c r="N52" s="30">
        <f>40418-33829</f>
        <v>6589</v>
      </c>
      <c r="O52" s="30">
        <f t="shared" si="0"/>
        <v>8013</v>
      </c>
    </row>
    <row r="53" spans="1:15" ht="28.5">
      <c r="A53" s="306" t="s">
        <v>11</v>
      </c>
      <c r="B53" s="88" t="s">
        <v>12</v>
      </c>
      <c r="C53" s="89" t="s">
        <v>698</v>
      </c>
      <c r="D53" s="90"/>
      <c r="E53" s="91">
        <v>17</v>
      </c>
      <c r="F53" s="91" t="s">
        <v>650</v>
      </c>
      <c r="G53" s="90" t="s">
        <v>651</v>
      </c>
      <c r="H53" s="410" t="s">
        <v>699</v>
      </c>
      <c r="I53" s="46">
        <v>43682</v>
      </c>
      <c r="J53" s="93" t="s">
        <v>16</v>
      </c>
      <c r="K53" s="94">
        <v>0.7</v>
      </c>
      <c r="L53" s="95"/>
      <c r="M53" s="30">
        <f>5156-4206</f>
        <v>950</v>
      </c>
      <c r="N53" s="30">
        <f>11475-10065</f>
        <v>1410</v>
      </c>
      <c r="O53" s="30">
        <f t="shared" si="0"/>
        <v>2360</v>
      </c>
    </row>
    <row r="54" spans="1:15" ht="28.5">
      <c r="A54" s="306" t="s">
        <v>11</v>
      </c>
      <c r="B54" s="88" t="s">
        <v>12</v>
      </c>
      <c r="C54" s="89" t="s">
        <v>698</v>
      </c>
      <c r="D54" s="90"/>
      <c r="E54" s="91">
        <v>2</v>
      </c>
      <c r="F54" s="91" t="s">
        <v>650</v>
      </c>
      <c r="G54" s="90" t="s">
        <v>651</v>
      </c>
      <c r="H54" s="410" t="s">
        <v>700</v>
      </c>
      <c r="I54" s="46">
        <v>70823180</v>
      </c>
      <c r="J54" s="93" t="s">
        <v>16</v>
      </c>
      <c r="K54" s="94">
        <v>0.8</v>
      </c>
      <c r="L54" s="95"/>
      <c r="M54" s="30">
        <f>5597-4770</f>
        <v>827</v>
      </c>
      <c r="N54" s="30">
        <f>17764-15593</f>
        <v>2171</v>
      </c>
      <c r="O54" s="30">
        <f t="shared" si="0"/>
        <v>2998</v>
      </c>
    </row>
    <row r="55" spans="1:15" ht="28.5">
      <c r="A55" s="306" t="s">
        <v>11</v>
      </c>
      <c r="B55" s="88" t="s">
        <v>12</v>
      </c>
      <c r="C55" s="89" t="s">
        <v>701</v>
      </c>
      <c r="D55" s="90"/>
      <c r="E55" s="91">
        <v>12</v>
      </c>
      <c r="F55" s="91" t="s">
        <v>650</v>
      </c>
      <c r="G55" s="90" t="s">
        <v>651</v>
      </c>
      <c r="H55" s="410" t="s">
        <v>702</v>
      </c>
      <c r="I55" s="46">
        <v>44863</v>
      </c>
      <c r="J55" s="93" t="s">
        <v>16</v>
      </c>
      <c r="K55" s="94">
        <v>0.6</v>
      </c>
      <c r="L55" s="95"/>
      <c r="M55" s="30">
        <f>4574-3797</f>
        <v>777</v>
      </c>
      <c r="N55" s="30">
        <f>10748-9566</f>
        <v>1182</v>
      </c>
      <c r="O55" s="30">
        <f t="shared" si="0"/>
        <v>1959</v>
      </c>
    </row>
    <row r="56" spans="1:15" ht="28.5">
      <c r="A56" s="306" t="s">
        <v>11</v>
      </c>
      <c r="B56" s="88" t="s">
        <v>12</v>
      </c>
      <c r="C56" s="89" t="s">
        <v>703</v>
      </c>
      <c r="D56" s="90"/>
      <c r="E56" s="91">
        <v>3</v>
      </c>
      <c r="F56" s="91" t="s">
        <v>650</v>
      </c>
      <c r="G56" s="90" t="s">
        <v>651</v>
      </c>
      <c r="H56" s="410" t="s">
        <v>704</v>
      </c>
      <c r="I56" s="46">
        <v>43830</v>
      </c>
      <c r="J56" s="93" t="s">
        <v>16</v>
      </c>
      <c r="K56" s="94">
        <v>0.6</v>
      </c>
      <c r="L56" s="95"/>
      <c r="M56" s="30">
        <f>4188-3495</f>
        <v>693</v>
      </c>
      <c r="N56" s="30">
        <f>9595-8584</f>
        <v>1011</v>
      </c>
      <c r="O56" s="30">
        <f t="shared" si="0"/>
        <v>1704</v>
      </c>
    </row>
    <row r="57" spans="1:15" ht="28.5">
      <c r="A57" s="306" t="s">
        <v>11</v>
      </c>
      <c r="B57" s="88" t="s">
        <v>12</v>
      </c>
      <c r="C57" s="89" t="s">
        <v>703</v>
      </c>
      <c r="D57" s="90"/>
      <c r="E57" s="91">
        <v>4</v>
      </c>
      <c r="F57" s="91" t="s">
        <v>650</v>
      </c>
      <c r="G57" s="90" t="s">
        <v>651</v>
      </c>
      <c r="H57" s="410" t="s">
        <v>705</v>
      </c>
      <c r="I57" s="46">
        <v>43826</v>
      </c>
      <c r="J57" s="93" t="s">
        <v>16</v>
      </c>
      <c r="K57" s="94">
        <v>0.6</v>
      </c>
      <c r="L57" s="95"/>
      <c r="M57" s="30">
        <f>4155-3363</f>
        <v>792</v>
      </c>
      <c r="N57" s="30">
        <f>9013-7798</f>
        <v>1215</v>
      </c>
      <c r="O57" s="30">
        <f t="shared" si="0"/>
        <v>2007</v>
      </c>
    </row>
    <row r="58" spans="1:15" ht="28.5">
      <c r="A58" s="306" t="s">
        <v>11</v>
      </c>
      <c r="B58" s="88" t="s">
        <v>12</v>
      </c>
      <c r="C58" s="89" t="s">
        <v>706</v>
      </c>
      <c r="D58" s="90"/>
      <c r="E58" s="91">
        <v>19</v>
      </c>
      <c r="F58" s="91" t="s">
        <v>650</v>
      </c>
      <c r="G58" s="90" t="s">
        <v>651</v>
      </c>
      <c r="H58" s="410" t="s">
        <v>707</v>
      </c>
      <c r="I58" s="46">
        <v>43891</v>
      </c>
      <c r="J58" s="93" t="s">
        <v>16</v>
      </c>
      <c r="K58" s="94">
        <v>0.9</v>
      </c>
      <c r="L58" s="95"/>
      <c r="M58" s="30">
        <f>7273-5933</f>
        <v>1340</v>
      </c>
      <c r="N58" s="30">
        <f>16754-14722</f>
        <v>2032</v>
      </c>
      <c r="O58" s="30">
        <f t="shared" si="0"/>
        <v>3372</v>
      </c>
    </row>
    <row r="59" spans="1:15" ht="28.5">
      <c r="A59" s="306" t="s">
        <v>11</v>
      </c>
      <c r="B59" s="88" t="s">
        <v>12</v>
      </c>
      <c r="C59" s="89" t="s">
        <v>706</v>
      </c>
      <c r="D59" s="90"/>
      <c r="E59" s="91" t="s">
        <v>1329</v>
      </c>
      <c r="F59" s="91" t="s">
        <v>650</v>
      </c>
      <c r="G59" s="90" t="s">
        <v>651</v>
      </c>
      <c r="H59" s="410" t="s">
        <v>708</v>
      </c>
      <c r="I59" s="46">
        <v>43882</v>
      </c>
      <c r="J59" s="93" t="s">
        <v>16</v>
      </c>
      <c r="K59" s="94">
        <v>0.7</v>
      </c>
      <c r="L59" s="95"/>
      <c r="M59" s="30">
        <f>4283-3381</f>
        <v>902</v>
      </c>
      <c r="N59" s="30">
        <f>9003-7797</f>
        <v>1206</v>
      </c>
      <c r="O59" s="30">
        <f t="shared" si="0"/>
        <v>2108</v>
      </c>
    </row>
    <row r="60" spans="1:15" ht="28.5">
      <c r="A60" s="306" t="s">
        <v>11</v>
      </c>
      <c r="B60" s="88" t="s">
        <v>12</v>
      </c>
      <c r="C60" s="89" t="s">
        <v>710</v>
      </c>
      <c r="D60" s="90"/>
      <c r="E60" s="91"/>
      <c r="F60" s="91" t="s">
        <v>650</v>
      </c>
      <c r="G60" s="90" t="s">
        <v>651</v>
      </c>
      <c r="H60" s="410" t="s">
        <v>709</v>
      </c>
      <c r="I60" s="46">
        <v>43887</v>
      </c>
      <c r="J60" s="93" t="s">
        <v>16</v>
      </c>
      <c r="K60" s="94">
        <v>0.9</v>
      </c>
      <c r="L60" s="95"/>
      <c r="M60" s="30">
        <f>6936-5629</f>
        <v>1307</v>
      </c>
      <c r="N60" s="30">
        <f>17708-15799</f>
        <v>1909</v>
      </c>
      <c r="O60" s="30">
        <f t="shared" si="0"/>
        <v>3216</v>
      </c>
    </row>
    <row r="61" spans="1:15" ht="28.5">
      <c r="A61" s="306" t="s">
        <v>11</v>
      </c>
      <c r="B61" s="88" t="s">
        <v>12</v>
      </c>
      <c r="C61" s="89" t="s">
        <v>710</v>
      </c>
      <c r="D61" s="90"/>
      <c r="E61" s="91">
        <v>1</v>
      </c>
      <c r="F61" s="91" t="s">
        <v>650</v>
      </c>
      <c r="G61" s="90" t="s">
        <v>651</v>
      </c>
      <c r="H61" s="410" t="s">
        <v>711</v>
      </c>
      <c r="I61" s="46">
        <v>43888</v>
      </c>
      <c r="J61" s="93" t="s">
        <v>16</v>
      </c>
      <c r="K61" s="94">
        <v>0.8</v>
      </c>
      <c r="L61" s="95"/>
      <c r="M61" s="30">
        <f>5479-4903</f>
        <v>576</v>
      </c>
      <c r="N61" s="30">
        <f>18253-16557</f>
        <v>1696</v>
      </c>
      <c r="O61" s="30">
        <f t="shared" si="0"/>
        <v>2272</v>
      </c>
    </row>
    <row r="62" spans="1:15" ht="28.5">
      <c r="A62" s="306" t="s">
        <v>11</v>
      </c>
      <c r="B62" s="88" t="s">
        <v>12</v>
      </c>
      <c r="C62" s="89" t="s">
        <v>710</v>
      </c>
      <c r="D62" s="90"/>
      <c r="E62" s="91">
        <v>2</v>
      </c>
      <c r="F62" s="91" t="s">
        <v>650</v>
      </c>
      <c r="G62" s="90" t="s">
        <v>651</v>
      </c>
      <c r="H62" s="410" t="s">
        <v>712</v>
      </c>
      <c r="I62" s="46">
        <v>43885</v>
      </c>
      <c r="J62" s="93" t="s">
        <v>16</v>
      </c>
      <c r="K62" s="94">
        <v>1.3</v>
      </c>
      <c r="L62" s="95"/>
      <c r="M62" s="30">
        <f>7739-6666</f>
        <v>1073</v>
      </c>
      <c r="N62" s="30">
        <f>25393-22763</f>
        <v>2630</v>
      </c>
      <c r="O62" s="30">
        <f t="shared" si="0"/>
        <v>3703</v>
      </c>
    </row>
    <row r="63" spans="1:15" ht="28.5">
      <c r="A63" s="306" t="s">
        <v>11</v>
      </c>
      <c r="B63" s="88" t="s">
        <v>12</v>
      </c>
      <c r="C63" s="89" t="s">
        <v>710</v>
      </c>
      <c r="D63" s="90"/>
      <c r="E63" s="91">
        <v>6</v>
      </c>
      <c r="F63" s="91" t="s">
        <v>650</v>
      </c>
      <c r="G63" s="90" t="s">
        <v>651</v>
      </c>
      <c r="H63" s="410" t="s">
        <v>713</v>
      </c>
      <c r="I63" s="46">
        <v>44864</v>
      </c>
      <c r="J63" s="93" t="s">
        <v>16</v>
      </c>
      <c r="K63" s="94">
        <v>0.2</v>
      </c>
      <c r="L63" s="95"/>
      <c r="M63" s="30">
        <f>1268-1013</f>
        <v>255</v>
      </c>
      <c r="N63" s="30">
        <f>3418-2893</f>
        <v>525</v>
      </c>
      <c r="O63" s="30">
        <f t="shared" si="0"/>
        <v>780</v>
      </c>
    </row>
    <row r="64" spans="1:15" ht="28.5">
      <c r="A64" s="306" t="s">
        <v>11</v>
      </c>
      <c r="B64" s="88" t="s">
        <v>12</v>
      </c>
      <c r="C64" s="89" t="s">
        <v>710</v>
      </c>
      <c r="D64" s="90"/>
      <c r="E64" s="91">
        <v>3</v>
      </c>
      <c r="F64" s="91" t="s">
        <v>650</v>
      </c>
      <c r="G64" s="90" t="s">
        <v>651</v>
      </c>
      <c r="H64" s="410" t="s">
        <v>714</v>
      </c>
      <c r="I64" s="46">
        <v>43688</v>
      </c>
      <c r="J64" s="93" t="s">
        <v>16</v>
      </c>
      <c r="K64" s="94">
        <v>0.2</v>
      </c>
      <c r="L64" s="95"/>
      <c r="M64" s="30">
        <f>1452-1178</f>
        <v>274</v>
      </c>
      <c r="N64" s="30">
        <f>3258-2861</f>
        <v>397</v>
      </c>
      <c r="O64" s="30">
        <f t="shared" si="0"/>
        <v>671</v>
      </c>
    </row>
    <row r="65" spans="1:15" ht="28.5">
      <c r="A65" s="306" t="s">
        <v>11</v>
      </c>
      <c r="B65" s="88" t="s">
        <v>12</v>
      </c>
      <c r="C65" s="89" t="s">
        <v>710</v>
      </c>
      <c r="D65" s="90"/>
      <c r="E65" s="91">
        <v>9</v>
      </c>
      <c r="F65" s="91" t="s">
        <v>650</v>
      </c>
      <c r="G65" s="90" t="s">
        <v>651</v>
      </c>
      <c r="H65" s="410" t="s">
        <v>715</v>
      </c>
      <c r="I65" s="46">
        <v>43889</v>
      </c>
      <c r="J65" s="93" t="s">
        <v>16</v>
      </c>
      <c r="K65" s="94">
        <v>1.1</v>
      </c>
      <c r="L65" s="95"/>
      <c r="M65" s="30">
        <f>6999-5672</f>
        <v>1327</v>
      </c>
      <c r="N65" s="30">
        <f>18338-16323</f>
        <v>2015</v>
      </c>
      <c r="O65" s="30">
        <f t="shared" si="0"/>
        <v>3342</v>
      </c>
    </row>
    <row r="66" spans="1:15" ht="28.5">
      <c r="A66" s="306" t="s">
        <v>11</v>
      </c>
      <c r="B66" s="88" t="s">
        <v>12</v>
      </c>
      <c r="C66" s="89" t="s">
        <v>710</v>
      </c>
      <c r="D66" s="90"/>
      <c r="E66" s="91">
        <v>10</v>
      </c>
      <c r="F66" s="91" t="s">
        <v>650</v>
      </c>
      <c r="G66" s="90" t="s">
        <v>651</v>
      </c>
      <c r="H66" s="410" t="s">
        <v>716</v>
      </c>
      <c r="I66" s="46">
        <v>43691</v>
      </c>
      <c r="J66" s="93" t="s">
        <v>16</v>
      </c>
      <c r="K66" s="94">
        <v>1.3</v>
      </c>
      <c r="L66" s="95"/>
      <c r="M66" s="30">
        <f>9125-7750</f>
        <v>1375</v>
      </c>
      <c r="N66" s="30">
        <f>27875-24939</f>
        <v>2936</v>
      </c>
      <c r="O66" s="30">
        <f t="shared" si="0"/>
        <v>4311</v>
      </c>
    </row>
    <row r="67" spans="1:15" ht="28.5">
      <c r="A67" s="637" t="s">
        <v>11</v>
      </c>
      <c r="B67" s="96" t="s">
        <v>12</v>
      </c>
      <c r="C67" s="97" t="s">
        <v>710</v>
      </c>
      <c r="D67" s="98"/>
      <c r="E67" s="392">
        <v>7</v>
      </c>
      <c r="F67" s="392" t="s">
        <v>650</v>
      </c>
      <c r="G67" s="98" t="s">
        <v>651</v>
      </c>
      <c r="H67" s="610" t="s">
        <v>717</v>
      </c>
      <c r="I67" s="49">
        <v>41323</v>
      </c>
      <c r="J67" s="638" t="s">
        <v>16</v>
      </c>
      <c r="K67" s="639">
        <v>0.6</v>
      </c>
      <c r="L67" s="640"/>
      <c r="M67" s="162">
        <f>9501-8136</f>
        <v>1365</v>
      </c>
      <c r="N67" s="162">
        <f>20513-19101</f>
        <v>1412</v>
      </c>
      <c r="O67" s="162">
        <f t="shared" si="0"/>
        <v>2777</v>
      </c>
    </row>
    <row r="68" spans="1:15" ht="28.5">
      <c r="A68" s="306" t="s">
        <v>11</v>
      </c>
      <c r="B68" s="88" t="s">
        <v>12</v>
      </c>
      <c r="C68" s="89" t="s">
        <v>710</v>
      </c>
      <c r="D68" s="90"/>
      <c r="E68" s="91"/>
      <c r="F68" s="91" t="s">
        <v>650</v>
      </c>
      <c r="G68" s="90" t="s">
        <v>651</v>
      </c>
      <c r="H68" s="410" t="s">
        <v>1986</v>
      </c>
      <c r="I68" s="46">
        <v>83638353</v>
      </c>
      <c r="J68" s="93" t="s">
        <v>16</v>
      </c>
      <c r="K68" s="94">
        <v>1</v>
      </c>
      <c r="L68" s="95"/>
      <c r="M68" s="30">
        <v>1000</v>
      </c>
      <c r="N68" s="30">
        <v>2000</v>
      </c>
      <c r="O68" s="30">
        <f t="shared" si="0"/>
        <v>3000</v>
      </c>
    </row>
    <row r="69" spans="1:15" ht="28.5">
      <c r="A69" s="306" t="s">
        <v>11</v>
      </c>
      <c r="B69" s="88" t="s">
        <v>12</v>
      </c>
      <c r="C69" s="89" t="s">
        <v>706</v>
      </c>
      <c r="D69" s="90"/>
      <c r="E69" s="91"/>
      <c r="F69" s="392" t="s">
        <v>650</v>
      </c>
      <c r="G69" s="98" t="s">
        <v>651</v>
      </c>
      <c r="H69" s="410" t="s">
        <v>1987</v>
      </c>
      <c r="I69" s="46">
        <v>83638248</v>
      </c>
      <c r="J69" s="93" t="s">
        <v>16</v>
      </c>
      <c r="K69" s="94">
        <v>1</v>
      </c>
      <c r="L69" s="95"/>
      <c r="M69" s="30">
        <v>1000</v>
      </c>
      <c r="N69" s="30">
        <v>2000</v>
      </c>
      <c r="O69" s="30">
        <f>SUM(M69:N69)</f>
        <v>3000</v>
      </c>
    </row>
    <row r="70" spans="1:15" ht="28.5">
      <c r="A70" s="306" t="s">
        <v>11</v>
      </c>
      <c r="B70" s="88" t="s">
        <v>12</v>
      </c>
      <c r="C70" s="89" t="s">
        <v>1988</v>
      </c>
      <c r="D70" s="90"/>
      <c r="E70" s="91"/>
      <c r="F70" s="91" t="s">
        <v>650</v>
      </c>
      <c r="G70" s="90" t="s">
        <v>651</v>
      </c>
      <c r="H70" s="410" t="s">
        <v>1989</v>
      </c>
      <c r="I70" s="46">
        <v>83991151</v>
      </c>
      <c r="J70" s="93" t="s">
        <v>16</v>
      </c>
      <c r="K70" s="94">
        <v>0.2</v>
      </c>
      <c r="L70" s="95"/>
      <c r="M70" s="30">
        <v>500</v>
      </c>
      <c r="N70" s="30">
        <v>1000</v>
      </c>
      <c r="O70" s="30">
        <f>SUM(M70:N70)</f>
        <v>1500</v>
      </c>
    </row>
    <row r="71" spans="1:15" ht="29.25" thickBot="1">
      <c r="A71" s="306" t="s">
        <v>11</v>
      </c>
      <c r="B71" s="88" t="s">
        <v>12</v>
      </c>
      <c r="C71" s="89" t="s">
        <v>691</v>
      </c>
      <c r="D71" s="90"/>
      <c r="E71" s="91"/>
      <c r="F71" s="91" t="s">
        <v>650</v>
      </c>
      <c r="G71" s="98" t="s">
        <v>651</v>
      </c>
      <c r="H71" s="410" t="s">
        <v>1990</v>
      </c>
      <c r="I71" s="46">
        <v>83991229</v>
      </c>
      <c r="J71" s="93" t="s">
        <v>16</v>
      </c>
      <c r="K71" s="94">
        <v>2.5</v>
      </c>
      <c r="L71" s="95"/>
      <c r="M71" s="30">
        <v>1000</v>
      </c>
      <c r="N71" s="30">
        <v>2000</v>
      </c>
      <c r="O71" s="30">
        <f>SUM(M71:N71)</f>
        <v>3000</v>
      </c>
    </row>
    <row r="72" spans="2:15" ht="39" customHeight="1">
      <c r="B72" s="561" t="s">
        <v>155</v>
      </c>
      <c r="C72" s="562" t="s">
        <v>718</v>
      </c>
      <c r="D72" s="99"/>
      <c r="F72" s="50"/>
      <c r="G72" s="672" t="s">
        <v>2097</v>
      </c>
      <c r="H72" s="563" t="s">
        <v>718</v>
      </c>
      <c r="M72" s="100"/>
      <c r="N72" s="55" t="s">
        <v>156</v>
      </c>
      <c r="O72" s="307">
        <f>SUM(O18:O71)</f>
        <v>179829</v>
      </c>
    </row>
    <row r="73" spans="2:8" ht="14.25">
      <c r="B73" s="564"/>
      <c r="C73" s="565" t="s">
        <v>719</v>
      </c>
      <c r="D73" s="102"/>
      <c r="F73" s="50"/>
      <c r="G73" s="301"/>
      <c r="H73" s="566" t="s">
        <v>719</v>
      </c>
    </row>
    <row r="74" spans="2:8" ht="15" thickBot="1">
      <c r="B74" s="564"/>
      <c r="C74" s="565" t="s">
        <v>1792</v>
      </c>
      <c r="D74" s="102"/>
      <c r="F74" s="50"/>
      <c r="G74" s="317"/>
      <c r="H74" s="567" t="s">
        <v>1792</v>
      </c>
    </row>
    <row r="75" spans="2:4" ht="14.25">
      <c r="B75" s="564" t="s">
        <v>1670</v>
      </c>
      <c r="C75" s="565" t="s">
        <v>1966</v>
      </c>
      <c r="D75" s="102"/>
    </row>
    <row r="76" spans="2:11" ht="15.75" thickBot="1">
      <c r="B76" s="238" t="s">
        <v>1674</v>
      </c>
      <c r="C76" s="70" t="s">
        <v>1714</v>
      </c>
      <c r="D76" s="469"/>
      <c r="I76" s="31"/>
      <c r="J76" s="31"/>
      <c r="K76" s="31"/>
    </row>
    <row r="77" spans="2:13" ht="15">
      <c r="B77" s="311"/>
      <c r="C77" s="68"/>
      <c r="D77" s="312"/>
      <c r="F77" s="31"/>
      <c r="G77" s="31"/>
      <c r="H77" s="31"/>
      <c r="I77" s="31"/>
      <c r="J77" s="31"/>
      <c r="K77" s="31"/>
      <c r="L77" s="58" t="s">
        <v>160</v>
      </c>
      <c r="M77" s="2">
        <f>O72</f>
        <v>179829</v>
      </c>
    </row>
    <row r="78" spans="2:11" ht="15.75" thickBot="1">
      <c r="B78" s="311"/>
      <c r="C78" s="68"/>
      <c r="D78" s="312"/>
      <c r="F78" s="31"/>
      <c r="G78" s="31"/>
      <c r="H78" s="31"/>
      <c r="I78" s="31"/>
      <c r="J78" s="31"/>
      <c r="K78" s="31"/>
    </row>
    <row r="79" spans="6:15" ht="44.25" customHeight="1">
      <c r="F79" s="31"/>
      <c r="G79" s="169"/>
      <c r="H79" s="169"/>
      <c r="I79" s="169"/>
      <c r="J79" s="236"/>
      <c r="K79" s="757" t="s">
        <v>157</v>
      </c>
      <c r="L79" s="706" t="s">
        <v>1034</v>
      </c>
      <c r="M79" s="707"/>
      <c r="N79" s="708"/>
      <c r="O79" s="743" t="s">
        <v>158</v>
      </c>
    </row>
    <row r="80" spans="6:15" ht="24.75" customHeight="1" thickBot="1">
      <c r="F80" s="31"/>
      <c r="G80" s="169"/>
      <c r="H80" s="232"/>
      <c r="I80" s="232"/>
      <c r="J80" s="236"/>
      <c r="K80" s="758"/>
      <c r="L80" s="128" t="s">
        <v>159</v>
      </c>
      <c r="M80" s="128" t="s">
        <v>1035</v>
      </c>
      <c r="N80" s="128" t="s">
        <v>1036</v>
      </c>
      <c r="O80" s="744"/>
    </row>
    <row r="81" spans="6:15" ht="15" thickBot="1">
      <c r="F81" s="31"/>
      <c r="G81" s="31"/>
      <c r="H81" s="154"/>
      <c r="I81" s="154"/>
      <c r="J81" s="154"/>
      <c r="K81" s="52" t="s">
        <v>16</v>
      </c>
      <c r="L81" s="54"/>
      <c r="M81" s="146">
        <f>SUM(M18:M71)</f>
        <v>54907</v>
      </c>
      <c r="N81" s="146">
        <f>SUM(N18:N71)</f>
        <v>124922</v>
      </c>
      <c r="O81" s="146">
        <v>54</v>
      </c>
    </row>
    <row r="82" spans="6:15" ht="15" thickBot="1">
      <c r="F82" s="31"/>
      <c r="G82" s="147"/>
      <c r="H82" s="154"/>
      <c r="I82" s="154"/>
      <c r="J82" s="154"/>
      <c r="K82" s="60" t="s">
        <v>160</v>
      </c>
      <c r="L82" s="144"/>
      <c r="M82" s="145">
        <f>M81</f>
        <v>54907</v>
      </c>
      <c r="N82" s="15">
        <f>N81</f>
        <v>124922</v>
      </c>
      <c r="O82" s="345">
        <f>SUM(O81)</f>
        <v>54</v>
      </c>
    </row>
    <row r="83" spans="6:15" ht="18.75" thickBot="1">
      <c r="F83" s="31"/>
      <c r="G83" s="31"/>
      <c r="H83" s="235"/>
      <c r="I83" s="154"/>
      <c r="J83" s="154"/>
      <c r="L83" s="20" t="s">
        <v>161</v>
      </c>
      <c r="M83" s="338">
        <f>M82+N82</f>
        <v>179829</v>
      </c>
      <c r="N83" s="2"/>
      <c r="O83" s="2"/>
    </row>
    <row r="84" spans="6:11" ht="14.25">
      <c r="F84" s="31"/>
      <c r="G84" s="31"/>
      <c r="H84" s="31"/>
      <c r="I84" s="31"/>
      <c r="J84" s="31"/>
      <c r="K84" s="31"/>
    </row>
    <row r="85" spans="6:11" ht="14.25">
      <c r="F85" s="31"/>
      <c r="G85" s="31"/>
      <c r="H85" s="31"/>
      <c r="I85" s="31"/>
      <c r="J85" s="31"/>
      <c r="K85" s="31"/>
    </row>
    <row r="86" spans="6:11" ht="14.25">
      <c r="F86" s="31"/>
      <c r="G86" s="31"/>
      <c r="H86" s="31"/>
      <c r="I86" s="31"/>
      <c r="J86" s="31"/>
      <c r="K86" s="31"/>
    </row>
  </sheetData>
  <sheetProtection/>
  <mergeCells count="19">
    <mergeCell ref="K79:K80"/>
    <mergeCell ref="L79:N79"/>
    <mergeCell ref="O79:O80"/>
    <mergeCell ref="B3:I3"/>
    <mergeCell ref="B5:I5"/>
    <mergeCell ref="E15:E17"/>
    <mergeCell ref="F15:F17"/>
    <mergeCell ref="G15:G17"/>
    <mergeCell ref="I15:I17"/>
    <mergeCell ref="B1:K1"/>
    <mergeCell ref="L16:O16"/>
    <mergeCell ref="J15:J17"/>
    <mergeCell ref="K15:K17"/>
    <mergeCell ref="L15:O15"/>
    <mergeCell ref="A15:A17"/>
    <mergeCell ref="B15:B17"/>
    <mergeCell ref="C15:C17"/>
    <mergeCell ref="D15:D17"/>
    <mergeCell ref="H15:H1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3"/>
  <sheetViews>
    <sheetView zoomScale="80" zoomScaleNormal="80" zoomScalePageLayoutView="0" workbookViewId="0" topLeftCell="A70">
      <selection activeCell="I84" sqref="I84"/>
    </sheetView>
  </sheetViews>
  <sheetFormatPr defaultColWidth="8.796875" defaultRowHeight="14.25"/>
  <cols>
    <col min="1" max="1" width="13.69921875" style="1" customWidth="1"/>
    <col min="2" max="2" width="12.8984375" style="0" customWidth="1"/>
    <col min="3" max="3" width="15.19921875" style="0" customWidth="1"/>
    <col min="4" max="4" width="12.3984375" style="0" customWidth="1"/>
    <col min="5" max="5" width="13.19921875" style="0" customWidth="1"/>
    <col min="6" max="6" width="11.3984375" style="0" customWidth="1"/>
    <col min="7" max="7" width="17.5" style="0" customWidth="1"/>
    <col min="8" max="8" width="27.3984375" style="0" customWidth="1"/>
    <col min="9" max="9" width="15.69921875" style="0" customWidth="1"/>
    <col min="10" max="10" width="11.19921875" style="0" customWidth="1"/>
    <col min="11" max="11" width="13.69921875" style="1" customWidth="1"/>
    <col min="12" max="12" width="14.5" style="0" customWidth="1"/>
    <col min="13" max="13" width="14.19921875" style="0" customWidth="1"/>
    <col min="14" max="14" width="17.19921875" style="0" customWidth="1"/>
    <col min="15" max="15" width="17.09765625" style="0" customWidth="1"/>
    <col min="16" max="16" width="15" style="0" customWidth="1"/>
    <col min="17" max="17" width="15.3984375" style="0" customWidth="1"/>
    <col min="18" max="18" width="15.59765625" style="0" customWidth="1"/>
    <col min="19" max="19" width="22" style="0" customWidth="1"/>
    <col min="20" max="20" width="21.8984375" style="0" customWidth="1"/>
    <col min="21" max="21" width="20.69921875" style="0" customWidth="1"/>
  </cols>
  <sheetData>
    <row r="1" spans="1:11" ht="18">
      <c r="A1"/>
      <c r="B1" s="726" t="s">
        <v>1736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1:11" ht="15">
      <c r="A2"/>
      <c r="B2" s="220"/>
      <c r="C2" s="220"/>
      <c r="D2" s="220"/>
      <c r="E2" s="220"/>
      <c r="F2" s="220"/>
      <c r="G2" s="220"/>
      <c r="H2" s="222"/>
      <c r="I2" s="220"/>
      <c r="J2" s="220"/>
      <c r="K2" s="222"/>
    </row>
    <row r="3" spans="1:11" ht="27" customHeight="1">
      <c r="A3"/>
      <c r="B3" s="740" t="s">
        <v>1050</v>
      </c>
      <c r="C3" s="741"/>
      <c r="D3" s="741"/>
      <c r="E3" s="741"/>
      <c r="F3" s="741"/>
      <c r="G3" s="741"/>
      <c r="H3" s="741"/>
      <c r="I3" s="742"/>
      <c r="J3" s="220"/>
      <c r="K3" s="222"/>
    </row>
    <row r="4" spans="1:11" ht="15">
      <c r="A4"/>
      <c r="B4" s="221"/>
      <c r="C4" s="221"/>
      <c r="D4" s="221"/>
      <c r="E4" s="221"/>
      <c r="F4" s="221"/>
      <c r="G4" s="221"/>
      <c r="H4" s="222"/>
      <c r="I4" s="220"/>
      <c r="J4" s="220"/>
      <c r="K4" s="220"/>
    </row>
    <row r="5" spans="1:11" ht="23.25" customHeight="1">
      <c r="A5"/>
      <c r="B5" s="736" t="s">
        <v>1029</v>
      </c>
      <c r="C5" s="736"/>
      <c r="D5" s="736"/>
      <c r="E5" s="736"/>
      <c r="F5" s="736"/>
      <c r="G5" s="736"/>
      <c r="H5" s="736"/>
      <c r="I5" s="736"/>
      <c r="J5" s="220"/>
      <c r="K5" s="220"/>
    </row>
    <row r="6" spans="1:11" ht="15">
      <c r="A6"/>
      <c r="B6" s="221"/>
      <c r="C6" s="221"/>
      <c r="D6" s="221"/>
      <c r="E6" s="221"/>
      <c r="F6" s="221"/>
      <c r="G6" s="221"/>
      <c r="H6" s="222"/>
      <c r="I6" s="220"/>
      <c r="J6" s="220"/>
      <c r="K6" s="220"/>
    </row>
    <row r="7" spans="1:11" ht="15.75">
      <c r="A7"/>
      <c r="B7" s="502" t="s">
        <v>967</v>
      </c>
      <c r="C7" s="220"/>
      <c r="D7" s="221"/>
      <c r="E7" s="221"/>
      <c r="F7" s="221"/>
      <c r="G7" s="220"/>
      <c r="H7" s="222"/>
      <c r="I7" s="220"/>
      <c r="J7" s="220"/>
      <c r="K7" s="220"/>
    </row>
    <row r="8" spans="1:11" ht="15.75">
      <c r="A8"/>
      <c r="B8" s="502" t="s">
        <v>2098</v>
      </c>
      <c r="C8" s="220"/>
      <c r="D8" s="221"/>
      <c r="E8" s="221"/>
      <c r="F8" s="221"/>
      <c r="G8" s="220"/>
      <c r="H8" s="222"/>
      <c r="I8" s="220"/>
      <c r="J8" s="220"/>
      <c r="K8" s="220"/>
    </row>
    <row r="9" spans="1:11" ht="15.75">
      <c r="A9"/>
      <c r="B9" s="224" t="s">
        <v>2087</v>
      </c>
      <c r="C9" s="220"/>
      <c r="D9" s="225"/>
      <c r="E9" s="221"/>
      <c r="F9" s="221"/>
      <c r="G9" s="220"/>
      <c r="H9" s="222"/>
      <c r="I9" s="220"/>
      <c r="J9" s="220"/>
      <c r="K9" s="220"/>
    </row>
    <row r="10" spans="1:11" ht="15.75">
      <c r="A10"/>
      <c r="B10" s="224" t="s">
        <v>1663</v>
      </c>
      <c r="C10" s="220"/>
      <c r="D10" s="225"/>
      <c r="E10" s="221"/>
      <c r="F10" s="221"/>
      <c r="G10" s="220"/>
      <c r="H10" s="222"/>
      <c r="I10" s="220"/>
      <c r="J10" s="220"/>
      <c r="K10" s="220"/>
    </row>
    <row r="11" spans="1:11" ht="15">
      <c r="A11"/>
      <c r="B11" s="220" t="s">
        <v>1665</v>
      </c>
      <c r="C11" s="220"/>
      <c r="D11" s="220"/>
      <c r="E11" s="220"/>
      <c r="F11" s="220"/>
      <c r="G11" s="220"/>
      <c r="H11" s="222"/>
      <c r="I11" s="220"/>
      <c r="J11" s="220"/>
      <c r="K11" s="220"/>
    </row>
    <row r="12" spans="1:11" ht="15">
      <c r="A12"/>
      <c r="B12" s="220"/>
      <c r="C12" s="220"/>
      <c r="D12" s="220"/>
      <c r="E12" s="220"/>
      <c r="F12" s="220"/>
      <c r="G12" s="220"/>
      <c r="H12" s="222"/>
      <c r="I12" s="220"/>
      <c r="J12" s="220"/>
      <c r="K12" s="220"/>
    </row>
    <row r="13" spans="1:11" ht="15.75">
      <c r="A13"/>
      <c r="B13" s="226" t="s">
        <v>1032</v>
      </c>
      <c r="C13" s="223" t="s">
        <v>1033</v>
      </c>
      <c r="D13" s="225"/>
      <c r="E13" s="225"/>
      <c r="F13" s="225"/>
      <c r="G13" s="225"/>
      <c r="H13" s="624"/>
      <c r="I13" s="220"/>
      <c r="J13" s="220"/>
      <c r="K13" s="220"/>
    </row>
    <row r="14" spans="1:11" ht="15" thickBot="1">
      <c r="A14" s="86"/>
      <c r="B14" s="86"/>
      <c r="C14" s="31"/>
      <c r="D14" s="31"/>
      <c r="E14" s="31"/>
      <c r="F14" s="31"/>
      <c r="G14" s="31"/>
      <c r="H14" s="31"/>
      <c r="I14" s="31"/>
      <c r="K14"/>
    </row>
    <row r="15" spans="1:15" ht="51.75" customHeight="1">
      <c r="A15" s="765" t="s">
        <v>0</v>
      </c>
      <c r="B15" s="768" t="s">
        <v>993</v>
      </c>
      <c r="C15" s="768" t="s">
        <v>2</v>
      </c>
      <c r="D15" s="768" t="s">
        <v>3</v>
      </c>
      <c r="E15" s="762" t="s">
        <v>1038</v>
      </c>
      <c r="F15" s="762" t="s">
        <v>5</v>
      </c>
      <c r="G15" s="768" t="s">
        <v>6</v>
      </c>
      <c r="H15" s="762" t="s">
        <v>7</v>
      </c>
      <c r="I15" s="762" t="s">
        <v>753</v>
      </c>
      <c r="J15" s="762" t="s">
        <v>157</v>
      </c>
      <c r="K15" s="759" t="s">
        <v>992</v>
      </c>
      <c r="L15" s="776" t="s">
        <v>1039</v>
      </c>
      <c r="M15" s="777"/>
      <c r="N15" s="777"/>
      <c r="O15" s="778"/>
    </row>
    <row r="16" spans="1:15" ht="40.5" customHeight="1">
      <c r="A16" s="766"/>
      <c r="B16" s="769"/>
      <c r="C16" s="769"/>
      <c r="D16" s="769"/>
      <c r="E16" s="763"/>
      <c r="F16" s="763"/>
      <c r="G16" s="769"/>
      <c r="H16" s="763"/>
      <c r="I16" s="763"/>
      <c r="J16" s="763"/>
      <c r="K16" s="760"/>
      <c r="L16" s="773" t="s">
        <v>1040</v>
      </c>
      <c r="M16" s="774"/>
      <c r="N16" s="774"/>
      <c r="O16" s="775"/>
    </row>
    <row r="17" spans="1:15" ht="36.75" customHeight="1" thickBot="1">
      <c r="A17" s="767"/>
      <c r="B17" s="770"/>
      <c r="C17" s="770"/>
      <c r="D17" s="770"/>
      <c r="E17" s="764"/>
      <c r="F17" s="764"/>
      <c r="G17" s="770"/>
      <c r="H17" s="764"/>
      <c r="I17" s="764"/>
      <c r="J17" s="764"/>
      <c r="K17" s="761"/>
      <c r="L17" s="170" t="s">
        <v>1041</v>
      </c>
      <c r="M17" s="171" t="s">
        <v>1035</v>
      </c>
      <c r="N17" s="171" t="s">
        <v>1036</v>
      </c>
      <c r="O17" s="172" t="s">
        <v>10</v>
      </c>
    </row>
    <row r="18" spans="1:15" ht="29.25">
      <c r="A18" s="296" t="s">
        <v>11</v>
      </c>
      <c r="B18" s="250" t="s">
        <v>162</v>
      </c>
      <c r="C18" s="250" t="s">
        <v>720</v>
      </c>
      <c r="D18" s="174"/>
      <c r="E18" s="250">
        <v>1</v>
      </c>
      <c r="F18" s="250" t="s">
        <v>721</v>
      </c>
      <c r="G18" s="174" t="s">
        <v>722</v>
      </c>
      <c r="H18" s="448" t="s">
        <v>1477</v>
      </c>
      <c r="I18" s="253">
        <v>41032</v>
      </c>
      <c r="J18" s="251" t="s">
        <v>16</v>
      </c>
      <c r="K18" s="250">
        <v>1.7</v>
      </c>
      <c r="L18" s="243"/>
      <c r="M18" s="174">
        <f>6832-5898</f>
        <v>934</v>
      </c>
      <c r="N18" s="174">
        <f>21366-18231</f>
        <v>3135</v>
      </c>
      <c r="O18" s="103">
        <f aca="true" t="shared" si="0" ref="O18:O49">SUM(M18:N18)</f>
        <v>4069</v>
      </c>
    </row>
    <row r="19" spans="1:15" ht="29.25">
      <c r="A19" s="296" t="s">
        <v>11</v>
      </c>
      <c r="B19" s="250" t="s">
        <v>162</v>
      </c>
      <c r="C19" s="250" t="s">
        <v>720</v>
      </c>
      <c r="D19" s="174"/>
      <c r="E19" s="250">
        <v>2</v>
      </c>
      <c r="F19" s="250" t="s">
        <v>721</v>
      </c>
      <c r="G19" s="174" t="s">
        <v>722</v>
      </c>
      <c r="H19" s="448" t="s">
        <v>1478</v>
      </c>
      <c r="I19" s="253">
        <v>41202</v>
      </c>
      <c r="J19" s="251" t="s">
        <v>16</v>
      </c>
      <c r="K19" s="250">
        <v>2.2</v>
      </c>
      <c r="L19" s="243"/>
      <c r="M19" s="174">
        <f>3551-3019</f>
        <v>532</v>
      </c>
      <c r="N19" s="174">
        <f>11093-9352</f>
        <v>1741</v>
      </c>
      <c r="O19" s="103">
        <f t="shared" si="0"/>
        <v>2273</v>
      </c>
    </row>
    <row r="20" spans="1:15" ht="29.25">
      <c r="A20" s="296" t="s">
        <v>11</v>
      </c>
      <c r="B20" s="250" t="s">
        <v>162</v>
      </c>
      <c r="C20" s="250" t="s">
        <v>1479</v>
      </c>
      <c r="D20" s="174"/>
      <c r="E20" s="250">
        <v>1</v>
      </c>
      <c r="F20" s="250" t="s">
        <v>721</v>
      </c>
      <c r="G20" s="174" t="s">
        <v>722</v>
      </c>
      <c r="H20" s="448" t="s">
        <v>1480</v>
      </c>
      <c r="I20" s="253">
        <v>37113</v>
      </c>
      <c r="J20" s="251" t="s">
        <v>16</v>
      </c>
      <c r="K20" s="250">
        <v>6.6</v>
      </c>
      <c r="L20" s="243"/>
      <c r="M20" s="174">
        <f>6257-5313</f>
        <v>944</v>
      </c>
      <c r="N20" s="174">
        <f>27054-23178</f>
        <v>3876</v>
      </c>
      <c r="O20" s="103">
        <f t="shared" si="0"/>
        <v>4820</v>
      </c>
    </row>
    <row r="21" spans="1:15" ht="29.25">
      <c r="A21" s="296" t="s">
        <v>11</v>
      </c>
      <c r="B21" s="250" t="s">
        <v>162</v>
      </c>
      <c r="C21" s="250" t="s">
        <v>1479</v>
      </c>
      <c r="D21" s="174"/>
      <c r="E21" s="250"/>
      <c r="F21" s="250" t="s">
        <v>721</v>
      </c>
      <c r="G21" s="174" t="s">
        <v>722</v>
      </c>
      <c r="H21" s="448" t="s">
        <v>1468</v>
      </c>
      <c r="I21" s="253">
        <v>3516161</v>
      </c>
      <c r="J21" s="251" t="s">
        <v>16</v>
      </c>
      <c r="K21" s="250">
        <v>6.6</v>
      </c>
      <c r="L21" s="243"/>
      <c r="M21" s="174">
        <f>4020-1994</f>
        <v>2026</v>
      </c>
      <c r="N21" s="174">
        <f>18364-9175</f>
        <v>9189</v>
      </c>
      <c r="O21" s="103">
        <f t="shared" si="0"/>
        <v>11215</v>
      </c>
    </row>
    <row r="22" spans="1:15" ht="29.25">
      <c r="A22" s="296" t="s">
        <v>11</v>
      </c>
      <c r="B22" s="250" t="s">
        <v>162</v>
      </c>
      <c r="C22" s="250" t="s">
        <v>1467</v>
      </c>
      <c r="D22" s="174"/>
      <c r="E22" s="250">
        <v>180</v>
      </c>
      <c r="F22" s="250" t="s">
        <v>721</v>
      </c>
      <c r="G22" s="174" t="s">
        <v>722</v>
      </c>
      <c r="H22" s="448" t="s">
        <v>1469</v>
      </c>
      <c r="I22" s="253">
        <v>4138249</v>
      </c>
      <c r="J22" s="251" t="s">
        <v>16</v>
      </c>
      <c r="K22" s="250">
        <v>6.6</v>
      </c>
      <c r="L22" s="243"/>
      <c r="M22" s="174">
        <f>2581-2019</f>
        <v>562</v>
      </c>
      <c r="N22" s="174">
        <f>11043-8598</f>
        <v>2445</v>
      </c>
      <c r="O22" s="103">
        <f t="shared" si="0"/>
        <v>3007</v>
      </c>
    </row>
    <row r="23" spans="1:15" ht="29.25">
      <c r="A23" s="296" t="s">
        <v>11</v>
      </c>
      <c r="B23" s="250" t="s">
        <v>162</v>
      </c>
      <c r="C23" s="250" t="s">
        <v>1481</v>
      </c>
      <c r="D23" s="174"/>
      <c r="E23" s="250" t="s">
        <v>723</v>
      </c>
      <c r="F23" s="250" t="s">
        <v>721</v>
      </c>
      <c r="G23" s="174" t="s">
        <v>722</v>
      </c>
      <c r="H23" s="448" t="s">
        <v>1482</v>
      </c>
      <c r="I23" s="253">
        <v>37106</v>
      </c>
      <c r="J23" s="251" t="s">
        <v>16</v>
      </c>
      <c r="K23" s="250">
        <v>6.6</v>
      </c>
      <c r="L23" s="243"/>
      <c r="M23" s="174">
        <f>6889-5870</f>
        <v>1019</v>
      </c>
      <c r="N23" s="174">
        <f>29477-25286</f>
        <v>4191</v>
      </c>
      <c r="O23" s="103">
        <f t="shared" si="0"/>
        <v>5210</v>
      </c>
    </row>
    <row r="24" spans="1:15" ht="29.25">
      <c r="A24" s="296" t="s">
        <v>11</v>
      </c>
      <c r="B24" s="250" t="s">
        <v>162</v>
      </c>
      <c r="C24" s="250" t="s">
        <v>1481</v>
      </c>
      <c r="D24" s="174"/>
      <c r="E24" s="250">
        <v>154</v>
      </c>
      <c r="F24" s="250" t="s">
        <v>721</v>
      </c>
      <c r="G24" s="174" t="s">
        <v>722</v>
      </c>
      <c r="H24" s="448" t="s">
        <v>1483</v>
      </c>
      <c r="I24" s="253">
        <v>37104</v>
      </c>
      <c r="J24" s="251" t="s">
        <v>16</v>
      </c>
      <c r="K24" s="250">
        <v>2.5</v>
      </c>
      <c r="L24" s="243"/>
      <c r="M24" s="174">
        <f>5059-4298</f>
        <v>761</v>
      </c>
      <c r="N24" s="174">
        <f>22761-19564</f>
        <v>3197</v>
      </c>
      <c r="O24" s="103">
        <f t="shared" si="0"/>
        <v>3958</v>
      </c>
    </row>
    <row r="25" spans="1:15" ht="29.25">
      <c r="A25" s="296" t="s">
        <v>11</v>
      </c>
      <c r="B25" s="250" t="s">
        <v>162</v>
      </c>
      <c r="C25" s="250" t="s">
        <v>724</v>
      </c>
      <c r="D25" s="174"/>
      <c r="E25" s="250"/>
      <c r="F25" s="250" t="s">
        <v>721</v>
      </c>
      <c r="G25" s="174" t="s">
        <v>722</v>
      </c>
      <c r="H25" s="448" t="s">
        <v>1484</v>
      </c>
      <c r="I25" s="253">
        <v>1000913</v>
      </c>
      <c r="J25" s="251" t="s">
        <v>16</v>
      </c>
      <c r="K25" s="250">
        <v>2.2</v>
      </c>
      <c r="L25" s="243"/>
      <c r="M25" s="174">
        <f>4266-3585</f>
        <v>681</v>
      </c>
      <c r="N25" s="174">
        <f>18320-15482</f>
        <v>2838</v>
      </c>
      <c r="O25" s="103">
        <f t="shared" si="0"/>
        <v>3519</v>
      </c>
    </row>
    <row r="26" spans="1:15" ht="28.5" customHeight="1">
      <c r="A26" s="296" t="s">
        <v>11</v>
      </c>
      <c r="B26" s="250" t="s">
        <v>162</v>
      </c>
      <c r="C26" s="250" t="s">
        <v>1472</v>
      </c>
      <c r="D26" s="174"/>
      <c r="E26" s="250"/>
      <c r="F26" s="250" t="s">
        <v>721</v>
      </c>
      <c r="G26" s="174" t="s">
        <v>722</v>
      </c>
      <c r="H26" s="448" t="s">
        <v>1485</v>
      </c>
      <c r="I26" s="253">
        <v>41321</v>
      </c>
      <c r="J26" s="251" t="s">
        <v>16</v>
      </c>
      <c r="K26" s="250">
        <v>2.4</v>
      </c>
      <c r="L26" s="243"/>
      <c r="M26" s="174">
        <f>5392-4597</f>
        <v>795</v>
      </c>
      <c r="N26" s="174">
        <f>16952-14244</f>
        <v>2708</v>
      </c>
      <c r="O26" s="103">
        <f t="shared" si="0"/>
        <v>3503</v>
      </c>
    </row>
    <row r="27" spans="1:15" ht="29.25">
      <c r="A27" s="296" t="s">
        <v>11</v>
      </c>
      <c r="B27" s="250" t="s">
        <v>162</v>
      </c>
      <c r="C27" s="250" t="s">
        <v>725</v>
      </c>
      <c r="D27" s="174"/>
      <c r="E27" s="250"/>
      <c r="F27" s="250" t="s">
        <v>721</v>
      </c>
      <c r="G27" s="174" t="s">
        <v>722</v>
      </c>
      <c r="H27" s="448" t="s">
        <v>1471</v>
      </c>
      <c r="I27" s="253">
        <v>1001828</v>
      </c>
      <c r="J27" s="251" t="s">
        <v>16</v>
      </c>
      <c r="K27" s="318">
        <v>2</v>
      </c>
      <c r="L27" s="243"/>
      <c r="M27" s="174">
        <f>9852-8104</f>
        <v>1748</v>
      </c>
      <c r="N27" s="174">
        <f>42596-35146</f>
        <v>7450</v>
      </c>
      <c r="O27" s="103">
        <f t="shared" si="0"/>
        <v>9198</v>
      </c>
    </row>
    <row r="28" spans="1:15" ht="29.25">
      <c r="A28" s="296" t="s">
        <v>11</v>
      </c>
      <c r="B28" s="250" t="s">
        <v>162</v>
      </c>
      <c r="C28" s="250" t="s">
        <v>1472</v>
      </c>
      <c r="D28" s="174"/>
      <c r="E28" s="250"/>
      <c r="F28" s="250" t="s">
        <v>721</v>
      </c>
      <c r="G28" s="174" t="s">
        <v>722</v>
      </c>
      <c r="H28" s="448" t="s">
        <v>1473</v>
      </c>
      <c r="I28" s="253">
        <v>1000900</v>
      </c>
      <c r="J28" s="251" t="s">
        <v>16</v>
      </c>
      <c r="K28" s="250">
        <v>1.1</v>
      </c>
      <c r="L28" s="243"/>
      <c r="M28" s="174">
        <f>6124-5012</f>
        <v>1112</v>
      </c>
      <c r="N28" s="174">
        <f>26518-21846</f>
        <v>4672</v>
      </c>
      <c r="O28" s="103">
        <f t="shared" si="0"/>
        <v>5784</v>
      </c>
    </row>
    <row r="29" spans="1:15" ht="29.25">
      <c r="A29" s="296" t="s">
        <v>11</v>
      </c>
      <c r="B29" s="250" t="s">
        <v>162</v>
      </c>
      <c r="C29" s="250" t="s">
        <v>726</v>
      </c>
      <c r="D29" s="174"/>
      <c r="E29" s="250"/>
      <c r="F29" s="250" t="s">
        <v>721</v>
      </c>
      <c r="G29" s="174" t="s">
        <v>722</v>
      </c>
      <c r="H29" s="448" t="s">
        <v>1474</v>
      </c>
      <c r="I29" s="253">
        <v>1001207</v>
      </c>
      <c r="J29" s="251" t="s">
        <v>16</v>
      </c>
      <c r="K29" s="250">
        <v>2.2</v>
      </c>
      <c r="L29" s="243"/>
      <c r="M29" s="174">
        <f>(3003-2538)-73</f>
        <v>392</v>
      </c>
      <c r="N29" s="174">
        <f>(13182-11190)-145</f>
        <v>1847</v>
      </c>
      <c r="O29" s="103">
        <f t="shared" si="0"/>
        <v>2239</v>
      </c>
    </row>
    <row r="30" spans="1:15" ht="29.25">
      <c r="A30" s="296" t="s">
        <v>11</v>
      </c>
      <c r="B30" s="250" t="s">
        <v>162</v>
      </c>
      <c r="C30" s="250" t="s">
        <v>726</v>
      </c>
      <c r="D30" s="174"/>
      <c r="E30" s="250">
        <v>1</v>
      </c>
      <c r="F30" s="250" t="s">
        <v>721</v>
      </c>
      <c r="G30" s="174" t="s">
        <v>722</v>
      </c>
      <c r="H30" s="448" t="s">
        <v>1475</v>
      </c>
      <c r="I30" s="253">
        <v>1000638</v>
      </c>
      <c r="J30" s="251" t="s">
        <v>16</v>
      </c>
      <c r="K30" s="250">
        <v>2.2</v>
      </c>
      <c r="L30" s="243"/>
      <c r="M30" s="174">
        <f>(6848-5823)-(72+147+48)</f>
        <v>758</v>
      </c>
      <c r="N30" s="174">
        <f>(29539-26329)-(305+290+706)</f>
        <v>1909</v>
      </c>
      <c r="O30" s="103">
        <f t="shared" si="0"/>
        <v>2667</v>
      </c>
    </row>
    <row r="31" spans="1:15" ht="29.25">
      <c r="A31" s="296" t="s">
        <v>11</v>
      </c>
      <c r="B31" s="250" t="s">
        <v>162</v>
      </c>
      <c r="C31" s="250" t="s">
        <v>726</v>
      </c>
      <c r="D31" s="174"/>
      <c r="E31" s="250">
        <v>4</v>
      </c>
      <c r="F31" s="250" t="s">
        <v>721</v>
      </c>
      <c r="G31" s="174" t="s">
        <v>722</v>
      </c>
      <c r="H31" s="448" t="s">
        <v>1476</v>
      </c>
      <c r="I31" s="253">
        <v>1001836</v>
      </c>
      <c r="J31" s="251" t="s">
        <v>16</v>
      </c>
      <c r="K31" s="250">
        <v>2.2</v>
      </c>
      <c r="L31" s="243"/>
      <c r="M31" s="174">
        <f>6736-5737</f>
        <v>999</v>
      </c>
      <c r="N31" s="174">
        <f>29910-25587</f>
        <v>4323</v>
      </c>
      <c r="O31" s="103">
        <f t="shared" si="0"/>
        <v>5322</v>
      </c>
    </row>
    <row r="32" spans="1:15" ht="29.25">
      <c r="A32" s="296" t="s">
        <v>11</v>
      </c>
      <c r="B32" s="250" t="s">
        <v>162</v>
      </c>
      <c r="C32" s="250" t="s">
        <v>726</v>
      </c>
      <c r="D32" s="174"/>
      <c r="E32" s="250">
        <v>3</v>
      </c>
      <c r="F32" s="250" t="s">
        <v>721</v>
      </c>
      <c r="G32" s="174" t="s">
        <v>722</v>
      </c>
      <c r="H32" s="448" t="s">
        <v>1487</v>
      </c>
      <c r="I32" s="253">
        <v>1000896</v>
      </c>
      <c r="J32" s="251" t="s">
        <v>16</v>
      </c>
      <c r="K32" s="250">
        <v>2.2</v>
      </c>
      <c r="L32" s="243"/>
      <c r="M32" s="174">
        <f>3381-2884</f>
        <v>497</v>
      </c>
      <c r="N32" s="174">
        <f>14608-12590</f>
        <v>2018</v>
      </c>
      <c r="O32" s="103">
        <f t="shared" si="0"/>
        <v>2515</v>
      </c>
    </row>
    <row r="33" spans="1:15" ht="29.25">
      <c r="A33" s="296" t="s">
        <v>11</v>
      </c>
      <c r="B33" s="250" t="s">
        <v>162</v>
      </c>
      <c r="C33" s="250" t="s">
        <v>727</v>
      </c>
      <c r="D33" s="174"/>
      <c r="E33" s="250"/>
      <c r="F33" s="250" t="s">
        <v>721</v>
      </c>
      <c r="G33" s="174" t="s">
        <v>722</v>
      </c>
      <c r="H33" s="448" t="s">
        <v>1488</v>
      </c>
      <c r="I33" s="253">
        <v>1000630</v>
      </c>
      <c r="J33" s="251" t="s">
        <v>16</v>
      </c>
      <c r="K33" s="250">
        <v>2.2</v>
      </c>
      <c r="L33" s="243"/>
      <c r="M33" s="174">
        <f>(5173-4793)-(114+124+101+36)</f>
        <v>5</v>
      </c>
      <c r="N33" s="174">
        <f>(23458-21263)-(226+317+306+295)</f>
        <v>1051</v>
      </c>
      <c r="O33" s="103">
        <f t="shared" si="0"/>
        <v>1056</v>
      </c>
    </row>
    <row r="34" spans="1:15" ht="29.25">
      <c r="A34" s="296" t="s">
        <v>11</v>
      </c>
      <c r="B34" s="250" t="s">
        <v>162</v>
      </c>
      <c r="C34" s="250" t="s">
        <v>728</v>
      </c>
      <c r="D34" s="174"/>
      <c r="E34" s="250"/>
      <c r="F34" s="250" t="s">
        <v>721</v>
      </c>
      <c r="G34" s="174" t="s">
        <v>722</v>
      </c>
      <c r="H34" s="448" t="s">
        <v>1489</v>
      </c>
      <c r="I34" s="253">
        <v>1001219</v>
      </c>
      <c r="J34" s="251" t="s">
        <v>16</v>
      </c>
      <c r="K34" s="250">
        <v>2.2</v>
      </c>
      <c r="L34" s="243"/>
      <c r="M34" s="174">
        <f>(6551-5542)-141</f>
        <v>868</v>
      </c>
      <c r="N34" s="174">
        <f>(28246-24046)-278</f>
        <v>3922</v>
      </c>
      <c r="O34" s="103">
        <f t="shared" si="0"/>
        <v>4790</v>
      </c>
    </row>
    <row r="35" spans="1:15" ht="29.25">
      <c r="A35" s="296" t="s">
        <v>11</v>
      </c>
      <c r="B35" s="250" t="s">
        <v>162</v>
      </c>
      <c r="C35" s="250" t="s">
        <v>729</v>
      </c>
      <c r="D35" s="174"/>
      <c r="E35" s="250">
        <v>207</v>
      </c>
      <c r="F35" s="250" t="s">
        <v>721</v>
      </c>
      <c r="G35" s="174" t="s">
        <v>722</v>
      </c>
      <c r="H35" s="448" t="s">
        <v>1490</v>
      </c>
      <c r="I35" s="253">
        <v>41207</v>
      </c>
      <c r="J35" s="251" t="s">
        <v>16</v>
      </c>
      <c r="K35" s="250">
        <v>2.2</v>
      </c>
      <c r="L35" s="243"/>
      <c r="M35" s="174">
        <f>5476-4671</f>
        <v>805</v>
      </c>
      <c r="N35" s="174">
        <f>17517-14671</f>
        <v>2846</v>
      </c>
      <c r="O35" s="103">
        <f t="shared" si="0"/>
        <v>3651</v>
      </c>
    </row>
    <row r="36" spans="1:15" ht="29.25">
      <c r="A36" s="296" t="s">
        <v>11</v>
      </c>
      <c r="B36" s="250" t="s">
        <v>162</v>
      </c>
      <c r="C36" s="250" t="s">
        <v>730</v>
      </c>
      <c r="D36" s="174"/>
      <c r="E36" s="250"/>
      <c r="F36" s="250" t="s">
        <v>721</v>
      </c>
      <c r="G36" s="174" t="s">
        <v>722</v>
      </c>
      <c r="H36" s="448" t="s">
        <v>1491</v>
      </c>
      <c r="I36" s="253">
        <v>41204</v>
      </c>
      <c r="J36" s="251" t="s">
        <v>16</v>
      </c>
      <c r="K36" s="250">
        <v>2.2</v>
      </c>
      <c r="L36" s="243"/>
      <c r="M36" s="174">
        <f>6608-5712</f>
        <v>896</v>
      </c>
      <c r="N36" s="174">
        <f>20652-17658</f>
        <v>2994</v>
      </c>
      <c r="O36" s="103">
        <f t="shared" si="0"/>
        <v>3890</v>
      </c>
    </row>
    <row r="37" spans="1:15" ht="29.25">
      <c r="A37" s="296" t="s">
        <v>11</v>
      </c>
      <c r="B37" s="250" t="s">
        <v>162</v>
      </c>
      <c r="C37" s="250" t="s">
        <v>731</v>
      </c>
      <c r="D37" s="174"/>
      <c r="E37" s="250"/>
      <c r="F37" s="250" t="s">
        <v>721</v>
      </c>
      <c r="G37" s="174" t="s">
        <v>722</v>
      </c>
      <c r="H37" s="448" t="s">
        <v>1492</v>
      </c>
      <c r="I37" s="253">
        <v>41206</v>
      </c>
      <c r="J37" s="251" t="s">
        <v>16</v>
      </c>
      <c r="K37" s="250">
        <v>2.2</v>
      </c>
      <c r="L37" s="243"/>
      <c r="M37" s="174">
        <f>7156-6156</f>
        <v>1000</v>
      </c>
      <c r="N37" s="174">
        <f>22708-19060</f>
        <v>3648</v>
      </c>
      <c r="O37" s="103">
        <f t="shared" si="0"/>
        <v>4648</v>
      </c>
    </row>
    <row r="38" spans="1:15" ht="29.25">
      <c r="A38" s="296" t="s">
        <v>11</v>
      </c>
      <c r="B38" s="250" t="s">
        <v>162</v>
      </c>
      <c r="C38" s="250" t="s">
        <v>732</v>
      </c>
      <c r="D38" s="174"/>
      <c r="E38" s="250"/>
      <c r="F38" s="250" t="s">
        <v>721</v>
      </c>
      <c r="G38" s="174" t="s">
        <v>722</v>
      </c>
      <c r="H38" s="448" t="s">
        <v>1493</v>
      </c>
      <c r="I38" s="253">
        <v>37200</v>
      </c>
      <c r="J38" s="251" t="s">
        <v>16</v>
      </c>
      <c r="K38" s="250">
        <v>6.6</v>
      </c>
      <c r="L38" s="243"/>
      <c r="M38" s="174">
        <f>4207-3446</f>
        <v>761</v>
      </c>
      <c r="N38" s="174">
        <f>20124-16617</f>
        <v>3507</v>
      </c>
      <c r="O38" s="103">
        <f t="shared" si="0"/>
        <v>4268</v>
      </c>
    </row>
    <row r="39" spans="1:15" ht="29.25">
      <c r="A39" s="296" t="s">
        <v>11</v>
      </c>
      <c r="B39" s="250" t="s">
        <v>162</v>
      </c>
      <c r="C39" s="248" t="s">
        <v>722</v>
      </c>
      <c r="D39" s="250" t="s">
        <v>1494</v>
      </c>
      <c r="E39" s="250"/>
      <c r="F39" s="250" t="s">
        <v>721</v>
      </c>
      <c r="G39" s="174" t="s">
        <v>722</v>
      </c>
      <c r="H39" s="448" t="s">
        <v>1495</v>
      </c>
      <c r="I39" s="253">
        <v>41143</v>
      </c>
      <c r="J39" s="251" t="s">
        <v>16</v>
      </c>
      <c r="K39" s="318">
        <v>3</v>
      </c>
      <c r="L39" s="243"/>
      <c r="M39" s="174">
        <f>12555-10891</f>
        <v>1664</v>
      </c>
      <c r="N39" s="174">
        <f>40039-34211</f>
        <v>5828</v>
      </c>
      <c r="O39" s="103">
        <f t="shared" si="0"/>
        <v>7492</v>
      </c>
    </row>
    <row r="40" spans="1:15" ht="29.25">
      <c r="A40" s="296" t="s">
        <v>11</v>
      </c>
      <c r="B40" s="250" t="s">
        <v>162</v>
      </c>
      <c r="C40" s="248" t="s">
        <v>722</v>
      </c>
      <c r="D40" s="250" t="s">
        <v>1496</v>
      </c>
      <c r="E40" s="250"/>
      <c r="F40" s="250" t="s">
        <v>721</v>
      </c>
      <c r="G40" s="174" t="s">
        <v>722</v>
      </c>
      <c r="H40" s="448" t="s">
        <v>1497</v>
      </c>
      <c r="I40" s="253">
        <v>37112</v>
      </c>
      <c r="J40" s="251" t="s">
        <v>16</v>
      </c>
      <c r="K40" s="250">
        <v>2.7</v>
      </c>
      <c r="L40" s="243"/>
      <c r="M40" s="174">
        <f>35826-30352</f>
        <v>5474</v>
      </c>
      <c r="N40" s="174">
        <f>151319-128136</f>
        <v>23183</v>
      </c>
      <c r="O40" s="103">
        <f t="shared" si="0"/>
        <v>28657</v>
      </c>
    </row>
    <row r="41" spans="1:15" ht="29.25">
      <c r="A41" s="296" t="s">
        <v>11</v>
      </c>
      <c r="B41" s="250" t="s">
        <v>162</v>
      </c>
      <c r="C41" s="248" t="s">
        <v>722</v>
      </c>
      <c r="D41" s="250" t="s">
        <v>1498</v>
      </c>
      <c r="E41" s="250"/>
      <c r="F41" s="250" t="s">
        <v>721</v>
      </c>
      <c r="G41" s="174" t="s">
        <v>722</v>
      </c>
      <c r="H41" s="448" t="s">
        <v>1499</v>
      </c>
      <c r="I41" s="253">
        <v>39137</v>
      </c>
      <c r="J41" s="251" t="s">
        <v>16</v>
      </c>
      <c r="K41" s="250">
        <v>6.6</v>
      </c>
      <c r="L41" s="243"/>
      <c r="M41" s="174">
        <f>32499-27269</f>
        <v>5230</v>
      </c>
      <c r="N41" s="174">
        <f>136554-115552</f>
        <v>21002</v>
      </c>
      <c r="O41" s="103">
        <f t="shared" si="0"/>
        <v>26232</v>
      </c>
    </row>
    <row r="42" spans="1:15" ht="29.25">
      <c r="A42" s="296" t="s">
        <v>11</v>
      </c>
      <c r="B42" s="250" t="s">
        <v>162</v>
      </c>
      <c r="C42" s="248" t="s">
        <v>722</v>
      </c>
      <c r="D42" s="250" t="s">
        <v>1500</v>
      </c>
      <c r="E42" s="250"/>
      <c r="F42" s="250" t="s">
        <v>721</v>
      </c>
      <c r="G42" s="174" t="s">
        <v>722</v>
      </c>
      <c r="H42" s="448" t="s">
        <v>1501</v>
      </c>
      <c r="I42" s="253">
        <v>41145</v>
      </c>
      <c r="J42" s="251" t="s">
        <v>16</v>
      </c>
      <c r="K42" s="250">
        <v>2.2</v>
      </c>
      <c r="L42" s="243"/>
      <c r="M42" s="174">
        <f>6492-5375</f>
        <v>1117</v>
      </c>
      <c r="N42" s="174">
        <f>20391-17020</f>
        <v>3371</v>
      </c>
      <c r="O42" s="103">
        <f t="shared" si="0"/>
        <v>4488</v>
      </c>
    </row>
    <row r="43" spans="1:15" ht="29.25">
      <c r="A43" s="296" t="s">
        <v>11</v>
      </c>
      <c r="B43" s="250" t="s">
        <v>162</v>
      </c>
      <c r="C43" s="248" t="s">
        <v>722</v>
      </c>
      <c r="D43" s="250" t="s">
        <v>169</v>
      </c>
      <c r="E43" s="250"/>
      <c r="F43" s="250" t="s">
        <v>721</v>
      </c>
      <c r="G43" s="174" t="s">
        <v>722</v>
      </c>
      <c r="H43" s="448" t="s">
        <v>1502</v>
      </c>
      <c r="I43" s="253">
        <v>1002303</v>
      </c>
      <c r="J43" s="251" t="s">
        <v>16</v>
      </c>
      <c r="K43" s="250">
        <v>1.1</v>
      </c>
      <c r="L43" s="243"/>
      <c r="M43" s="174">
        <f>(4796-4079)-109</f>
        <v>608</v>
      </c>
      <c r="N43" s="174">
        <f>(20840-17661)-214</f>
        <v>2965</v>
      </c>
      <c r="O43" s="103">
        <f t="shared" si="0"/>
        <v>3573</v>
      </c>
    </row>
    <row r="44" spans="1:15" ht="29.25">
      <c r="A44" s="296" t="s">
        <v>11</v>
      </c>
      <c r="B44" s="250" t="s">
        <v>162</v>
      </c>
      <c r="C44" s="248" t="s">
        <v>722</v>
      </c>
      <c r="D44" s="250" t="s">
        <v>1503</v>
      </c>
      <c r="E44" s="250"/>
      <c r="F44" s="250" t="s">
        <v>721</v>
      </c>
      <c r="G44" s="174" t="s">
        <v>722</v>
      </c>
      <c r="H44" s="448" t="s">
        <v>1504</v>
      </c>
      <c r="I44" s="253">
        <v>41146</v>
      </c>
      <c r="J44" s="251" t="s">
        <v>16</v>
      </c>
      <c r="K44" s="318">
        <v>4</v>
      </c>
      <c r="L44" s="243"/>
      <c r="M44" s="174">
        <f>33385-28961</f>
        <v>4424</v>
      </c>
      <c r="N44" s="174">
        <f>101193-86840</f>
        <v>14353</v>
      </c>
      <c r="O44" s="103">
        <f t="shared" si="0"/>
        <v>18777</v>
      </c>
    </row>
    <row r="45" spans="1:15" ht="29.25">
      <c r="A45" s="296" t="s">
        <v>11</v>
      </c>
      <c r="B45" s="250" t="s">
        <v>162</v>
      </c>
      <c r="C45" s="248" t="s">
        <v>722</v>
      </c>
      <c r="D45" s="250" t="s">
        <v>733</v>
      </c>
      <c r="E45" s="250"/>
      <c r="F45" s="250" t="s">
        <v>721</v>
      </c>
      <c r="G45" s="174" t="s">
        <v>722</v>
      </c>
      <c r="H45" s="448" t="s">
        <v>1505</v>
      </c>
      <c r="I45" s="253">
        <v>41205</v>
      </c>
      <c r="J45" s="251" t="s">
        <v>16</v>
      </c>
      <c r="K45" s="250">
        <v>0.2</v>
      </c>
      <c r="L45" s="243"/>
      <c r="M45" s="174">
        <f>8134-6996</f>
        <v>1138</v>
      </c>
      <c r="N45" s="174">
        <f>26538-22504</f>
        <v>4034</v>
      </c>
      <c r="O45" s="103">
        <f t="shared" si="0"/>
        <v>5172</v>
      </c>
    </row>
    <row r="46" spans="1:15" ht="29.25">
      <c r="A46" s="296" t="s">
        <v>11</v>
      </c>
      <c r="B46" s="250" t="s">
        <v>162</v>
      </c>
      <c r="C46" s="248" t="s">
        <v>722</v>
      </c>
      <c r="D46" s="250" t="s">
        <v>94</v>
      </c>
      <c r="E46" s="250"/>
      <c r="F46" s="250" t="s">
        <v>721</v>
      </c>
      <c r="G46" s="174" t="s">
        <v>722</v>
      </c>
      <c r="H46" s="448" t="s">
        <v>1506</v>
      </c>
      <c r="I46" s="253">
        <v>1000813</v>
      </c>
      <c r="J46" s="251" t="s">
        <v>16</v>
      </c>
      <c r="K46" s="250">
        <v>2.2</v>
      </c>
      <c r="L46" s="243"/>
      <c r="M46" s="174">
        <f>8110-7046</f>
        <v>1064</v>
      </c>
      <c r="N46" s="174">
        <f>34614-30009</f>
        <v>4605</v>
      </c>
      <c r="O46" s="103">
        <f t="shared" si="0"/>
        <v>5669</v>
      </c>
    </row>
    <row r="47" spans="1:15" ht="29.25">
      <c r="A47" s="296" t="s">
        <v>11</v>
      </c>
      <c r="B47" s="250" t="s">
        <v>162</v>
      </c>
      <c r="C47" s="250" t="s">
        <v>404</v>
      </c>
      <c r="D47" s="174"/>
      <c r="E47" s="250"/>
      <c r="F47" s="250" t="s">
        <v>721</v>
      </c>
      <c r="G47" s="174" t="s">
        <v>722</v>
      </c>
      <c r="H47" s="448" t="s">
        <v>1507</v>
      </c>
      <c r="I47" s="253">
        <v>1000803</v>
      </c>
      <c r="J47" s="251" t="s">
        <v>16</v>
      </c>
      <c r="K47" s="250">
        <v>2.5</v>
      </c>
      <c r="L47" s="243"/>
      <c r="M47" s="174">
        <f>8063-6933</f>
        <v>1130</v>
      </c>
      <c r="N47" s="174">
        <f>35028-30112</f>
        <v>4916</v>
      </c>
      <c r="O47" s="103">
        <f t="shared" si="0"/>
        <v>6046</v>
      </c>
    </row>
    <row r="48" spans="1:15" ht="29.25">
      <c r="A48" s="296" t="s">
        <v>11</v>
      </c>
      <c r="B48" s="250" t="s">
        <v>162</v>
      </c>
      <c r="C48" s="250" t="s">
        <v>734</v>
      </c>
      <c r="D48" s="174"/>
      <c r="E48" s="250"/>
      <c r="F48" s="250" t="s">
        <v>721</v>
      </c>
      <c r="G48" s="174" t="s">
        <v>722</v>
      </c>
      <c r="H48" s="448" t="s">
        <v>1508</v>
      </c>
      <c r="I48" s="253">
        <v>1393856</v>
      </c>
      <c r="J48" s="251" t="s">
        <v>16</v>
      </c>
      <c r="K48" s="250">
        <v>0.6</v>
      </c>
      <c r="L48" s="243"/>
      <c r="M48" s="174">
        <f>(7883-7037)-(111+35)</f>
        <v>700</v>
      </c>
      <c r="N48" s="174">
        <f>(18943-15138)-(326+324)</f>
        <v>3155</v>
      </c>
      <c r="O48" s="103">
        <f t="shared" si="0"/>
        <v>3855</v>
      </c>
    </row>
    <row r="49" spans="1:15" ht="29.25">
      <c r="A49" s="296" t="s">
        <v>11</v>
      </c>
      <c r="B49" s="250" t="s">
        <v>162</v>
      </c>
      <c r="C49" s="250" t="s">
        <v>735</v>
      </c>
      <c r="D49" s="174"/>
      <c r="E49" s="250"/>
      <c r="F49" s="250" t="s">
        <v>721</v>
      </c>
      <c r="G49" s="174" t="s">
        <v>722</v>
      </c>
      <c r="H49" s="448" t="s">
        <v>1509</v>
      </c>
      <c r="I49" s="253">
        <v>1000646</v>
      </c>
      <c r="J49" s="251" t="s">
        <v>16</v>
      </c>
      <c r="K49" s="250">
        <v>1.1</v>
      </c>
      <c r="L49" s="243"/>
      <c r="M49" s="174">
        <f>(6815-6122)-(147+41+116+127)</f>
        <v>262</v>
      </c>
      <c r="N49" s="174">
        <f>(29168-26262)-(290+320+301+331)</f>
        <v>1664</v>
      </c>
      <c r="O49" s="103">
        <f t="shared" si="0"/>
        <v>1926</v>
      </c>
    </row>
    <row r="50" spans="1:15" ht="29.25">
      <c r="A50" s="296" t="s">
        <v>11</v>
      </c>
      <c r="B50" s="250" t="s">
        <v>162</v>
      </c>
      <c r="C50" s="250" t="s">
        <v>736</v>
      </c>
      <c r="D50" s="174"/>
      <c r="E50" s="250">
        <v>2</v>
      </c>
      <c r="F50" s="250" t="s">
        <v>721</v>
      </c>
      <c r="G50" s="174" t="s">
        <v>722</v>
      </c>
      <c r="H50" s="448" t="s">
        <v>1510</v>
      </c>
      <c r="I50" s="253">
        <v>41594</v>
      </c>
      <c r="J50" s="251" t="s">
        <v>16</v>
      </c>
      <c r="K50" s="250">
        <v>2.2</v>
      </c>
      <c r="L50" s="243"/>
      <c r="M50" s="174">
        <f>16124-13560</f>
        <v>2564</v>
      </c>
      <c r="N50" s="174">
        <f>49671-41431</f>
        <v>8240</v>
      </c>
      <c r="O50" s="103">
        <f aca="true" t="shared" si="1" ref="O50:O73">SUM(M50:N50)</f>
        <v>10804</v>
      </c>
    </row>
    <row r="51" spans="1:15" ht="29.25">
      <c r="A51" s="296" t="s">
        <v>11</v>
      </c>
      <c r="B51" s="250" t="s">
        <v>162</v>
      </c>
      <c r="C51" s="250" t="s">
        <v>736</v>
      </c>
      <c r="D51" s="174"/>
      <c r="E51" s="250">
        <v>1</v>
      </c>
      <c r="F51" s="250" t="s">
        <v>721</v>
      </c>
      <c r="G51" s="174" t="s">
        <v>722</v>
      </c>
      <c r="H51" s="448" t="s">
        <v>1511</v>
      </c>
      <c r="I51" s="253">
        <v>41593</v>
      </c>
      <c r="J51" s="251" t="s">
        <v>16</v>
      </c>
      <c r="K51" s="250">
        <v>2.2</v>
      </c>
      <c r="L51" s="243"/>
      <c r="M51" s="174">
        <f>9250-7892</f>
        <v>1358</v>
      </c>
      <c r="N51" s="174">
        <f>27882-23830</f>
        <v>4052</v>
      </c>
      <c r="O51" s="103">
        <f t="shared" si="1"/>
        <v>5410</v>
      </c>
    </row>
    <row r="52" spans="1:15" ht="29.25">
      <c r="A52" s="296" t="s">
        <v>11</v>
      </c>
      <c r="B52" s="250" t="s">
        <v>162</v>
      </c>
      <c r="C52" s="250" t="s">
        <v>737</v>
      </c>
      <c r="D52" s="174"/>
      <c r="E52" s="250"/>
      <c r="F52" s="250" t="s">
        <v>721</v>
      </c>
      <c r="G52" s="174" t="s">
        <v>722</v>
      </c>
      <c r="H52" s="448" t="s">
        <v>1512</v>
      </c>
      <c r="I52" s="253">
        <v>39142</v>
      </c>
      <c r="J52" s="251" t="s">
        <v>16</v>
      </c>
      <c r="K52" s="318">
        <v>2</v>
      </c>
      <c r="L52" s="243"/>
      <c r="M52" s="174">
        <f>8079-6847</f>
        <v>1232</v>
      </c>
      <c r="N52" s="174">
        <f>32945-28119</f>
        <v>4826</v>
      </c>
      <c r="O52" s="103">
        <f t="shared" si="1"/>
        <v>6058</v>
      </c>
    </row>
    <row r="53" spans="1:15" ht="29.25">
      <c r="A53" s="296" t="s">
        <v>11</v>
      </c>
      <c r="B53" s="250" t="s">
        <v>162</v>
      </c>
      <c r="C53" s="250" t="s">
        <v>738</v>
      </c>
      <c r="D53" s="174"/>
      <c r="E53" s="250"/>
      <c r="F53" s="250" t="s">
        <v>721</v>
      </c>
      <c r="G53" s="174" t="s">
        <v>722</v>
      </c>
      <c r="H53" s="448" t="s">
        <v>1513</v>
      </c>
      <c r="I53" s="253">
        <v>131968</v>
      </c>
      <c r="J53" s="251" t="s">
        <v>16</v>
      </c>
      <c r="K53" s="250">
        <v>2.2</v>
      </c>
      <c r="L53" s="243"/>
      <c r="M53" s="174">
        <f>(860-778)-(8+17+29)</f>
        <v>28</v>
      </c>
      <c r="N53" s="174">
        <f>(4155-3509)-(94+82+95)</f>
        <v>375</v>
      </c>
      <c r="O53" s="103">
        <f t="shared" si="1"/>
        <v>403</v>
      </c>
    </row>
    <row r="54" spans="1:15" ht="29.25">
      <c r="A54" s="296" t="s">
        <v>11</v>
      </c>
      <c r="B54" s="250" t="s">
        <v>162</v>
      </c>
      <c r="C54" s="250" t="s">
        <v>739</v>
      </c>
      <c r="D54" s="174"/>
      <c r="E54" s="250"/>
      <c r="F54" s="250" t="s">
        <v>721</v>
      </c>
      <c r="G54" s="174" t="s">
        <v>722</v>
      </c>
      <c r="H54" s="448" t="s">
        <v>1514</v>
      </c>
      <c r="I54" s="253">
        <v>1001824</v>
      </c>
      <c r="J54" s="251" t="s">
        <v>16</v>
      </c>
      <c r="K54" s="250">
        <v>2.2</v>
      </c>
      <c r="L54" s="243"/>
      <c r="M54" s="174">
        <f>(1857-1655)-(41+0)</f>
        <v>161</v>
      </c>
      <c r="N54" s="174">
        <f>(7885-6847)-(81+92)</f>
        <v>865</v>
      </c>
      <c r="O54" s="103">
        <f t="shared" si="1"/>
        <v>1026</v>
      </c>
    </row>
    <row r="55" spans="1:15" ht="29.25">
      <c r="A55" s="296" t="s">
        <v>11</v>
      </c>
      <c r="B55" s="250" t="s">
        <v>162</v>
      </c>
      <c r="C55" s="250" t="s">
        <v>740</v>
      </c>
      <c r="D55" s="174"/>
      <c r="E55" s="250"/>
      <c r="F55" s="250" t="s">
        <v>721</v>
      </c>
      <c r="G55" s="174" t="s">
        <v>722</v>
      </c>
      <c r="H55" s="448" t="s">
        <v>1515</v>
      </c>
      <c r="I55" s="253">
        <v>41601</v>
      </c>
      <c r="J55" s="251" t="s">
        <v>16</v>
      </c>
      <c r="K55" s="250">
        <v>2.2</v>
      </c>
      <c r="L55" s="243"/>
      <c r="M55" s="174">
        <f>2926-2500</f>
        <v>426</v>
      </c>
      <c r="N55" s="174">
        <f>9035-7650</f>
        <v>1385</v>
      </c>
      <c r="O55" s="103">
        <f t="shared" si="1"/>
        <v>1811</v>
      </c>
    </row>
    <row r="56" spans="1:15" ht="29.25">
      <c r="A56" s="296" t="s">
        <v>11</v>
      </c>
      <c r="B56" s="250" t="s">
        <v>162</v>
      </c>
      <c r="C56" s="250" t="s">
        <v>741</v>
      </c>
      <c r="D56" s="174"/>
      <c r="E56" s="250"/>
      <c r="F56" s="250" t="s">
        <v>721</v>
      </c>
      <c r="G56" s="174" t="s">
        <v>722</v>
      </c>
      <c r="H56" s="448" t="s">
        <v>1516</v>
      </c>
      <c r="I56" s="253">
        <v>41600</v>
      </c>
      <c r="J56" s="251" t="s">
        <v>16</v>
      </c>
      <c r="K56" s="250">
        <v>2.2</v>
      </c>
      <c r="L56" s="243"/>
      <c r="M56" s="174">
        <f>3974-3412</f>
        <v>562</v>
      </c>
      <c r="N56" s="174">
        <f>12243-10402</f>
        <v>1841</v>
      </c>
      <c r="O56" s="103">
        <f t="shared" si="1"/>
        <v>2403</v>
      </c>
    </row>
    <row r="57" spans="1:15" ht="29.25">
      <c r="A57" s="296" t="s">
        <v>11</v>
      </c>
      <c r="B57" s="250" t="s">
        <v>162</v>
      </c>
      <c r="C57" s="250" t="s">
        <v>742</v>
      </c>
      <c r="D57" s="174"/>
      <c r="E57" s="250"/>
      <c r="F57" s="250" t="s">
        <v>721</v>
      </c>
      <c r="G57" s="174" t="s">
        <v>722</v>
      </c>
      <c r="H57" s="448" t="s">
        <v>1486</v>
      </c>
      <c r="I57" s="253">
        <v>41597</v>
      </c>
      <c r="J57" s="251" t="s">
        <v>16</v>
      </c>
      <c r="K57" s="250">
        <v>2.1</v>
      </c>
      <c r="L57" s="243"/>
      <c r="M57" s="174">
        <f>13307-11538</f>
        <v>1769</v>
      </c>
      <c r="N57" s="174">
        <f>41533-35639</f>
        <v>5894</v>
      </c>
      <c r="O57" s="103">
        <f t="shared" si="1"/>
        <v>7663</v>
      </c>
    </row>
    <row r="58" spans="1:15" ht="29.25">
      <c r="A58" s="296" t="s">
        <v>11</v>
      </c>
      <c r="B58" s="250" t="s">
        <v>162</v>
      </c>
      <c r="C58" s="250" t="s">
        <v>743</v>
      </c>
      <c r="D58" s="174"/>
      <c r="E58" s="250"/>
      <c r="F58" s="250" t="s">
        <v>721</v>
      </c>
      <c r="G58" s="174" t="s">
        <v>722</v>
      </c>
      <c r="H58" s="448" t="s">
        <v>1517</v>
      </c>
      <c r="I58" s="253">
        <v>1000649</v>
      </c>
      <c r="J58" s="251" t="s">
        <v>16</v>
      </c>
      <c r="K58" s="250">
        <v>2.2</v>
      </c>
      <c r="L58" s="243"/>
      <c r="M58" s="174">
        <f>4800-4056</f>
        <v>744</v>
      </c>
      <c r="N58" s="174">
        <f>20767-17674</f>
        <v>3093</v>
      </c>
      <c r="O58" s="103">
        <f t="shared" si="1"/>
        <v>3837</v>
      </c>
    </row>
    <row r="59" spans="1:15" ht="29.25">
      <c r="A59" s="296" t="s">
        <v>11</v>
      </c>
      <c r="B59" s="250" t="s">
        <v>162</v>
      </c>
      <c r="C59" s="250" t="s">
        <v>744</v>
      </c>
      <c r="D59" s="174"/>
      <c r="E59" s="250"/>
      <c r="F59" s="250" t="s">
        <v>721</v>
      </c>
      <c r="G59" s="174" t="s">
        <v>722</v>
      </c>
      <c r="H59" s="448" t="s">
        <v>1518</v>
      </c>
      <c r="I59" s="253">
        <v>1000632</v>
      </c>
      <c r="J59" s="251" t="s">
        <v>16</v>
      </c>
      <c r="K59" s="250">
        <v>2.2</v>
      </c>
      <c r="L59" s="243"/>
      <c r="M59" s="174">
        <f>4057-3420</f>
        <v>637</v>
      </c>
      <c r="N59" s="174">
        <f>17206-14542</f>
        <v>2664</v>
      </c>
      <c r="O59" s="103">
        <f t="shared" si="1"/>
        <v>3301</v>
      </c>
    </row>
    <row r="60" spans="1:15" ht="29.25">
      <c r="A60" s="296" t="s">
        <v>11</v>
      </c>
      <c r="B60" s="250" t="s">
        <v>162</v>
      </c>
      <c r="C60" s="250" t="s">
        <v>745</v>
      </c>
      <c r="D60" s="174"/>
      <c r="E60" s="250">
        <v>26</v>
      </c>
      <c r="F60" s="250" t="s">
        <v>721</v>
      </c>
      <c r="G60" s="174" t="s">
        <v>722</v>
      </c>
      <c r="H60" s="448" t="s">
        <v>1519</v>
      </c>
      <c r="I60" s="253">
        <v>41595</v>
      </c>
      <c r="J60" s="251" t="s">
        <v>16</v>
      </c>
      <c r="K60" s="250">
        <v>2.2</v>
      </c>
      <c r="L60" s="243"/>
      <c r="M60" s="174">
        <f>4364-3754</f>
        <v>610</v>
      </c>
      <c r="N60" s="174">
        <f>13963-11862</f>
        <v>2101</v>
      </c>
      <c r="O60" s="103">
        <f t="shared" si="1"/>
        <v>2711</v>
      </c>
    </row>
    <row r="61" spans="1:15" ht="29.25">
      <c r="A61" s="296" t="s">
        <v>11</v>
      </c>
      <c r="B61" s="250" t="s">
        <v>162</v>
      </c>
      <c r="C61" s="250" t="s">
        <v>745</v>
      </c>
      <c r="D61" s="174"/>
      <c r="E61" s="250">
        <v>1</v>
      </c>
      <c r="F61" s="250" t="s">
        <v>721</v>
      </c>
      <c r="G61" s="174" t="s">
        <v>722</v>
      </c>
      <c r="H61" s="448" t="s">
        <v>1520</v>
      </c>
      <c r="I61" s="253">
        <v>41599</v>
      </c>
      <c r="J61" s="251" t="s">
        <v>16</v>
      </c>
      <c r="K61" s="250">
        <v>0.8</v>
      </c>
      <c r="L61" s="243"/>
      <c r="M61" s="174">
        <f>1535-1319</f>
        <v>216</v>
      </c>
      <c r="N61" s="174">
        <f>5160-4381</f>
        <v>779</v>
      </c>
      <c r="O61" s="103">
        <f t="shared" si="1"/>
        <v>995</v>
      </c>
    </row>
    <row r="62" spans="1:15" ht="29.25">
      <c r="A62" s="296" t="s">
        <v>11</v>
      </c>
      <c r="B62" s="250" t="s">
        <v>162</v>
      </c>
      <c r="C62" s="250" t="s">
        <v>746</v>
      </c>
      <c r="D62" s="174"/>
      <c r="E62" s="250"/>
      <c r="F62" s="250" t="s">
        <v>721</v>
      </c>
      <c r="G62" s="174" t="s">
        <v>722</v>
      </c>
      <c r="H62" s="448" t="s">
        <v>1521</v>
      </c>
      <c r="I62" s="253">
        <v>1000640</v>
      </c>
      <c r="J62" s="251" t="s">
        <v>16</v>
      </c>
      <c r="K62" s="250">
        <v>2.2</v>
      </c>
      <c r="L62" s="243"/>
      <c r="M62" s="174">
        <f>5783-4920</f>
        <v>863</v>
      </c>
      <c r="N62" s="174">
        <f>25083-21527</f>
        <v>3556</v>
      </c>
      <c r="O62" s="103">
        <f t="shared" si="1"/>
        <v>4419</v>
      </c>
    </row>
    <row r="63" spans="1:15" ht="29.25">
      <c r="A63" s="296" t="s">
        <v>11</v>
      </c>
      <c r="B63" s="250" t="s">
        <v>162</v>
      </c>
      <c r="C63" s="250" t="s">
        <v>747</v>
      </c>
      <c r="D63" s="174"/>
      <c r="E63" s="250"/>
      <c r="F63" s="250" t="s">
        <v>721</v>
      </c>
      <c r="G63" s="174" t="s">
        <v>722</v>
      </c>
      <c r="H63" s="448" t="s">
        <v>1522</v>
      </c>
      <c r="I63" s="253">
        <v>41210</v>
      </c>
      <c r="J63" s="251" t="s">
        <v>16</v>
      </c>
      <c r="K63" s="250">
        <v>2.2</v>
      </c>
      <c r="L63" s="243"/>
      <c r="M63" s="174">
        <f>5995-5106</f>
        <v>889</v>
      </c>
      <c r="N63" s="174">
        <f>18229-15477</f>
        <v>2752</v>
      </c>
      <c r="O63" s="103">
        <f t="shared" si="1"/>
        <v>3641</v>
      </c>
    </row>
    <row r="64" spans="1:15" ht="29.25">
      <c r="A64" s="296" t="s">
        <v>11</v>
      </c>
      <c r="B64" s="250" t="s">
        <v>162</v>
      </c>
      <c r="C64" s="250" t="s">
        <v>748</v>
      </c>
      <c r="D64" s="174"/>
      <c r="E64" s="250"/>
      <c r="F64" s="250" t="s">
        <v>721</v>
      </c>
      <c r="G64" s="174" t="s">
        <v>722</v>
      </c>
      <c r="H64" s="448" t="s">
        <v>1524</v>
      </c>
      <c r="I64" s="253">
        <v>41598</v>
      </c>
      <c r="J64" s="251" t="s">
        <v>16</v>
      </c>
      <c r="K64" s="250">
        <v>1.2</v>
      </c>
      <c r="L64" s="243"/>
      <c r="M64" s="174">
        <f>5463-4714</f>
        <v>749</v>
      </c>
      <c r="N64" s="174">
        <f>16279-13915</f>
        <v>2364</v>
      </c>
      <c r="O64" s="103">
        <f t="shared" si="1"/>
        <v>3113</v>
      </c>
    </row>
    <row r="65" spans="1:15" ht="29.25">
      <c r="A65" s="296" t="s">
        <v>11</v>
      </c>
      <c r="B65" s="250" t="s">
        <v>162</v>
      </c>
      <c r="C65" s="250" t="s">
        <v>749</v>
      </c>
      <c r="D65" s="174"/>
      <c r="E65" s="250"/>
      <c r="F65" s="250" t="s">
        <v>721</v>
      </c>
      <c r="G65" s="174" t="s">
        <v>722</v>
      </c>
      <c r="H65" s="448" t="s">
        <v>1525</v>
      </c>
      <c r="I65" s="253">
        <v>41592</v>
      </c>
      <c r="J65" s="251" t="s">
        <v>16</v>
      </c>
      <c r="K65" s="250">
        <v>1.7</v>
      </c>
      <c r="L65" s="244"/>
      <c r="M65" s="245">
        <f>8216-6960</f>
        <v>1256</v>
      </c>
      <c r="N65" s="245">
        <f>25090-21346</f>
        <v>3744</v>
      </c>
      <c r="O65" s="103">
        <f t="shared" si="1"/>
        <v>5000</v>
      </c>
    </row>
    <row r="66" spans="1:15" ht="29.25">
      <c r="A66" s="296" t="s">
        <v>11</v>
      </c>
      <c r="B66" s="250" t="s">
        <v>162</v>
      </c>
      <c r="C66" s="250" t="s">
        <v>750</v>
      </c>
      <c r="D66" s="174"/>
      <c r="E66" s="250"/>
      <c r="F66" s="250" t="s">
        <v>721</v>
      </c>
      <c r="G66" s="174" t="s">
        <v>722</v>
      </c>
      <c r="H66" s="448" t="s">
        <v>1526</v>
      </c>
      <c r="I66" s="253">
        <v>41038</v>
      </c>
      <c r="J66" s="251" t="s">
        <v>16</v>
      </c>
      <c r="K66" s="250">
        <v>2.2</v>
      </c>
      <c r="L66" s="244"/>
      <c r="M66" s="245">
        <f>17330-14992</f>
        <v>2338</v>
      </c>
      <c r="N66" s="245">
        <f>54292-46324</f>
        <v>7968</v>
      </c>
      <c r="O66" s="103">
        <f t="shared" si="1"/>
        <v>10306</v>
      </c>
    </row>
    <row r="67" spans="1:15" ht="29.25">
      <c r="A67" s="296" t="s">
        <v>11</v>
      </c>
      <c r="B67" s="252" t="s">
        <v>162</v>
      </c>
      <c r="C67" s="252" t="s">
        <v>751</v>
      </c>
      <c r="D67" s="246"/>
      <c r="E67" s="250"/>
      <c r="F67" s="250" t="s">
        <v>721</v>
      </c>
      <c r="G67" s="174" t="s">
        <v>722</v>
      </c>
      <c r="H67" s="448" t="s">
        <v>1523</v>
      </c>
      <c r="I67" s="253">
        <v>41596</v>
      </c>
      <c r="J67" s="251" t="s">
        <v>16</v>
      </c>
      <c r="K67" s="250">
        <v>1.5</v>
      </c>
      <c r="L67" s="244"/>
      <c r="M67" s="245">
        <f>7381-6111</f>
        <v>1270</v>
      </c>
      <c r="N67" s="247">
        <f>22610-18538</f>
        <v>4072</v>
      </c>
      <c r="O67" s="103">
        <f t="shared" si="1"/>
        <v>5342</v>
      </c>
    </row>
    <row r="68" spans="1:20" ht="29.25">
      <c r="A68" s="296" t="s">
        <v>11</v>
      </c>
      <c r="B68" s="252" t="s">
        <v>162</v>
      </c>
      <c r="C68" s="174" t="s">
        <v>755</v>
      </c>
      <c r="D68" s="174"/>
      <c r="E68" s="174"/>
      <c r="F68" s="248" t="s">
        <v>721</v>
      </c>
      <c r="G68" s="174" t="s">
        <v>722</v>
      </c>
      <c r="H68" s="448" t="s">
        <v>1470</v>
      </c>
      <c r="I68" s="254">
        <v>1441103</v>
      </c>
      <c r="J68" s="269" t="s">
        <v>16</v>
      </c>
      <c r="K68" s="248">
        <v>0.3</v>
      </c>
      <c r="L68" s="452"/>
      <c r="M68" s="451">
        <f>649-323</f>
        <v>326</v>
      </c>
      <c r="N68" s="451">
        <f>1561-156</f>
        <v>1405</v>
      </c>
      <c r="O68" s="245">
        <f t="shared" si="1"/>
        <v>1731</v>
      </c>
      <c r="P68" s="31"/>
      <c r="Q68" s="31"/>
      <c r="R68" s="31"/>
      <c r="S68" s="167"/>
      <c r="T68" s="167"/>
    </row>
    <row r="69" spans="1:20" ht="29.25">
      <c r="A69" s="274" t="s">
        <v>11</v>
      </c>
      <c r="B69" s="250" t="s">
        <v>162</v>
      </c>
      <c r="C69" s="449" t="s">
        <v>1472</v>
      </c>
      <c r="D69" s="184"/>
      <c r="E69" s="198"/>
      <c r="F69" s="52" t="s">
        <v>721</v>
      </c>
      <c r="G69" s="52" t="s">
        <v>722</v>
      </c>
      <c r="H69" s="448" t="s">
        <v>1805</v>
      </c>
      <c r="I69" s="52">
        <v>83246554</v>
      </c>
      <c r="J69" s="163" t="s">
        <v>16</v>
      </c>
      <c r="K69" s="398">
        <v>2</v>
      </c>
      <c r="L69" s="54"/>
      <c r="M69" s="421">
        <f>651-386</f>
        <v>265</v>
      </c>
      <c r="N69" s="421">
        <f>2404-1439</f>
        <v>965</v>
      </c>
      <c r="O69" s="450">
        <f t="shared" si="1"/>
        <v>1230</v>
      </c>
      <c r="P69" s="31"/>
      <c r="Q69" s="31"/>
      <c r="R69" s="31"/>
      <c r="S69" s="167"/>
      <c r="T69" s="167"/>
    </row>
    <row r="70" spans="1:20" ht="29.25">
      <c r="A70" s="274" t="s">
        <v>11</v>
      </c>
      <c r="B70" s="354" t="s">
        <v>162</v>
      </c>
      <c r="C70" s="511" t="s">
        <v>750</v>
      </c>
      <c r="D70" s="459"/>
      <c r="E70" s="198"/>
      <c r="F70" s="52" t="s">
        <v>721</v>
      </c>
      <c r="G70" s="52" t="s">
        <v>722</v>
      </c>
      <c r="H70" s="448" t="s">
        <v>1976</v>
      </c>
      <c r="I70" s="52">
        <v>83638417</v>
      </c>
      <c r="J70" s="163" t="s">
        <v>16</v>
      </c>
      <c r="K70" s="190">
        <v>0.5</v>
      </c>
      <c r="L70" s="54"/>
      <c r="M70" s="421">
        <f>9*15</f>
        <v>135</v>
      </c>
      <c r="N70" s="421">
        <f>70*15</f>
        <v>1050</v>
      </c>
      <c r="O70" s="450">
        <f t="shared" si="1"/>
        <v>1185</v>
      </c>
      <c r="P70" s="31"/>
      <c r="Q70" s="31"/>
      <c r="R70" s="31"/>
      <c r="S70" s="167"/>
      <c r="T70" s="167"/>
    </row>
    <row r="71" spans="1:20" ht="26.25">
      <c r="A71" s="274" t="s">
        <v>11</v>
      </c>
      <c r="B71" s="623" t="s">
        <v>1979</v>
      </c>
      <c r="C71" s="623" t="s">
        <v>722</v>
      </c>
      <c r="D71" s="623" t="s">
        <v>1978</v>
      </c>
      <c r="E71" s="623"/>
      <c r="F71" s="623" t="s">
        <v>721</v>
      </c>
      <c r="G71" s="622" t="s">
        <v>722</v>
      </c>
      <c r="H71" s="376" t="s">
        <v>1977</v>
      </c>
      <c r="I71" s="621">
        <v>39874</v>
      </c>
      <c r="J71" s="251" t="s">
        <v>16</v>
      </c>
      <c r="K71" s="620">
        <v>3</v>
      </c>
      <c r="L71" s="45"/>
      <c r="M71" s="13">
        <f>48-44</f>
        <v>4</v>
      </c>
      <c r="N71" s="13">
        <f>190-155</f>
        <v>35</v>
      </c>
      <c r="O71" s="103">
        <f t="shared" si="1"/>
        <v>39</v>
      </c>
      <c r="P71" s="31"/>
      <c r="Q71" s="31"/>
      <c r="R71" s="31"/>
      <c r="S71" s="167"/>
      <c r="T71" s="167"/>
    </row>
    <row r="72" spans="1:15" ht="18">
      <c r="A72" s="275" t="s">
        <v>11</v>
      </c>
      <c r="B72" s="623" t="s">
        <v>1306</v>
      </c>
      <c r="C72" s="623" t="s">
        <v>736</v>
      </c>
      <c r="D72" s="55"/>
      <c r="E72" s="623"/>
      <c r="F72" s="623" t="s">
        <v>721</v>
      </c>
      <c r="G72" s="622" t="s">
        <v>722</v>
      </c>
      <c r="H72" s="376" t="s">
        <v>1983</v>
      </c>
      <c r="I72" s="621"/>
      <c r="J72" s="251" t="s">
        <v>16</v>
      </c>
      <c r="K72" s="620">
        <v>1</v>
      </c>
      <c r="L72" s="45"/>
      <c r="M72" s="13">
        <v>1000</v>
      </c>
      <c r="N72" s="13">
        <v>2000</v>
      </c>
      <c r="O72" s="103">
        <f t="shared" si="1"/>
        <v>3000</v>
      </c>
    </row>
    <row r="73" spans="1:15" ht="44.25" customHeight="1" thickBot="1">
      <c r="A73" s="275" t="s">
        <v>11</v>
      </c>
      <c r="B73" s="627" t="s">
        <v>1984</v>
      </c>
      <c r="C73" s="627" t="s">
        <v>751</v>
      </c>
      <c r="D73" s="138"/>
      <c r="E73" s="627"/>
      <c r="F73" s="623" t="s">
        <v>721</v>
      </c>
      <c r="G73" s="663" t="s">
        <v>722</v>
      </c>
      <c r="H73" s="377" t="s">
        <v>2089</v>
      </c>
      <c r="I73" s="628">
        <v>83746721</v>
      </c>
      <c r="J73" s="629" t="s">
        <v>16</v>
      </c>
      <c r="K73" s="630">
        <v>1</v>
      </c>
      <c r="L73" s="54"/>
      <c r="M73" s="53">
        <v>400</v>
      </c>
      <c r="N73" s="53">
        <v>1600</v>
      </c>
      <c r="O73" s="631">
        <f t="shared" si="1"/>
        <v>2000</v>
      </c>
    </row>
    <row r="74" spans="1:15" ht="45" customHeight="1">
      <c r="A74" s="192"/>
      <c r="B74" s="279" t="s">
        <v>155</v>
      </c>
      <c r="C74" s="68" t="s">
        <v>1793</v>
      </c>
      <c r="D74" s="38"/>
      <c r="E74" s="290"/>
      <c r="F74" s="50"/>
      <c r="G74" s="672" t="s">
        <v>2097</v>
      </c>
      <c r="H74" s="34" t="s">
        <v>1981</v>
      </c>
      <c r="I74" s="255"/>
      <c r="J74" s="173"/>
      <c r="K74" s="192"/>
      <c r="L74" s="249"/>
      <c r="M74" s="249"/>
      <c r="N74" s="625" t="s">
        <v>160</v>
      </c>
      <c r="O74" s="626">
        <f>SUM(O18:O73)</f>
        <v>290917</v>
      </c>
    </row>
    <row r="75" spans="1:15" ht="15">
      <c r="A75" s="192"/>
      <c r="B75" s="279"/>
      <c r="C75" s="68" t="s">
        <v>1980</v>
      </c>
      <c r="D75" s="38"/>
      <c r="E75" s="290"/>
      <c r="F75" s="50"/>
      <c r="G75" s="301"/>
      <c r="H75" s="38" t="s">
        <v>1982</v>
      </c>
      <c r="I75" s="255"/>
      <c r="J75" s="173"/>
      <c r="K75" s="192"/>
      <c r="L75" s="249"/>
      <c r="M75" s="249"/>
      <c r="N75" s="249"/>
      <c r="O75" s="249"/>
    </row>
    <row r="76" spans="1:15" ht="15.75" thickBot="1">
      <c r="A76" s="192"/>
      <c r="B76" s="279"/>
      <c r="C76" s="68" t="s">
        <v>752</v>
      </c>
      <c r="D76" s="38"/>
      <c r="E76" s="290"/>
      <c r="F76" s="50"/>
      <c r="G76" s="317"/>
      <c r="H76" s="41" t="s">
        <v>752</v>
      </c>
      <c r="I76" s="255"/>
      <c r="J76" s="173"/>
      <c r="K76" s="192"/>
      <c r="L76" s="249"/>
      <c r="M76" s="249"/>
      <c r="N76" s="249"/>
      <c r="O76" s="249"/>
    </row>
    <row r="77" spans="1:15" ht="15">
      <c r="A77" s="192"/>
      <c r="B77" s="279" t="s">
        <v>1670</v>
      </c>
      <c r="C77" s="68" t="s">
        <v>1804</v>
      </c>
      <c r="D77" s="38"/>
      <c r="E77" s="290"/>
      <c r="I77" s="255"/>
      <c r="J77" s="173"/>
      <c r="K77" s="192"/>
      <c r="L77" s="249"/>
      <c r="M77" s="249"/>
      <c r="N77" s="249"/>
      <c r="O77" s="249"/>
    </row>
    <row r="78" spans="1:15" ht="15.75" thickBot="1">
      <c r="A78" s="192"/>
      <c r="B78" s="238" t="s">
        <v>1674</v>
      </c>
      <c r="C78" s="71" t="s">
        <v>1803</v>
      </c>
      <c r="D78" s="41"/>
      <c r="E78" s="290"/>
      <c r="I78" s="173"/>
      <c r="J78" s="173"/>
      <c r="K78" s="192"/>
      <c r="L78" s="249"/>
      <c r="M78" s="249"/>
      <c r="N78" s="249"/>
      <c r="O78" s="249"/>
    </row>
    <row r="79" spans="1:15" ht="15">
      <c r="A79" s="192"/>
      <c r="B79" s="68"/>
      <c r="C79" s="68"/>
      <c r="D79" s="68"/>
      <c r="E79" s="173"/>
      <c r="F79" s="173"/>
      <c r="G79" s="173"/>
      <c r="H79" s="173"/>
      <c r="I79" s="173"/>
      <c r="J79" s="173"/>
      <c r="K79" s="192"/>
      <c r="L79" s="249"/>
      <c r="M79" s="249"/>
      <c r="N79" s="249"/>
      <c r="O79" s="249"/>
    </row>
    <row r="80" spans="1:15" ht="15">
      <c r="A80" s="192"/>
      <c r="B80" s="68"/>
      <c r="C80" s="68"/>
      <c r="D80" s="68"/>
      <c r="E80" s="595"/>
      <c r="F80" s="595"/>
      <c r="G80" s="595"/>
      <c r="H80" s="595"/>
      <c r="I80" s="173"/>
      <c r="J80" s="173"/>
      <c r="K80" s="192"/>
      <c r="L80" s="249"/>
      <c r="M80" s="249" t="s">
        <v>160</v>
      </c>
      <c r="N80" s="249">
        <f>O74</f>
        <v>290917</v>
      </c>
      <c r="O80" s="249"/>
    </row>
    <row r="81" spans="1:15" ht="15.75" thickBot="1">
      <c r="A81" s="192"/>
      <c r="B81" s="411"/>
      <c r="C81" s="68"/>
      <c r="D81" s="412"/>
      <c r="E81" s="173"/>
      <c r="F81" s="173"/>
      <c r="G81" s="173"/>
      <c r="H81" s="173"/>
      <c r="I81" s="173"/>
      <c r="J81" s="173"/>
      <c r="K81" s="192"/>
      <c r="L81" s="249"/>
      <c r="M81" s="249"/>
      <c r="N81" s="249"/>
      <c r="O81" s="249"/>
    </row>
    <row r="82" spans="1:15" ht="47.25" customHeight="1">
      <c r="A82" s="192"/>
      <c r="B82" s="173"/>
      <c r="C82" s="173"/>
      <c r="D82" s="173"/>
      <c r="E82" s="173"/>
      <c r="F82" s="173"/>
      <c r="G82" s="173"/>
      <c r="H82" s="173"/>
      <c r="I82" s="173"/>
      <c r="J82" s="173"/>
      <c r="K82" s="757" t="s">
        <v>157</v>
      </c>
      <c r="L82" s="706" t="s">
        <v>1034</v>
      </c>
      <c r="M82" s="707"/>
      <c r="N82" s="708"/>
      <c r="O82" s="743" t="s">
        <v>158</v>
      </c>
    </row>
    <row r="83" spans="1:15" ht="21.75" customHeight="1" thickBot="1">
      <c r="A83" s="192"/>
      <c r="B83" s="173"/>
      <c r="C83" s="173"/>
      <c r="D83" s="173"/>
      <c r="E83" s="173"/>
      <c r="F83" s="173"/>
      <c r="G83" s="173"/>
      <c r="H83" s="173"/>
      <c r="I83" s="173"/>
      <c r="J83" s="173"/>
      <c r="K83" s="771"/>
      <c r="L83" s="422" t="s">
        <v>159</v>
      </c>
      <c r="M83" s="422" t="s">
        <v>1035</v>
      </c>
      <c r="N83" s="422" t="s">
        <v>1036</v>
      </c>
      <c r="O83" s="772"/>
    </row>
    <row r="84" spans="1:16" ht="21.75" customHeight="1" thickBot="1">
      <c r="A84" s="192"/>
      <c r="B84" s="173"/>
      <c r="C84" s="173"/>
      <c r="D84" s="173"/>
      <c r="E84" s="173"/>
      <c r="F84" s="173"/>
      <c r="G84" s="173"/>
      <c r="H84" s="173"/>
      <c r="I84" s="173"/>
      <c r="J84" s="257"/>
      <c r="K84" s="423" t="s">
        <v>16</v>
      </c>
      <c r="L84" s="424"/>
      <c r="M84" s="425">
        <f>SUM(M18:M73)</f>
        <v>60708</v>
      </c>
      <c r="N84" s="426">
        <f>SUM(N18:N73)</f>
        <v>230209</v>
      </c>
      <c r="O84" s="665">
        <v>56</v>
      </c>
      <c r="P84" s="31"/>
    </row>
    <row r="85" spans="1:16" ht="21.75" customHeight="1" thickBot="1">
      <c r="A85" s="192"/>
      <c r="B85" s="173"/>
      <c r="C85" s="173"/>
      <c r="D85" s="173"/>
      <c r="E85" s="173"/>
      <c r="F85" s="173"/>
      <c r="G85" s="173"/>
      <c r="H85" s="173"/>
      <c r="I85" s="173"/>
      <c r="J85" s="257"/>
      <c r="K85" s="16" t="s">
        <v>160</v>
      </c>
      <c r="L85" s="17">
        <f>SUM(L84:L84)</f>
        <v>0</v>
      </c>
      <c r="M85" s="18">
        <f>M84</f>
        <v>60708</v>
      </c>
      <c r="N85" s="19">
        <f>N84</f>
        <v>230209</v>
      </c>
      <c r="O85" s="664">
        <f>SUM(O84:O84)</f>
        <v>56</v>
      </c>
      <c r="P85" s="31"/>
    </row>
    <row r="86" spans="1:16" ht="18.75" thickBot="1">
      <c r="A86" s="192"/>
      <c r="B86" s="173"/>
      <c r="C86" s="173"/>
      <c r="D86" s="173"/>
      <c r="E86" s="173"/>
      <c r="F86" s="173"/>
      <c r="G86" s="173"/>
      <c r="H86" s="173"/>
      <c r="I86" s="173"/>
      <c r="J86" s="257"/>
      <c r="K86"/>
      <c r="L86" s="58" t="s">
        <v>161</v>
      </c>
      <c r="M86" s="338">
        <f>SUM(L85:N85)</f>
        <v>290917</v>
      </c>
      <c r="P86" s="31"/>
    </row>
    <row r="87" spans="1:16" ht="14.25">
      <c r="A87" s="192"/>
      <c r="B87" s="173"/>
      <c r="C87" s="173"/>
      <c r="D87" s="173"/>
      <c r="E87" s="173"/>
      <c r="F87" s="173"/>
      <c r="G87" s="173"/>
      <c r="H87" s="173"/>
      <c r="I87" s="173"/>
      <c r="J87" s="257"/>
      <c r="K87"/>
      <c r="M87" s="2"/>
      <c r="P87" s="31"/>
    </row>
    <row r="88" spans="1:16" ht="14.25">
      <c r="A88" s="192"/>
      <c r="B88" s="173"/>
      <c r="C88" s="173"/>
      <c r="D88" s="173"/>
      <c r="E88" s="173"/>
      <c r="F88" s="173"/>
      <c r="G88" s="173"/>
      <c r="H88" s="173"/>
      <c r="I88" s="173"/>
      <c r="J88" s="257"/>
      <c r="K88" s="259"/>
      <c r="L88" s="256"/>
      <c r="M88" s="256"/>
      <c r="N88" s="256"/>
      <c r="O88" s="257"/>
      <c r="P88" s="31"/>
    </row>
    <row r="89" spans="1:16" ht="15">
      <c r="A89" s="192"/>
      <c r="B89" s="173"/>
      <c r="C89" s="173"/>
      <c r="D89" s="173"/>
      <c r="E89" s="173"/>
      <c r="F89" s="173"/>
      <c r="G89" s="173"/>
      <c r="H89" s="173"/>
      <c r="I89" s="173"/>
      <c r="J89" s="257"/>
      <c r="K89" s="257"/>
      <c r="L89" s="258"/>
      <c r="M89" s="260"/>
      <c r="N89" s="257"/>
      <c r="O89" s="257"/>
      <c r="P89" s="31"/>
    </row>
    <row r="90" spans="1:16" ht="14.25">
      <c r="A90" s="192"/>
      <c r="B90" s="173"/>
      <c r="C90" s="173"/>
      <c r="D90" s="173"/>
      <c r="E90" s="173"/>
      <c r="F90" s="173"/>
      <c r="G90" s="173"/>
      <c r="H90" s="173"/>
      <c r="I90" s="173"/>
      <c r="J90" s="257"/>
      <c r="K90" s="257"/>
      <c r="L90" s="257"/>
      <c r="M90" s="256"/>
      <c r="N90" s="257"/>
      <c r="O90" s="257"/>
      <c r="P90" s="31"/>
    </row>
    <row r="91" spans="10:16" ht="14.25">
      <c r="J91" s="31"/>
      <c r="K91" s="86"/>
      <c r="L91" s="31"/>
      <c r="M91" s="31"/>
      <c r="N91" s="31"/>
      <c r="O91" s="31"/>
      <c r="P91" s="31"/>
    </row>
    <row r="92" spans="10:16" ht="14.25">
      <c r="J92" s="31"/>
      <c r="K92" s="86"/>
      <c r="L92" s="31"/>
      <c r="M92" s="31"/>
      <c r="N92" s="31"/>
      <c r="O92" s="31"/>
      <c r="P92" s="31"/>
    </row>
    <row r="93" spans="10:16" ht="14.25">
      <c r="J93" s="31"/>
      <c r="K93" s="86"/>
      <c r="L93" s="31"/>
      <c r="M93" s="31"/>
      <c r="N93" s="31"/>
      <c r="O93" s="31"/>
      <c r="P93" s="31"/>
    </row>
  </sheetData>
  <sheetProtection/>
  <mergeCells count="19">
    <mergeCell ref="B1:K1"/>
    <mergeCell ref="K82:K83"/>
    <mergeCell ref="L82:N82"/>
    <mergeCell ref="O82:O83"/>
    <mergeCell ref="L16:O16"/>
    <mergeCell ref="L15:O15"/>
    <mergeCell ref="E15:E17"/>
    <mergeCell ref="F15:F17"/>
    <mergeCell ref="G15:G17"/>
    <mergeCell ref="J15:J17"/>
    <mergeCell ref="K15:K17"/>
    <mergeCell ref="B3:I3"/>
    <mergeCell ref="B5:I5"/>
    <mergeCell ref="I15:I17"/>
    <mergeCell ref="A15:A17"/>
    <mergeCell ref="B15:B17"/>
    <mergeCell ref="C15:C17"/>
    <mergeCell ref="D15:D17"/>
    <mergeCell ref="H15:H17"/>
  </mergeCells>
  <printOptions/>
  <pageMargins left="0.7" right="0.7" top="0.75" bottom="0.75" header="0.3" footer="0.3"/>
  <pageSetup horizontalDpi="600" verticalDpi="600" orientation="portrait" paperSize="9" r:id="rId1"/>
  <ignoredErrors>
    <ignoredError sqref="M85:N8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Administrator</cp:lastModifiedBy>
  <dcterms:created xsi:type="dcterms:W3CDTF">2012-09-08T11:04:19Z</dcterms:created>
  <dcterms:modified xsi:type="dcterms:W3CDTF">2017-09-11T15:11:50Z</dcterms:modified>
  <cp:category/>
  <cp:version/>
  <cp:contentType/>
  <cp:contentStatus/>
</cp:coreProperties>
</file>