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\Przetargi\IR.271.9.2017 Energia\"/>
    </mc:Choice>
  </mc:AlternateContent>
  <bookViews>
    <workbookView xWindow="-15" yWindow="5040" windowWidth="20520" windowHeight="5085" tabRatio="911" activeTab="5"/>
  </bookViews>
  <sheets>
    <sheet name="Zestawienie ogólne" sheetId="16" r:id="rId1"/>
    <sheet name="+Miasto Mińsk" sheetId="2" r:id="rId2"/>
    <sheet name="+Powiat Miński" sheetId="1" r:id="rId3"/>
    <sheet name="+Gmina Halinów" sheetId="3" r:id="rId4"/>
    <sheet name="+Gmina Mrozy" sheetId="4" r:id="rId5"/>
    <sheet name="+Gmina Mińsk Mazowiecki" sheetId="5" r:id="rId6"/>
    <sheet name="+Gmina Dębe Wielkie" sheetId="6" r:id="rId7"/>
    <sheet name="+Gmina Siennica" sheetId="7" r:id="rId8"/>
    <sheet name="+Gmina Latowicz" sheetId="8" r:id="rId9"/>
    <sheet name="+Gmina Cegłów" sheetId="9" r:id="rId10"/>
    <sheet name="+Miasto Sulejówek" sheetId="10" r:id="rId11"/>
    <sheet name="+Gmina Dobre" sheetId="11" r:id="rId12"/>
    <sheet name="+Gmina Jakubów" sheetId="12" r:id="rId13"/>
    <sheet name="+Gmina Kałuszyn" sheetId="13" r:id="rId14"/>
    <sheet name="+Gmina Stanisławów" sheetId="15" r:id="rId15"/>
    <sheet name="Gmina Kotuń" sheetId="17" r:id="rId16"/>
  </sheets>
  <calcPr calcId="152511"/>
</workbook>
</file>

<file path=xl/calcChain.xml><?xml version="1.0" encoding="utf-8"?>
<calcChain xmlns="http://schemas.openxmlformats.org/spreadsheetml/2006/main">
  <c r="L29" i="1" l="1"/>
  <c r="G41" i="16"/>
  <c r="O153" i="17"/>
  <c r="O173" i="13"/>
  <c r="C26" i="16" s="1"/>
  <c r="O84" i="11"/>
  <c r="O140" i="9"/>
  <c r="C22" i="16" s="1"/>
  <c r="N190" i="3"/>
  <c r="M190" i="3"/>
  <c r="S83" i="15"/>
  <c r="S84" i="15" s="1"/>
  <c r="N21" i="15"/>
  <c r="M21" i="15"/>
  <c r="O83" i="15"/>
  <c r="N50" i="15"/>
  <c r="M50" i="15"/>
  <c r="N72" i="15"/>
  <c r="M72" i="15"/>
  <c r="L193" i="10"/>
  <c r="O193" i="10" s="1"/>
  <c r="L192" i="10"/>
  <c r="O192" i="10" s="1"/>
  <c r="O194" i="10" s="1"/>
  <c r="L191" i="10"/>
  <c r="O191" i="10" s="1"/>
  <c r="N181" i="10"/>
  <c r="M181" i="10"/>
  <c r="O181" i="10" s="1"/>
  <c r="O182" i="10" s="1"/>
  <c r="L170" i="10"/>
  <c r="O170" i="10" s="1"/>
  <c r="O171" i="10" s="1"/>
  <c r="O41" i="1"/>
  <c r="O40" i="1"/>
  <c r="N244" i="5"/>
  <c r="M244" i="5"/>
  <c r="N243" i="5"/>
  <c r="M243" i="5"/>
  <c r="N242" i="5"/>
  <c r="M242" i="5"/>
  <c r="N241" i="5"/>
  <c r="M241" i="5"/>
  <c r="N240" i="5"/>
  <c r="N239" i="5"/>
  <c r="M239" i="5"/>
  <c r="N108" i="5"/>
  <c r="M108" i="5"/>
  <c r="N194" i="5"/>
  <c r="M194" i="5"/>
  <c r="N124" i="5"/>
  <c r="M124" i="5"/>
  <c r="N94" i="5"/>
  <c r="M94" i="5"/>
  <c r="N166" i="5"/>
  <c r="M166" i="5"/>
  <c r="L125" i="3"/>
  <c r="L142" i="3"/>
  <c r="L140" i="3"/>
  <c r="L29" i="3"/>
  <c r="P285" i="2"/>
  <c r="S285" i="2" s="1"/>
  <c r="O285" i="2"/>
  <c r="N20" i="11"/>
  <c r="M20" i="11"/>
  <c r="L32" i="11"/>
  <c r="O32" i="11" s="1"/>
  <c r="L31" i="11"/>
  <c r="P275" i="2"/>
  <c r="S275" i="2"/>
  <c r="S276" i="2" s="1"/>
  <c r="N18" i="10"/>
  <c r="N239" i="10" s="1"/>
  <c r="N240" i="10" s="1"/>
  <c r="M18" i="10"/>
  <c r="N33" i="7"/>
  <c r="O33" i="7" s="1"/>
  <c r="M33" i="7"/>
  <c r="N27" i="7"/>
  <c r="M27" i="7"/>
  <c r="N34" i="7"/>
  <c r="M34" i="7"/>
  <c r="N59" i="7"/>
  <c r="M59" i="7"/>
  <c r="N93" i="7"/>
  <c r="O93" i="7" s="1"/>
  <c r="M93" i="7"/>
  <c r="N70" i="7"/>
  <c r="M70" i="7"/>
  <c r="N71" i="7"/>
  <c r="O71" i="7" s="1"/>
  <c r="M71" i="7"/>
  <c r="M104" i="7"/>
  <c r="N104" i="7"/>
  <c r="N48" i="7"/>
  <c r="O48" i="7" s="1"/>
  <c r="M48" i="7"/>
  <c r="L115" i="7"/>
  <c r="L116" i="7"/>
  <c r="N32" i="7"/>
  <c r="M32" i="7"/>
  <c r="N30" i="7"/>
  <c r="M30" i="7"/>
  <c r="N24" i="7"/>
  <c r="M24" i="7"/>
  <c r="N23" i="7"/>
  <c r="M23" i="7"/>
  <c r="L36" i="7"/>
  <c r="N21" i="7"/>
  <c r="M21" i="7"/>
  <c r="N25" i="7"/>
  <c r="M25" i="7"/>
  <c r="N22" i="7"/>
  <c r="M22" i="7"/>
  <c r="N26" i="7"/>
  <c r="M26" i="7"/>
  <c r="N29" i="7"/>
  <c r="M29" i="7"/>
  <c r="L136" i="7"/>
  <c r="O136" i="7" s="1"/>
  <c r="N20" i="7"/>
  <c r="M20" i="7"/>
  <c r="N19" i="7"/>
  <c r="M19" i="7"/>
  <c r="N18" i="7"/>
  <c r="M18" i="7"/>
  <c r="N35" i="7"/>
  <c r="M35" i="7"/>
  <c r="N28" i="7"/>
  <c r="M28" i="7"/>
  <c r="M204" i="7" s="1"/>
  <c r="N126" i="7"/>
  <c r="M126" i="7"/>
  <c r="O37" i="7"/>
  <c r="M77" i="9"/>
  <c r="O77" i="9" s="1"/>
  <c r="N77" i="9"/>
  <c r="M78" i="9"/>
  <c r="N78" i="9"/>
  <c r="O78" i="9" s="1"/>
  <c r="O275" i="2"/>
  <c r="O97" i="15"/>
  <c r="C27" i="16" s="1"/>
  <c r="O107" i="12"/>
  <c r="O240" i="10"/>
  <c r="O123" i="8"/>
  <c r="N133" i="6"/>
  <c r="O260" i="5"/>
  <c r="O194" i="3"/>
  <c r="O302" i="2"/>
  <c r="C14" i="16" s="1"/>
  <c r="O229" i="5"/>
  <c r="P229" i="5"/>
  <c r="S229" i="5" s="1"/>
  <c r="S230" i="5" s="1"/>
  <c r="L83" i="5"/>
  <c r="O82" i="5"/>
  <c r="O84" i="5"/>
  <c r="L80" i="5"/>
  <c r="L257" i="5" s="1"/>
  <c r="O219" i="5"/>
  <c r="O218" i="5"/>
  <c r="O217" i="5"/>
  <c r="R216" i="5"/>
  <c r="O216" i="5"/>
  <c r="O215" i="5"/>
  <c r="R215" i="5"/>
  <c r="Q216" i="5"/>
  <c r="R217" i="5"/>
  <c r="Q218" i="5"/>
  <c r="R218" i="5"/>
  <c r="R219" i="5"/>
  <c r="R214" i="5"/>
  <c r="Q214" i="5"/>
  <c r="O214" i="5"/>
  <c r="L57" i="5"/>
  <c r="O57" i="5"/>
  <c r="L56" i="5"/>
  <c r="O56" i="5" s="1"/>
  <c r="L55" i="5"/>
  <c r="O55" i="5"/>
  <c r="L54" i="5"/>
  <c r="O54" i="5" s="1"/>
  <c r="L53" i="5"/>
  <c r="O53" i="5"/>
  <c r="L52" i="5"/>
  <c r="O52" i="5" s="1"/>
  <c r="L51" i="5"/>
  <c r="O51" i="5"/>
  <c r="L50" i="5"/>
  <c r="O50" i="5" s="1"/>
  <c r="L49" i="5"/>
  <c r="O49" i="5"/>
  <c r="L48" i="5"/>
  <c r="O48" i="5" s="1"/>
  <c r="N59" i="5"/>
  <c r="M59" i="5"/>
  <c r="O59" i="5" s="1"/>
  <c r="N33" i="5"/>
  <c r="M33" i="5"/>
  <c r="N32" i="5"/>
  <c r="M32" i="5"/>
  <c r="O32" i="5" s="1"/>
  <c r="N31" i="5"/>
  <c r="M31" i="5"/>
  <c r="N30" i="5"/>
  <c r="M30" i="5"/>
  <c r="O30" i="5" s="1"/>
  <c r="N34" i="5"/>
  <c r="M34" i="5"/>
  <c r="N35" i="5"/>
  <c r="M35" i="5"/>
  <c r="O35" i="5"/>
  <c r="N38" i="5"/>
  <c r="M38" i="5"/>
  <c r="O38" i="5" s="1"/>
  <c r="N39" i="5"/>
  <c r="M39" i="5"/>
  <c r="N40" i="5"/>
  <c r="M40" i="5"/>
  <c r="O40" i="5"/>
  <c r="N41" i="5"/>
  <c r="M41" i="5"/>
  <c r="N42" i="5"/>
  <c r="M42" i="5"/>
  <c r="O42" i="5" s="1"/>
  <c r="N43" i="5"/>
  <c r="M43" i="5"/>
  <c r="L47" i="5"/>
  <c r="O47" i="5" s="1"/>
  <c r="N36" i="5"/>
  <c r="M36" i="5"/>
  <c r="N37" i="5"/>
  <c r="M37" i="5"/>
  <c r="O37" i="5" s="1"/>
  <c r="M240" i="5"/>
  <c r="N28" i="5"/>
  <c r="M28" i="5"/>
  <c r="N29" i="5"/>
  <c r="M29" i="5"/>
  <c r="N259" i="5"/>
  <c r="N46" i="5"/>
  <c r="M46" i="5"/>
  <c r="N45" i="5"/>
  <c r="M45" i="5"/>
  <c r="L44" i="5"/>
  <c r="L204" i="5"/>
  <c r="N70" i="5"/>
  <c r="M70" i="5"/>
  <c r="N81" i="5"/>
  <c r="M81" i="5"/>
  <c r="L148" i="4"/>
  <c r="L147" i="4"/>
  <c r="L146" i="4"/>
  <c r="L145" i="4"/>
  <c r="L144" i="4"/>
  <c r="N139" i="4"/>
  <c r="M139" i="4"/>
  <c r="L142" i="4"/>
  <c r="L143" i="4"/>
  <c r="L207" i="4"/>
  <c r="L206" i="4"/>
  <c r="N140" i="4"/>
  <c r="M140" i="4"/>
  <c r="N141" i="4"/>
  <c r="M141" i="4"/>
  <c r="N138" i="4"/>
  <c r="M138" i="4"/>
  <c r="N137" i="4"/>
  <c r="M137" i="4"/>
  <c r="M184" i="4"/>
  <c r="N184" i="4"/>
  <c r="L31" i="4"/>
  <c r="L115" i="4"/>
  <c r="N93" i="4"/>
  <c r="M93" i="4"/>
  <c r="N82" i="4"/>
  <c r="M82" i="4"/>
  <c r="N104" i="4"/>
  <c r="M104" i="4"/>
  <c r="N126" i="4"/>
  <c r="M126" i="4"/>
  <c r="L195" i="4"/>
  <c r="N67" i="4"/>
  <c r="M67" i="4"/>
  <c r="N172" i="4"/>
  <c r="M172" i="4"/>
  <c r="L52" i="4"/>
  <c r="L28" i="4"/>
  <c r="L183" i="4"/>
  <c r="L171" i="4"/>
  <c r="N64" i="4"/>
  <c r="M64" i="4"/>
  <c r="L68" i="4"/>
  <c r="L170" i="4"/>
  <c r="N20" i="4"/>
  <c r="M20" i="4"/>
  <c r="N18" i="4"/>
  <c r="M18" i="4"/>
  <c r="L71" i="4"/>
  <c r="L169" i="4"/>
  <c r="N66" i="4"/>
  <c r="M66" i="4"/>
  <c r="N69" i="4"/>
  <c r="M69" i="4"/>
  <c r="L158" i="4"/>
  <c r="N70" i="4"/>
  <c r="M70" i="4"/>
  <c r="N25" i="4"/>
  <c r="M25" i="4"/>
  <c r="N26" i="4"/>
  <c r="M26" i="4"/>
  <c r="L29" i="4"/>
  <c r="L30" i="4"/>
  <c r="N27" i="4"/>
  <c r="M27" i="4"/>
  <c r="N22" i="4"/>
  <c r="M22" i="4"/>
  <c r="N23" i="4"/>
  <c r="M23" i="4"/>
  <c r="N19" i="4"/>
  <c r="M19" i="4"/>
  <c r="N24" i="4"/>
  <c r="M24" i="4"/>
  <c r="L21" i="4"/>
  <c r="N63" i="4"/>
  <c r="M63" i="4"/>
  <c r="L72" i="4"/>
  <c r="O72" i="4"/>
  <c r="N65" i="4"/>
  <c r="M65" i="4"/>
  <c r="L35" i="2"/>
  <c r="L82" i="2"/>
  <c r="O82" i="2"/>
  <c r="O83" i="2" s="1"/>
  <c r="L126" i="2"/>
  <c r="O180" i="3"/>
  <c r="O178" i="3"/>
  <c r="O181" i="3" s="1"/>
  <c r="O177" i="3"/>
  <c r="L120" i="3"/>
  <c r="O120" i="3"/>
  <c r="L119" i="3"/>
  <c r="O119" i="3" s="1"/>
  <c r="L141" i="3"/>
  <c r="L129" i="3"/>
  <c r="L143" i="3"/>
  <c r="L145" i="3"/>
  <c r="O145" i="3" s="1"/>
  <c r="L144" i="3"/>
  <c r="O144" i="3"/>
  <c r="L146" i="3"/>
  <c r="O146" i="3" s="1"/>
  <c r="L122" i="3"/>
  <c r="L121" i="3"/>
  <c r="O121" i="3" s="1"/>
  <c r="L124" i="3"/>
  <c r="O124" i="3"/>
  <c r="L128" i="3"/>
  <c r="L127" i="3"/>
  <c r="O127" i="3" s="1"/>
  <c r="L126" i="3"/>
  <c r="O126" i="3"/>
  <c r="L118" i="3"/>
  <c r="N55" i="3"/>
  <c r="M55" i="3"/>
  <c r="L56" i="3"/>
  <c r="O56" i="3" s="1"/>
  <c r="N57" i="3"/>
  <c r="M57" i="3"/>
  <c r="L58" i="3"/>
  <c r="L167" i="3"/>
  <c r="O167" i="3" s="1"/>
  <c r="O168" i="3" s="1"/>
  <c r="L19" i="3"/>
  <c r="L78" i="3"/>
  <c r="L99" i="3"/>
  <c r="L31" i="3"/>
  <c r="N44" i="3"/>
  <c r="M44" i="3"/>
  <c r="N43" i="3"/>
  <c r="M43" i="3"/>
  <c r="O43" i="3"/>
  <c r="N45" i="3"/>
  <c r="M45" i="3"/>
  <c r="N88" i="3"/>
  <c r="M88" i="3"/>
  <c r="L89" i="3"/>
  <c r="L157" i="3"/>
  <c r="O157" i="3" s="1"/>
  <c r="O158" i="3"/>
  <c r="L68" i="3"/>
  <c r="L104" i="3"/>
  <c r="O104" i="3"/>
  <c r="N103" i="3"/>
  <c r="M103" i="3"/>
  <c r="L102" i="3"/>
  <c r="O102" i="3"/>
  <c r="L101" i="3"/>
  <c r="O101" i="3" s="1"/>
  <c r="L100" i="3"/>
  <c r="O100" i="3"/>
  <c r="L144" i="13"/>
  <c r="O144" i="13" s="1"/>
  <c r="L150" i="13"/>
  <c r="L123" i="13"/>
  <c r="O123" i="13"/>
  <c r="L149" i="13"/>
  <c r="O149" i="13" s="1"/>
  <c r="L147" i="13"/>
  <c r="L114" i="13"/>
  <c r="L146" i="13"/>
  <c r="L145" i="13"/>
  <c r="O145" i="13" s="1"/>
  <c r="N120" i="13"/>
  <c r="M120" i="13"/>
  <c r="L117" i="13"/>
  <c r="L116" i="13"/>
  <c r="O116" i="13" s="1"/>
  <c r="L115" i="13"/>
  <c r="L122" i="13"/>
  <c r="L121" i="13"/>
  <c r="L70" i="13"/>
  <c r="O70" i="13" s="1"/>
  <c r="O71" i="13" s="1"/>
  <c r="N80" i="13"/>
  <c r="M80" i="13"/>
  <c r="L103" i="13"/>
  <c r="L134" i="13"/>
  <c r="L133" i="13"/>
  <c r="L34" i="13"/>
  <c r="L32" i="13"/>
  <c r="L92" i="13"/>
  <c r="L93" i="13"/>
  <c r="L39" i="13"/>
  <c r="L28" i="13"/>
  <c r="L50" i="13"/>
  <c r="O50" i="13" s="1"/>
  <c r="O51" i="13" s="1"/>
  <c r="N33" i="13"/>
  <c r="M33" i="13"/>
  <c r="L36" i="13"/>
  <c r="L38" i="13"/>
  <c r="O38" i="13" s="1"/>
  <c r="L31" i="13"/>
  <c r="L91" i="13"/>
  <c r="L59" i="13"/>
  <c r="L30" i="13"/>
  <c r="L35" i="13"/>
  <c r="L29" i="13"/>
  <c r="L37" i="13"/>
  <c r="L75" i="1"/>
  <c r="L139" i="1"/>
  <c r="L140" i="1"/>
  <c r="L138" i="1"/>
  <c r="L18" i="1"/>
  <c r="N128" i="1"/>
  <c r="M128" i="1"/>
  <c r="M153" i="1"/>
  <c r="E38" i="16"/>
  <c r="N108" i="1"/>
  <c r="M108" i="1"/>
  <c r="L64" i="1"/>
  <c r="L92" i="12"/>
  <c r="P92" i="12" s="1"/>
  <c r="S92" i="12" s="1"/>
  <c r="N21" i="12"/>
  <c r="M21" i="12"/>
  <c r="L37" i="12"/>
  <c r="N36" i="12"/>
  <c r="M36" i="12"/>
  <c r="N82" i="12"/>
  <c r="O82" i="12" s="1"/>
  <c r="M82" i="12"/>
  <c r="N48" i="12"/>
  <c r="M48" i="12"/>
  <c r="N59" i="12"/>
  <c r="O59" i="12" s="1"/>
  <c r="M59" i="12"/>
  <c r="N72" i="12"/>
  <c r="M72" i="12"/>
  <c r="N71" i="12"/>
  <c r="O71" i="12" s="1"/>
  <c r="M71" i="12"/>
  <c r="N61" i="12"/>
  <c r="M61" i="12"/>
  <c r="N60" i="12"/>
  <c r="O60" i="12" s="1"/>
  <c r="M60" i="12"/>
  <c r="L35" i="12"/>
  <c r="N34" i="12"/>
  <c r="M34" i="12"/>
  <c r="N33" i="12"/>
  <c r="M33" i="12"/>
  <c r="N32" i="12"/>
  <c r="M32" i="12"/>
  <c r="O32" i="12" s="1"/>
  <c r="N31" i="12"/>
  <c r="M31" i="12"/>
  <c r="N30" i="12"/>
  <c r="M30" i="12"/>
  <c r="N20" i="12"/>
  <c r="M20" i="12"/>
  <c r="L28" i="12"/>
  <c r="N18" i="12"/>
  <c r="M18" i="12"/>
  <c r="N24" i="12"/>
  <c r="M24" i="12"/>
  <c r="N23" i="12"/>
  <c r="M23" i="12"/>
  <c r="N26" i="12"/>
  <c r="M26" i="12"/>
  <c r="N22" i="12"/>
  <c r="M22" i="12"/>
  <c r="R70" i="11"/>
  <c r="Q70" i="11"/>
  <c r="O70" i="11"/>
  <c r="L53" i="11"/>
  <c r="O53" i="11" s="1"/>
  <c r="N41" i="11"/>
  <c r="M41" i="11"/>
  <c r="N39" i="11"/>
  <c r="M39" i="11"/>
  <c r="N57" i="11"/>
  <c r="M57" i="11"/>
  <c r="N56" i="11"/>
  <c r="M56" i="11"/>
  <c r="N58" i="11"/>
  <c r="M58" i="11"/>
  <c r="O58" i="11" s="1"/>
  <c r="N55" i="11"/>
  <c r="M55" i="11"/>
  <c r="N54" i="11"/>
  <c r="O54" i="11"/>
  <c r="M54" i="11"/>
  <c r="N18" i="11"/>
  <c r="M18" i="11"/>
  <c r="N19" i="11"/>
  <c r="O19" i="11" s="1"/>
  <c r="M19" i="11"/>
  <c r="N29" i="11"/>
  <c r="M29" i="11"/>
  <c r="N35" i="11"/>
  <c r="O35" i="11" s="1"/>
  <c r="M35" i="11"/>
  <c r="L38" i="11"/>
  <c r="N37" i="11"/>
  <c r="M37" i="11"/>
  <c r="N33" i="11"/>
  <c r="M33" i="11"/>
  <c r="N36" i="11"/>
  <c r="M36" i="11"/>
  <c r="O36" i="11" s="1"/>
  <c r="N23" i="11"/>
  <c r="M23" i="11"/>
  <c r="N25" i="11"/>
  <c r="N28" i="11"/>
  <c r="M28" i="11"/>
  <c r="N27" i="11"/>
  <c r="M27" i="11"/>
  <c r="O27" i="11" s="1"/>
  <c r="N26" i="11"/>
  <c r="O26" i="11"/>
  <c r="M26" i="11"/>
  <c r="N34" i="11"/>
  <c r="M34" i="11"/>
  <c r="N24" i="11"/>
  <c r="M24" i="11"/>
  <c r="N30" i="11"/>
  <c r="M30" i="11"/>
  <c r="N22" i="11"/>
  <c r="M22" i="11"/>
  <c r="O22" i="11"/>
  <c r="N21" i="11"/>
  <c r="M21" i="11"/>
  <c r="L35" i="15"/>
  <c r="L20" i="15"/>
  <c r="O20" i="15" s="1"/>
  <c r="N31" i="15"/>
  <c r="M31" i="15"/>
  <c r="O31" i="15"/>
  <c r="N26" i="15"/>
  <c r="M26" i="15"/>
  <c r="L32" i="15"/>
  <c r="L36" i="15"/>
  <c r="O36" i="15" s="1"/>
  <c r="L34" i="15"/>
  <c r="O34" i="15"/>
  <c r="L33" i="15"/>
  <c r="O33" i="15" s="1"/>
  <c r="N29" i="15"/>
  <c r="M29" i="15"/>
  <c r="O29" i="15"/>
  <c r="N28" i="15"/>
  <c r="M28" i="15"/>
  <c r="N27" i="15"/>
  <c r="M27" i="15"/>
  <c r="N23" i="15"/>
  <c r="M23" i="15"/>
  <c r="L24" i="15"/>
  <c r="O24" i="15"/>
  <c r="L92" i="15"/>
  <c r="N19" i="15"/>
  <c r="M19" i="15"/>
  <c r="N18" i="15"/>
  <c r="M18" i="15"/>
  <c r="O18" i="15" s="1"/>
  <c r="N25" i="15"/>
  <c r="M25" i="15"/>
  <c r="O25" i="15"/>
  <c r="N37" i="15"/>
  <c r="M37" i="15"/>
  <c r="O37" i="15" s="1"/>
  <c r="N30" i="15"/>
  <c r="M30" i="15"/>
  <c r="N22" i="15"/>
  <c r="M22" i="15"/>
  <c r="L113" i="10"/>
  <c r="O113" i="10" s="1"/>
  <c r="O115" i="10" s="1"/>
  <c r="L114" i="10"/>
  <c r="L226" i="10"/>
  <c r="O226" i="10"/>
  <c r="L77" i="10"/>
  <c r="O77" i="10" s="1"/>
  <c r="L52" i="10"/>
  <c r="L48" i="10"/>
  <c r="L31" i="10"/>
  <c r="O31" i="10" s="1"/>
  <c r="L30" i="10"/>
  <c r="L62" i="10"/>
  <c r="L61" i="10"/>
  <c r="L60" i="10"/>
  <c r="O60" i="10" s="1"/>
  <c r="L59" i="10"/>
  <c r="L64" i="10"/>
  <c r="L58" i="10"/>
  <c r="L57" i="10"/>
  <c r="O57" i="10" s="1"/>
  <c r="L55" i="10"/>
  <c r="L56" i="10"/>
  <c r="L54" i="10"/>
  <c r="L53" i="10"/>
  <c r="O53" i="10" s="1"/>
  <c r="L51" i="10"/>
  <c r="L50" i="10"/>
  <c r="L49" i="10"/>
  <c r="O49" i="10" s="1"/>
  <c r="L65" i="10"/>
  <c r="L47" i="10"/>
  <c r="L46" i="10"/>
  <c r="L45" i="10"/>
  <c r="O45" i="10" s="1"/>
  <c r="L71" i="10"/>
  <c r="L70" i="10"/>
  <c r="L44" i="10"/>
  <c r="L43" i="10"/>
  <c r="O43" i="10" s="1"/>
  <c r="L42" i="10"/>
  <c r="L41" i="10"/>
  <c r="L40" i="10"/>
  <c r="L39" i="10"/>
  <c r="O39" i="10" s="1"/>
  <c r="L38" i="10"/>
  <c r="L37" i="10"/>
  <c r="L36" i="10"/>
  <c r="L35" i="10"/>
  <c r="O35" i="10" s="1"/>
  <c r="L34" i="10"/>
  <c r="O34" i="10" s="1"/>
  <c r="L33" i="10"/>
  <c r="L32" i="10"/>
  <c r="O32" i="10" s="1"/>
  <c r="L63" i="10"/>
  <c r="L125" i="10"/>
  <c r="L102" i="10"/>
  <c r="L101" i="10"/>
  <c r="O101" i="10" s="1"/>
  <c r="L159" i="10"/>
  <c r="L158" i="10"/>
  <c r="N147" i="10"/>
  <c r="M147" i="10"/>
  <c r="L136" i="10"/>
  <c r="N90" i="10"/>
  <c r="M90" i="10"/>
  <c r="L89" i="10"/>
  <c r="O89" i="10" s="1"/>
  <c r="L88" i="10"/>
  <c r="L215" i="10"/>
  <c r="L204" i="10"/>
  <c r="O201" i="2"/>
  <c r="N202" i="2"/>
  <c r="M202" i="2"/>
  <c r="L197" i="2"/>
  <c r="L200" i="2"/>
  <c r="L187" i="2"/>
  <c r="O187" i="2"/>
  <c r="O188" i="2" s="1"/>
  <c r="L198" i="2"/>
  <c r="L216" i="2"/>
  <c r="L213" i="2"/>
  <c r="L214" i="2"/>
  <c r="O214" i="2"/>
  <c r="L215" i="2"/>
  <c r="L252" i="2"/>
  <c r="O252" i="2"/>
  <c r="L263" i="2"/>
  <c r="L253" i="2"/>
  <c r="L255" i="2"/>
  <c r="O255" i="2"/>
  <c r="L257" i="2"/>
  <c r="O257" i="2"/>
  <c r="L265" i="2"/>
  <c r="L261" i="2"/>
  <c r="L264" i="2"/>
  <c r="O264" i="2"/>
  <c r="L258" i="2"/>
  <c r="L262" i="2"/>
  <c r="L254" i="2"/>
  <c r="O254" i="2"/>
  <c r="L259" i="2"/>
  <c r="O259" i="2"/>
  <c r="L250" i="2"/>
  <c r="O250" i="2"/>
  <c r="N59" i="2"/>
  <c r="M59" i="2"/>
  <c r="N36" i="2"/>
  <c r="M36" i="2"/>
  <c r="N37" i="2"/>
  <c r="M37" i="2"/>
  <c r="L48" i="2"/>
  <c r="L176" i="2"/>
  <c r="N177" i="2"/>
  <c r="M177" i="2"/>
  <c r="L104" i="2"/>
  <c r="L163" i="2"/>
  <c r="O163" i="2"/>
  <c r="O165" i="2" s="1"/>
  <c r="L164" i="2"/>
  <c r="O164" i="2"/>
  <c r="L93" i="2"/>
  <c r="O93" i="2" s="1"/>
  <c r="O94" i="2" s="1"/>
  <c r="L71" i="2"/>
  <c r="O71" i="2"/>
  <c r="L239" i="2"/>
  <c r="L237" i="2"/>
  <c r="O237" i="2"/>
  <c r="L238" i="2"/>
  <c r="O238" i="2"/>
  <c r="L139" i="2"/>
  <c r="L137" i="2"/>
  <c r="L115" i="2"/>
  <c r="O115" i="2"/>
  <c r="O116" i="2" s="1"/>
  <c r="N19" i="2"/>
  <c r="M19" i="2"/>
  <c r="N21" i="2"/>
  <c r="M21" i="2"/>
  <c r="M300" i="2" s="1"/>
  <c r="N22" i="2"/>
  <c r="M22" i="2"/>
  <c r="N18" i="2"/>
  <c r="M18" i="2"/>
  <c r="L24" i="2"/>
  <c r="N23" i="2"/>
  <c r="M23" i="2"/>
  <c r="L150" i="2"/>
  <c r="O150" i="2" s="1"/>
  <c r="N151" i="2"/>
  <c r="M151" i="2"/>
  <c r="L152" i="2"/>
  <c r="S120" i="6"/>
  <c r="S121" i="6" s="1"/>
  <c r="O120" i="6"/>
  <c r="O33" i="6"/>
  <c r="O34" i="6"/>
  <c r="N110" i="6"/>
  <c r="M110" i="6"/>
  <c r="N109" i="6"/>
  <c r="M109" i="6"/>
  <c r="M133" i="6" s="1"/>
  <c r="N32" i="6"/>
  <c r="M32" i="6"/>
  <c r="L31" i="6"/>
  <c r="N30" i="6"/>
  <c r="M30" i="6"/>
  <c r="N29" i="6"/>
  <c r="M29" i="6"/>
  <c r="N27" i="6"/>
  <c r="M27" i="6"/>
  <c r="N26" i="6"/>
  <c r="M26" i="6"/>
  <c r="N24" i="6"/>
  <c r="M24" i="6"/>
  <c r="N23" i="6"/>
  <c r="M23" i="6"/>
  <c r="L22" i="6"/>
  <c r="N21" i="6"/>
  <c r="M21" i="6"/>
  <c r="N56" i="6"/>
  <c r="M56" i="6"/>
  <c r="N77" i="6"/>
  <c r="M77" i="6"/>
  <c r="N66" i="6"/>
  <c r="M66" i="6"/>
  <c r="N67" i="6"/>
  <c r="M67" i="6"/>
  <c r="N45" i="6"/>
  <c r="M45" i="6"/>
  <c r="N46" i="6"/>
  <c r="M46" i="6"/>
  <c r="L98" i="6"/>
  <c r="L97" i="6"/>
  <c r="N96" i="6"/>
  <c r="M96" i="6"/>
  <c r="N95" i="6"/>
  <c r="M95" i="6"/>
  <c r="N94" i="6"/>
  <c r="M94" i="6"/>
  <c r="N93" i="6"/>
  <c r="M93" i="6"/>
  <c r="N92" i="6"/>
  <c r="M92" i="6"/>
  <c r="N91" i="6"/>
  <c r="M91" i="6"/>
  <c r="N90" i="6"/>
  <c r="M90" i="6"/>
  <c r="N89" i="6"/>
  <c r="M89" i="6"/>
  <c r="N88" i="6"/>
  <c r="M88" i="6"/>
  <c r="L37" i="8"/>
  <c r="L81" i="8"/>
  <c r="O81" i="8"/>
  <c r="M18" i="8"/>
  <c r="O18" i="8" s="1"/>
  <c r="O38" i="8" s="1"/>
  <c r="N18" i="8"/>
  <c r="L89" i="8"/>
  <c r="L59" i="8"/>
  <c r="L70" i="8"/>
  <c r="L32" i="8"/>
  <c r="L60" i="8"/>
  <c r="L82" i="8"/>
  <c r="O82" i="8" s="1"/>
  <c r="L87" i="8"/>
  <c r="L105" i="8"/>
  <c r="O105" i="8"/>
  <c r="L48" i="8"/>
  <c r="L104" i="8"/>
  <c r="L103" i="8"/>
  <c r="L102" i="8"/>
  <c r="N20" i="8"/>
  <c r="M20" i="8"/>
  <c r="L33" i="8"/>
  <c r="L106" i="8"/>
  <c r="L29" i="8"/>
  <c r="L28" i="8"/>
  <c r="L27" i="8"/>
  <c r="L26" i="8"/>
  <c r="L25" i="8"/>
  <c r="L24" i="8"/>
  <c r="L23" i="8"/>
  <c r="L22" i="8"/>
  <c r="L31" i="8"/>
  <c r="N19" i="8"/>
  <c r="M19" i="8"/>
  <c r="L83" i="8"/>
  <c r="L21" i="8"/>
  <c r="L34" i="8"/>
  <c r="L101" i="8"/>
  <c r="L100" i="8"/>
  <c r="O100" i="8" s="1"/>
  <c r="L84" i="8"/>
  <c r="L85" i="8"/>
  <c r="L86" i="8"/>
  <c r="L30" i="8"/>
  <c r="L83" i="17"/>
  <c r="L118" i="17"/>
  <c r="L117" i="17"/>
  <c r="O117" i="17" s="1"/>
  <c r="L116" i="17"/>
  <c r="L94" i="17"/>
  <c r="L105" i="17"/>
  <c r="L66" i="17"/>
  <c r="O66" i="17" s="1"/>
  <c r="L65" i="17"/>
  <c r="L64" i="17"/>
  <c r="O64" i="17"/>
  <c r="L63" i="17"/>
  <c r="O63" i="17" s="1"/>
  <c r="L62" i="17"/>
  <c r="L61" i="17"/>
  <c r="O61" i="17"/>
  <c r="L60" i="17"/>
  <c r="L59" i="17"/>
  <c r="L58" i="17"/>
  <c r="N57" i="17"/>
  <c r="N151" i="17" s="1"/>
  <c r="M57" i="17"/>
  <c r="M151" i="17"/>
  <c r="L56" i="17"/>
  <c r="O56" i="17" s="1"/>
  <c r="L54" i="17"/>
  <c r="L53" i="17"/>
  <c r="L52" i="17"/>
  <c r="O52" i="17" s="1"/>
  <c r="L51" i="17"/>
  <c r="O51" i="17" s="1"/>
  <c r="L50" i="17"/>
  <c r="O50" i="17"/>
  <c r="L49" i="17"/>
  <c r="O49" i="17"/>
  <c r="L48" i="17"/>
  <c r="N47" i="17"/>
  <c r="M47" i="17"/>
  <c r="L46" i="17"/>
  <c r="O46" i="17"/>
  <c r="L45" i="17"/>
  <c r="O45" i="17" s="1"/>
  <c r="L44" i="17"/>
  <c r="O44" i="17"/>
  <c r="L43" i="17"/>
  <c r="O43" i="17"/>
  <c r="L42" i="17"/>
  <c r="O42" i="17"/>
  <c r="L41" i="17"/>
  <c r="N40" i="17"/>
  <c r="N150" i="17" s="1"/>
  <c r="N153" i="17"/>
  <c r="M40" i="17"/>
  <c r="L39" i="17"/>
  <c r="L38" i="17"/>
  <c r="O38" i="17"/>
  <c r="L37" i="17"/>
  <c r="L69" i="17"/>
  <c r="L36" i="17"/>
  <c r="O36" i="17"/>
  <c r="L34" i="17"/>
  <c r="O34" i="17"/>
  <c r="L33" i="17"/>
  <c r="L32" i="17"/>
  <c r="O32" i="17" s="1"/>
  <c r="L31" i="17"/>
  <c r="L30" i="17"/>
  <c r="O30" i="17" s="1"/>
  <c r="L29" i="17"/>
  <c r="O29" i="17" s="1"/>
  <c r="L28" i="17"/>
  <c r="L27" i="17"/>
  <c r="O27" i="17"/>
  <c r="L26" i="17"/>
  <c r="L25" i="17"/>
  <c r="O25" i="17"/>
  <c r="L24" i="17"/>
  <c r="O24" i="17" s="1"/>
  <c r="L23" i="17"/>
  <c r="L22" i="17"/>
  <c r="L21" i="17"/>
  <c r="O21" i="17" s="1"/>
  <c r="L20" i="17"/>
  <c r="L19" i="17"/>
  <c r="O19" i="17"/>
  <c r="L67" i="17"/>
  <c r="O67" i="17"/>
  <c r="L18" i="17"/>
  <c r="L17" i="17"/>
  <c r="O17" i="17" s="1"/>
  <c r="O72" i="17"/>
  <c r="O71" i="17"/>
  <c r="L70" i="17"/>
  <c r="O70" i="17" s="1"/>
  <c r="L130" i="17"/>
  <c r="L129" i="17"/>
  <c r="L138" i="17"/>
  <c r="O138" i="17" s="1"/>
  <c r="L136" i="17"/>
  <c r="L135" i="17"/>
  <c r="O135" i="17"/>
  <c r="L134" i="17"/>
  <c r="O134" i="17" s="1"/>
  <c r="L133" i="17"/>
  <c r="L132" i="17"/>
  <c r="O132" i="17"/>
  <c r="L114" i="9"/>
  <c r="O114" i="9" s="1"/>
  <c r="O116" i="9" s="1"/>
  <c r="L115" i="9"/>
  <c r="O115" i="9" s="1"/>
  <c r="O125" i="9"/>
  <c r="O126" i="9" s="1"/>
  <c r="N75" i="9"/>
  <c r="M75" i="9"/>
  <c r="N76" i="9"/>
  <c r="M76" i="9"/>
  <c r="N72" i="9"/>
  <c r="M72" i="9"/>
  <c r="N73" i="9"/>
  <c r="M73" i="9"/>
  <c r="N74" i="9"/>
  <c r="M74" i="9"/>
  <c r="N71" i="9"/>
  <c r="M71" i="9"/>
  <c r="N31" i="9"/>
  <c r="M31" i="9"/>
  <c r="L33" i="9"/>
  <c r="L70" i="9"/>
  <c r="O70" i="9" s="1"/>
  <c r="L137" i="9" s="1"/>
  <c r="N28" i="9"/>
  <c r="O28" i="9"/>
  <c r="M28" i="9"/>
  <c r="N22" i="9"/>
  <c r="M22" i="9"/>
  <c r="O22" i="9"/>
  <c r="L32" i="9"/>
  <c r="N27" i="9"/>
  <c r="M27" i="9"/>
  <c r="N30" i="9"/>
  <c r="O30" i="9" s="1"/>
  <c r="M30" i="9"/>
  <c r="N24" i="9"/>
  <c r="M24" i="9"/>
  <c r="N20" i="9"/>
  <c r="M20" i="9"/>
  <c r="N25" i="9"/>
  <c r="M25" i="9"/>
  <c r="N21" i="9"/>
  <c r="M21" i="9"/>
  <c r="N29" i="9"/>
  <c r="M29" i="9"/>
  <c r="N23" i="9"/>
  <c r="M23" i="9"/>
  <c r="O23" i="9" s="1"/>
  <c r="N26" i="9"/>
  <c r="M26" i="9"/>
  <c r="L101" i="9"/>
  <c r="O101" i="9"/>
  <c r="L135" i="9" s="1"/>
  <c r="M100" i="9"/>
  <c r="N100" i="9"/>
  <c r="N139" i="9"/>
  <c r="L99" i="9"/>
  <c r="O99" i="9"/>
  <c r="N59" i="9"/>
  <c r="O59" i="9" s="1"/>
  <c r="O60" i="9" s="1"/>
  <c r="M59" i="9"/>
  <c r="N88" i="9"/>
  <c r="M88" i="9"/>
  <c r="N45" i="9"/>
  <c r="M45" i="9"/>
  <c r="O45" i="9"/>
  <c r="N44" i="9"/>
  <c r="M44" i="9"/>
  <c r="N47" i="9"/>
  <c r="M47" i="9"/>
  <c r="N46" i="9"/>
  <c r="M46" i="9"/>
  <c r="O46" i="9" s="1"/>
  <c r="N48" i="9"/>
  <c r="M48" i="9"/>
  <c r="G43" i="16"/>
  <c r="G42" i="16"/>
  <c r="G40" i="16"/>
  <c r="G39" i="16"/>
  <c r="G37" i="16"/>
  <c r="G36" i="16"/>
  <c r="O206" i="7"/>
  <c r="C20" i="16" s="1"/>
  <c r="O42" i="11"/>
  <c r="N205" i="7"/>
  <c r="M205" i="7"/>
  <c r="O34" i="7"/>
  <c r="O82" i="7"/>
  <c r="O83" i="7"/>
  <c r="O104" i="7"/>
  <c r="O105" i="7" s="1"/>
  <c r="O94" i="7"/>
  <c r="O59" i="7"/>
  <c r="O60" i="7" s="1"/>
  <c r="O49" i="7"/>
  <c r="C18" i="16"/>
  <c r="O18" i="17"/>
  <c r="O20" i="17"/>
  <c r="O22" i="17"/>
  <c r="O23" i="17"/>
  <c r="O26" i="17"/>
  <c r="O28" i="17"/>
  <c r="O31" i="17"/>
  <c r="O33" i="17"/>
  <c r="L35" i="17"/>
  <c r="O35" i="17"/>
  <c r="O37" i="17"/>
  <c r="O39" i="17"/>
  <c r="O41" i="17"/>
  <c r="O48" i="17"/>
  <c r="O53" i="17"/>
  <c r="O54" i="17"/>
  <c r="L55" i="17"/>
  <c r="O55" i="17" s="1"/>
  <c r="O58" i="17"/>
  <c r="O59" i="17"/>
  <c r="O60" i="17"/>
  <c r="O62" i="17"/>
  <c r="O65" i="17"/>
  <c r="L68" i="17"/>
  <c r="O68" i="17" s="1"/>
  <c r="O83" i="17"/>
  <c r="O84" i="17" s="1"/>
  <c r="O94" i="17"/>
  <c r="O95" i="17" s="1"/>
  <c r="O105" i="17"/>
  <c r="O106" i="17" s="1"/>
  <c r="O69" i="17"/>
  <c r="O116" i="17"/>
  <c r="K117" i="17"/>
  <c r="O118" i="17"/>
  <c r="O129" i="17"/>
  <c r="O130" i="17"/>
  <c r="L131" i="17"/>
  <c r="O131" i="17"/>
  <c r="L152" i="17" s="1"/>
  <c r="O133" i="17"/>
  <c r="O136" i="17"/>
  <c r="L137" i="17"/>
  <c r="O137" i="17" s="1"/>
  <c r="C28" i="16"/>
  <c r="O21" i="15"/>
  <c r="M61" i="15"/>
  <c r="N61" i="15"/>
  <c r="O32" i="15"/>
  <c r="L93" i="15" s="1"/>
  <c r="B46" i="16" s="1"/>
  <c r="O35" i="15"/>
  <c r="M38" i="15"/>
  <c r="N38" i="15"/>
  <c r="L18" i="13"/>
  <c r="O18" i="13" s="1"/>
  <c r="O28" i="13"/>
  <c r="O29" i="13"/>
  <c r="O30" i="13"/>
  <c r="O31" i="13"/>
  <c r="O32" i="13"/>
  <c r="O34" i="13"/>
  <c r="O35" i="13"/>
  <c r="O36" i="13"/>
  <c r="O37" i="13"/>
  <c r="O39" i="13"/>
  <c r="O93" i="13"/>
  <c r="O80" i="13"/>
  <c r="O81" i="13" s="1"/>
  <c r="O91" i="13"/>
  <c r="O92" i="13"/>
  <c r="O94" i="13" s="1"/>
  <c r="O59" i="13"/>
  <c r="O60" i="13" s="1"/>
  <c r="O103" i="13"/>
  <c r="O104" i="13"/>
  <c r="O114" i="13"/>
  <c r="O115" i="13"/>
  <c r="O117" i="13"/>
  <c r="L118" i="13"/>
  <c r="O118" i="13" s="1"/>
  <c r="L119" i="13"/>
  <c r="O119" i="13"/>
  <c r="O121" i="13"/>
  <c r="O122" i="13"/>
  <c r="O133" i="13"/>
  <c r="O134" i="13"/>
  <c r="O146" i="13"/>
  <c r="O147" i="13"/>
  <c r="O148" i="13"/>
  <c r="O150" i="13"/>
  <c r="M160" i="13"/>
  <c r="N160" i="13"/>
  <c r="Q160" i="13"/>
  <c r="R160" i="13"/>
  <c r="N172" i="13"/>
  <c r="O37" i="12"/>
  <c r="L104" i="12" s="1"/>
  <c r="M106" i="12"/>
  <c r="O19" i="12"/>
  <c r="O21" i="12"/>
  <c r="O24" i="12"/>
  <c r="M25" i="12"/>
  <c r="N25" i="12"/>
  <c r="O26" i="12"/>
  <c r="L27" i="12"/>
  <c r="O27" i="12" s="1"/>
  <c r="O28" i="12"/>
  <c r="O29" i="12"/>
  <c r="O48" i="12"/>
  <c r="O49" i="12"/>
  <c r="O73" i="12"/>
  <c r="O72" i="12"/>
  <c r="O83" i="12"/>
  <c r="O61" i="12"/>
  <c r="O35" i="12"/>
  <c r="O30" i="12"/>
  <c r="L93" i="12"/>
  <c r="O93" i="12" s="1"/>
  <c r="N106" i="12"/>
  <c r="C25" i="16"/>
  <c r="O23" i="11"/>
  <c r="M25" i="11"/>
  <c r="O25" i="11" s="1"/>
  <c r="O28" i="11"/>
  <c r="O31" i="11"/>
  <c r="O33" i="11"/>
  <c r="O38" i="11"/>
  <c r="L81" i="11" s="1"/>
  <c r="L84" i="11" s="1"/>
  <c r="O59" i="11"/>
  <c r="L80" i="11" s="1"/>
  <c r="O40" i="11"/>
  <c r="O41" i="11"/>
  <c r="O43" i="11"/>
  <c r="C24" i="16"/>
  <c r="O18" i="10"/>
  <c r="O19" i="10"/>
  <c r="O30" i="10"/>
  <c r="O33" i="10"/>
  <c r="O36" i="10"/>
  <c r="O37" i="10"/>
  <c r="O38" i="10"/>
  <c r="O40" i="10"/>
  <c r="O41" i="10"/>
  <c r="O42" i="10"/>
  <c r="O44" i="10"/>
  <c r="O46" i="10"/>
  <c r="O47" i="10"/>
  <c r="O48" i="10"/>
  <c r="O50" i="10"/>
  <c r="O51" i="10"/>
  <c r="O52" i="10"/>
  <c r="O54" i="10"/>
  <c r="O55" i="10"/>
  <c r="O56" i="10"/>
  <c r="O58" i="10"/>
  <c r="O59" i="10"/>
  <c r="O61" i="10"/>
  <c r="O62" i="10"/>
  <c r="O63" i="10"/>
  <c r="O64" i="10"/>
  <c r="O65" i="10"/>
  <c r="O88" i="10"/>
  <c r="O102" i="10"/>
  <c r="O114" i="10"/>
  <c r="O125" i="10"/>
  <c r="O126" i="10" s="1"/>
  <c r="O136" i="10"/>
  <c r="O137" i="10" s="1"/>
  <c r="O147" i="10"/>
  <c r="O148" i="10" s="1"/>
  <c r="O158" i="10"/>
  <c r="O159" i="10"/>
  <c r="O160" i="10" s="1"/>
  <c r="O204" i="10"/>
  <c r="O205" i="10"/>
  <c r="O215" i="10"/>
  <c r="O216" i="10"/>
  <c r="L67" i="10"/>
  <c r="O67" i="10"/>
  <c r="O72" i="10"/>
  <c r="L66" i="10"/>
  <c r="O66" i="10" s="1"/>
  <c r="O73" i="10"/>
  <c r="O68" i="10"/>
  <c r="O69" i="10"/>
  <c r="O71" i="10"/>
  <c r="O76" i="10"/>
  <c r="O70" i="10"/>
  <c r="O74" i="10"/>
  <c r="O75" i="10"/>
  <c r="C23" i="16"/>
  <c r="O32" i="9"/>
  <c r="O33" i="9"/>
  <c r="M139" i="9"/>
  <c r="M120" i="8"/>
  <c r="N120" i="8"/>
  <c r="M121" i="8"/>
  <c r="E41" i="16" s="1"/>
  <c r="N121" i="8"/>
  <c r="F41" i="16" s="1"/>
  <c r="O21" i="8"/>
  <c r="O22" i="8"/>
  <c r="O23" i="8"/>
  <c r="O24" i="8"/>
  <c r="O25" i="8"/>
  <c r="O26" i="8"/>
  <c r="O27" i="8"/>
  <c r="O28" i="8"/>
  <c r="O29" i="8"/>
  <c r="O30" i="8"/>
  <c r="O31" i="8"/>
  <c r="O32" i="8"/>
  <c r="O60" i="8"/>
  <c r="O33" i="8"/>
  <c r="O48" i="8"/>
  <c r="O49" i="8" s="1"/>
  <c r="O34" i="8"/>
  <c r="O35" i="8"/>
  <c r="O36" i="8"/>
  <c r="O37" i="8"/>
  <c r="L122" i="8" s="1"/>
  <c r="O59" i="8"/>
  <c r="O61" i="8" s="1"/>
  <c r="O70" i="8"/>
  <c r="O71" i="8" s="1"/>
  <c r="O83" i="8"/>
  <c r="O84" i="8"/>
  <c r="O85" i="8"/>
  <c r="O86" i="8"/>
  <c r="O87" i="8"/>
  <c r="L88" i="8"/>
  <c r="O88" i="8" s="1"/>
  <c r="O89" i="8"/>
  <c r="O101" i="8"/>
  <c r="O102" i="8"/>
  <c r="O103" i="8"/>
  <c r="O104" i="8"/>
  <c r="O106" i="8"/>
  <c r="C21" i="16"/>
  <c r="M148" i="7"/>
  <c r="N148" i="7"/>
  <c r="M158" i="7"/>
  <c r="O158" i="7"/>
  <c r="O159" i="7" s="1"/>
  <c r="N158" i="7"/>
  <c r="M170" i="7"/>
  <c r="N170" i="7"/>
  <c r="O22" i="7"/>
  <c r="O180" i="7"/>
  <c r="O181" i="7"/>
  <c r="O27" i="7"/>
  <c r="O30" i="7"/>
  <c r="O31" i="7"/>
  <c r="O36" i="7"/>
  <c r="L201" i="7"/>
  <c r="O115" i="7"/>
  <c r="L203" i="7" s="1"/>
  <c r="L206" i="7" s="1"/>
  <c r="O116" i="7"/>
  <c r="M137" i="7"/>
  <c r="M202" i="7" s="1"/>
  <c r="N137" i="7"/>
  <c r="M192" i="7"/>
  <c r="O192" i="7" s="1"/>
  <c r="O193" i="7" s="1"/>
  <c r="N192" i="7"/>
  <c r="O21" i="6"/>
  <c r="O22" i="6"/>
  <c r="M25" i="6"/>
  <c r="N25" i="6"/>
  <c r="O25" i="6"/>
  <c r="L28" i="6"/>
  <c r="O28" i="6" s="1"/>
  <c r="L132" i="6" s="1"/>
  <c r="O31" i="6"/>
  <c r="O32" i="6"/>
  <c r="O45" i="6"/>
  <c r="O47" i="6" s="1"/>
  <c r="O56" i="6"/>
  <c r="O57" i="6" s="1"/>
  <c r="O66" i="6"/>
  <c r="O89" i="6"/>
  <c r="O92" i="6"/>
  <c r="O96" i="6"/>
  <c r="O97" i="6"/>
  <c r="O98" i="6"/>
  <c r="O109" i="6"/>
  <c r="O111" i="6" s="1"/>
  <c r="O135" i="6"/>
  <c r="C19" i="16"/>
  <c r="M18" i="5"/>
  <c r="N18" i="5"/>
  <c r="O44" i="5"/>
  <c r="O80" i="5"/>
  <c r="O83" i="5"/>
  <c r="O94" i="5"/>
  <c r="O95" i="5" s="1"/>
  <c r="O124" i="5"/>
  <c r="O125" i="5"/>
  <c r="O152" i="5"/>
  <c r="O153" i="5" s="1"/>
  <c r="O180" i="5"/>
  <c r="O181" i="5"/>
  <c r="O194" i="5"/>
  <c r="O195" i="5" s="1"/>
  <c r="O204" i="5"/>
  <c r="O205" i="5"/>
  <c r="M58" i="5"/>
  <c r="O58" i="5" s="1"/>
  <c r="N58" i="5"/>
  <c r="O18" i="4"/>
  <c r="O19" i="4"/>
  <c r="O20" i="4"/>
  <c r="O21" i="4"/>
  <c r="K217" i="4" s="1"/>
  <c r="K222" i="4" s="1"/>
  <c r="O22" i="4"/>
  <c r="O23" i="4"/>
  <c r="O24" i="4"/>
  <c r="O26" i="4"/>
  <c r="O28" i="4"/>
  <c r="O29" i="4"/>
  <c r="O30" i="4"/>
  <c r="O145" i="4"/>
  <c r="O31" i="4"/>
  <c r="M41" i="4"/>
  <c r="N41" i="4"/>
  <c r="M221" i="4"/>
  <c r="O52" i="4"/>
  <c r="O53" i="4" s="1"/>
  <c r="O63" i="4"/>
  <c r="O66" i="4"/>
  <c r="O67" i="4"/>
  <c r="O68" i="4"/>
  <c r="O69" i="4"/>
  <c r="O70" i="4"/>
  <c r="O71" i="4"/>
  <c r="O115" i="4"/>
  <c r="L220" i="4"/>
  <c r="E44" i="16"/>
  <c r="O141" i="4"/>
  <c r="O142" i="4"/>
  <c r="O143" i="4"/>
  <c r="O158" i="4"/>
  <c r="O159" i="4" s="1"/>
  <c r="O169" i="4"/>
  <c r="O173" i="4" s="1"/>
  <c r="O170" i="4"/>
  <c r="O171" i="4"/>
  <c r="O172" i="4"/>
  <c r="O183" i="4"/>
  <c r="O195" i="4"/>
  <c r="O196" i="4"/>
  <c r="O206" i="4"/>
  <c r="O208" i="4" s="1"/>
  <c r="O207" i="4"/>
  <c r="O147" i="4"/>
  <c r="O146" i="4"/>
  <c r="O148" i="4"/>
  <c r="O144" i="4"/>
  <c r="L219" i="4"/>
  <c r="M220" i="4"/>
  <c r="F44" i="16" s="1"/>
  <c r="N222" i="4"/>
  <c r="C17" i="16" s="1"/>
  <c r="M18" i="3"/>
  <c r="N18" i="3"/>
  <c r="O19" i="3"/>
  <c r="O29" i="3"/>
  <c r="L30" i="3"/>
  <c r="O30" i="3" s="1"/>
  <c r="L191" i="3" s="1"/>
  <c r="L194" i="3" s="1"/>
  <c r="O44" i="3"/>
  <c r="O58" i="3"/>
  <c r="O68" i="3"/>
  <c r="O69" i="3" s="1"/>
  <c r="O78" i="3"/>
  <c r="O79" i="3" s="1"/>
  <c r="O89" i="3"/>
  <c r="O99" i="3"/>
  <c r="O118" i="3"/>
  <c r="O122" i="3"/>
  <c r="O123" i="3"/>
  <c r="O125" i="3"/>
  <c r="O128" i="3"/>
  <c r="O129" i="3"/>
  <c r="O140" i="3"/>
  <c r="O141" i="3"/>
  <c r="O142" i="3"/>
  <c r="O143" i="3"/>
  <c r="O31" i="3"/>
  <c r="O108" i="3"/>
  <c r="L189" i="3" s="1"/>
  <c r="O105" i="3"/>
  <c r="O106" i="3"/>
  <c r="O107" i="3"/>
  <c r="C16" i="16"/>
  <c r="O18" i="1"/>
  <c r="O19" i="1" s="1"/>
  <c r="O29" i="1"/>
  <c r="O31" i="1"/>
  <c r="O30" i="1"/>
  <c r="O52" i="1"/>
  <c r="O53" i="1"/>
  <c r="O63" i="1"/>
  <c r="O64" i="1"/>
  <c r="O65" i="1"/>
  <c r="O75" i="1"/>
  <c r="O76" i="1" s="1"/>
  <c r="O85" i="1"/>
  <c r="O86" i="1"/>
  <c r="O96" i="1"/>
  <c r="O99" i="1" s="1"/>
  <c r="O97" i="1"/>
  <c r="O98" i="1"/>
  <c r="O108" i="1"/>
  <c r="O109" i="1" s="1"/>
  <c r="O118" i="1"/>
  <c r="O119" i="1"/>
  <c r="O128" i="1"/>
  <c r="O129" i="1" s="1"/>
  <c r="O138" i="1"/>
  <c r="O139" i="1"/>
  <c r="O140" i="1"/>
  <c r="M152" i="1"/>
  <c r="N152" i="1"/>
  <c r="N153" i="1"/>
  <c r="F38" i="16" s="1"/>
  <c r="O155" i="1"/>
  <c r="C15" i="16" s="1"/>
  <c r="O20" i="2"/>
  <c r="O23" i="2"/>
  <c r="O35" i="2"/>
  <c r="L298" i="2" s="1"/>
  <c r="B42" i="16" s="1"/>
  <c r="O48" i="2"/>
  <c r="O49" i="2" s="1"/>
  <c r="O70" i="2"/>
  <c r="O139" i="2"/>
  <c r="O104" i="2"/>
  <c r="O105" i="2" s="1"/>
  <c r="O126" i="2"/>
  <c r="O127" i="2"/>
  <c r="O137" i="2"/>
  <c r="O140" i="2" s="1"/>
  <c r="O138" i="2"/>
  <c r="O152" i="2"/>
  <c r="L175" i="2"/>
  <c r="O175" i="2" s="1"/>
  <c r="O178" i="2" s="1"/>
  <c r="O176" i="2"/>
  <c r="O198" i="2"/>
  <c r="O203" i="2" s="1"/>
  <c r="O199" i="2"/>
  <c r="O200" i="2"/>
  <c r="L217" i="2"/>
  <c r="O217" i="2" s="1"/>
  <c r="L301" i="2" s="1"/>
  <c r="B47" i="16" s="1"/>
  <c r="O213" i="2"/>
  <c r="O218" i="2" s="1"/>
  <c r="O215" i="2"/>
  <c r="O216" i="2"/>
  <c r="O227" i="2"/>
  <c r="O228" i="2" s="1"/>
  <c r="O239" i="2"/>
  <c r="O240" i="2" s="1"/>
  <c r="O251" i="2"/>
  <c r="O253" i="2"/>
  <c r="O286" i="2"/>
  <c r="P286" i="2" s="1"/>
  <c r="S286" i="2" s="1"/>
  <c r="L256" i="2"/>
  <c r="O256" i="2"/>
  <c r="L297" i="2" s="1"/>
  <c r="O258" i="2"/>
  <c r="O260" i="2"/>
  <c r="O261" i="2"/>
  <c r="O262" i="2"/>
  <c r="O263" i="2"/>
  <c r="O265" i="2"/>
  <c r="O24" i="2"/>
  <c r="G38" i="16"/>
  <c r="G44" i="16"/>
  <c r="G45" i="16"/>
  <c r="G46" i="16"/>
  <c r="G47" i="16"/>
  <c r="L119" i="8"/>
  <c r="O20" i="8"/>
  <c r="O20" i="7"/>
  <c r="O18" i="7"/>
  <c r="O38" i="7" s="1"/>
  <c r="N197" i="7" s="1"/>
  <c r="O166" i="5"/>
  <c r="O167" i="5" s="1"/>
  <c r="S214" i="5"/>
  <c r="O70" i="5"/>
  <c r="O71" i="5"/>
  <c r="O138" i="5"/>
  <c r="O139" i="5"/>
  <c r="O108" i="5"/>
  <c r="O109" i="5"/>
  <c r="O21" i="7"/>
  <c r="O25" i="7"/>
  <c r="O23" i="7"/>
  <c r="O26" i="7"/>
  <c r="O28" i="7"/>
  <c r="O148" i="7"/>
  <c r="O149" i="7" s="1"/>
  <c r="O32" i="7"/>
  <c r="O29" i="7"/>
  <c r="O24" i="7"/>
  <c r="O170" i="7"/>
  <c r="O171" i="7"/>
  <c r="O70" i="7"/>
  <c r="O72" i="7"/>
  <c r="O110" i="6"/>
  <c r="O46" i="6"/>
  <c r="O93" i="6"/>
  <c r="O77" i="6"/>
  <c r="O78" i="6" s="1"/>
  <c r="O67" i="6"/>
  <c r="O94" i="6"/>
  <c r="O91" i="6"/>
  <c r="O30" i="6"/>
  <c r="O23" i="6"/>
  <c r="O95" i="6"/>
  <c r="O90" i="6"/>
  <c r="O29" i="6"/>
  <c r="O27" i="6"/>
  <c r="O35" i="7"/>
  <c r="L117" i="8"/>
  <c r="O19" i="8"/>
  <c r="L118" i="8"/>
  <c r="O30" i="15"/>
  <c r="O26" i="15"/>
  <c r="O19" i="15"/>
  <c r="O27" i="15"/>
  <c r="O28" i="15"/>
  <c r="M172" i="13"/>
  <c r="M173" i="13" s="1"/>
  <c r="S160" i="13"/>
  <c r="S161" i="13" s="1"/>
  <c r="O120" i="13"/>
  <c r="O33" i="13"/>
  <c r="L171" i="13"/>
  <c r="O34" i="12"/>
  <c r="O18" i="11"/>
  <c r="O57" i="11"/>
  <c r="O29" i="11"/>
  <c r="O24" i="11"/>
  <c r="O21" i="11"/>
  <c r="O39" i="11"/>
  <c r="O151" i="2"/>
  <c r="O57" i="17"/>
  <c r="O47" i="17"/>
  <c r="O137" i="7"/>
  <c r="O138" i="7"/>
  <c r="O19" i="7"/>
  <c r="O126" i="7"/>
  <c r="O127" i="7" s="1"/>
  <c r="N202" i="7"/>
  <c r="O140" i="4"/>
  <c r="O126" i="4"/>
  <c r="O127" i="4" s="1"/>
  <c r="O104" i="4"/>
  <c r="O105" i="4" s="1"/>
  <c r="O82" i="4"/>
  <c r="O83" i="4" s="1"/>
  <c r="O64" i="4"/>
  <c r="O27" i="4"/>
  <c r="O25" i="4"/>
  <c r="O184" i="4"/>
  <c r="O139" i="4"/>
  <c r="O137" i="4"/>
  <c r="O93" i="4"/>
  <c r="O94" i="4" s="1"/>
  <c r="O65" i="4"/>
  <c r="M219" i="4"/>
  <c r="M123" i="8"/>
  <c r="O71" i="9"/>
  <c r="O27" i="9"/>
  <c r="O75" i="9"/>
  <c r="O21" i="9"/>
  <c r="O24" i="9"/>
  <c r="O100" i="9"/>
  <c r="O76" i="9"/>
  <c r="O73" i="9"/>
  <c r="O74" i="9"/>
  <c r="O31" i="9"/>
  <c r="O25" i="9"/>
  <c r="O26" i="9"/>
  <c r="O29" i="9"/>
  <c r="O88" i="9"/>
  <c r="O89" i="9" s="1"/>
  <c r="O47" i="9"/>
  <c r="O72" i="9"/>
  <c r="N123" i="8"/>
  <c r="O88" i="6"/>
  <c r="O99" i="6" s="1"/>
  <c r="O26" i="6"/>
  <c r="O24" i="6"/>
  <c r="P226" i="10"/>
  <c r="S226" i="10" s="1"/>
  <c r="O90" i="10"/>
  <c r="O91" i="10" s="1"/>
  <c r="O23" i="15"/>
  <c r="S70" i="11"/>
  <c r="S71" i="11"/>
  <c r="O20" i="11"/>
  <c r="L151" i="1"/>
  <c r="N155" i="1"/>
  <c r="M155" i="1"/>
  <c r="O92" i="12"/>
  <c r="O22" i="12"/>
  <c r="O23" i="12"/>
  <c r="O18" i="12"/>
  <c r="O20" i="12"/>
  <c r="O31" i="12"/>
  <c r="O25" i="12"/>
  <c r="O36" i="12"/>
  <c r="P93" i="12"/>
  <c r="S93" i="12"/>
  <c r="O33" i="12"/>
  <c r="O179" i="3"/>
  <c r="O103" i="3"/>
  <c r="L221" i="4"/>
  <c r="L222" i="4" s="1"/>
  <c r="O116" i="4"/>
  <c r="K218" i="4"/>
  <c r="O138" i="4"/>
  <c r="O81" i="5"/>
  <c r="S218" i="5"/>
  <c r="S216" i="5"/>
  <c r="Q219" i="5"/>
  <c r="S219" i="5" s="1"/>
  <c r="Q217" i="5"/>
  <c r="S217" i="5" s="1"/>
  <c r="Q215" i="5"/>
  <c r="S215" i="5" s="1"/>
  <c r="O41" i="4"/>
  <c r="O42" i="4" s="1"/>
  <c r="M222" i="4"/>
  <c r="N192" i="3"/>
  <c r="O21" i="2"/>
  <c r="O44" i="9"/>
  <c r="O40" i="17"/>
  <c r="M150" i="17"/>
  <c r="M153" i="17" s="1"/>
  <c r="O19" i="13"/>
  <c r="O18" i="2"/>
  <c r="O25" i="2" s="1"/>
  <c r="O119" i="17"/>
  <c r="O139" i="17"/>
  <c r="O79" i="9"/>
  <c r="O20" i="9"/>
  <c r="O34" i="9"/>
  <c r="O45" i="5"/>
  <c r="O243" i="5"/>
  <c r="O244" i="5"/>
  <c r="O29" i="5"/>
  <c r="O240" i="5"/>
  <c r="O43" i="5"/>
  <c r="O39" i="5"/>
  <c r="O34" i="5"/>
  <c r="O33" i="5"/>
  <c r="O46" i="5"/>
  <c r="O28" i="5"/>
  <c r="L256" i="5"/>
  <c r="L260" i="5"/>
  <c r="O242" i="5"/>
  <c r="O239" i="5"/>
  <c r="O245" i="5" s="1"/>
  <c r="O41" i="5"/>
  <c r="O241" i="5"/>
  <c r="O31" i="5"/>
  <c r="M258" i="5"/>
  <c r="O36" i="5"/>
  <c r="M259" i="5"/>
  <c r="O18" i="5"/>
  <c r="O19" i="5"/>
  <c r="O177" i="2"/>
  <c r="O37" i="2"/>
  <c r="O36" i="2"/>
  <c r="M299" i="2"/>
  <c r="M302" i="2" s="1"/>
  <c r="O19" i="2"/>
  <c r="O59" i="2"/>
  <c r="O60" i="2"/>
  <c r="N299" i="2"/>
  <c r="O22" i="2"/>
  <c r="O202" i="2"/>
  <c r="O56" i="11"/>
  <c r="L82" i="11"/>
  <c r="O30" i="11"/>
  <c r="O34" i="11"/>
  <c r="O37" i="11"/>
  <c r="M83" i="11"/>
  <c r="M84" i="11" s="1"/>
  <c r="O55" i="11"/>
  <c r="N83" i="11"/>
  <c r="N84" i="11" s="1"/>
  <c r="M260" i="5"/>
  <c r="O66" i="1"/>
  <c r="L154" i="1"/>
  <c r="O40" i="13"/>
  <c r="O160" i="13"/>
  <c r="N173" i="13"/>
  <c r="L169" i="13"/>
  <c r="L170" i="13"/>
  <c r="O124" i="13"/>
  <c r="O151" i="13"/>
  <c r="L173" i="13"/>
  <c r="O18" i="3"/>
  <c r="O20" i="3" s="1"/>
  <c r="O88" i="3"/>
  <c r="O90" i="3" s="1"/>
  <c r="O57" i="3"/>
  <c r="N194" i="3"/>
  <c r="O45" i="3"/>
  <c r="L193" i="3"/>
  <c r="O55" i="3"/>
  <c r="O59" i="3" s="1"/>
  <c r="F37" i="16"/>
  <c r="F48" i="16" s="1"/>
  <c r="M192" i="3"/>
  <c r="M194" i="3" s="1"/>
  <c r="O61" i="15"/>
  <c r="O62" i="15" s="1"/>
  <c r="N96" i="15"/>
  <c r="O38" i="15"/>
  <c r="O22" i="15"/>
  <c r="L94" i="15"/>
  <c r="M96" i="15"/>
  <c r="N95" i="15"/>
  <c r="N97" i="15" s="1"/>
  <c r="M95" i="15"/>
  <c r="M97" i="15" s="1"/>
  <c r="O50" i="15"/>
  <c r="O51" i="15"/>
  <c r="O72" i="15"/>
  <c r="O73" i="15" s="1"/>
  <c r="O39" i="15"/>
  <c r="M88" i="15" s="1"/>
  <c r="L97" i="15"/>
  <c r="O38" i="2"/>
  <c r="O72" i="2"/>
  <c r="S94" i="12"/>
  <c r="L103" i="12"/>
  <c r="N105" i="12"/>
  <c r="N107" i="12" s="1"/>
  <c r="L102" i="12"/>
  <c r="L107" i="12" s="1"/>
  <c r="M108" i="12" s="1"/>
  <c r="B25" i="16" s="1"/>
  <c r="O62" i="12"/>
  <c r="M105" i="12"/>
  <c r="M107" i="12" s="1"/>
  <c r="O38" i="12"/>
  <c r="M98" i="12"/>
  <c r="L238" i="10"/>
  <c r="O78" i="10"/>
  <c r="O117" i="7"/>
  <c r="L150" i="1"/>
  <c r="L155" i="1"/>
  <c r="M156" i="1"/>
  <c r="B15" i="16" s="1"/>
  <c r="L237" i="10" l="1"/>
  <c r="L240" i="10" s="1"/>
  <c r="S227" i="10"/>
  <c r="M206" i="7"/>
  <c r="E37" i="16"/>
  <c r="E48" i="16" s="1"/>
  <c r="M85" i="11"/>
  <c r="B24" i="16" s="1"/>
  <c r="L223" i="4"/>
  <c r="B17" i="16" s="1"/>
  <c r="M174" i="13"/>
  <c r="B26" i="16" s="1"/>
  <c r="M98" i="15"/>
  <c r="B27" i="16" s="1"/>
  <c r="L296" i="2"/>
  <c r="B45" i="16"/>
  <c r="L123" i="8"/>
  <c r="M124" i="8" s="1"/>
  <c r="B21" i="16" s="1"/>
  <c r="M195" i="3"/>
  <c r="B16" i="16" s="1"/>
  <c r="O60" i="5"/>
  <c r="O44" i="11"/>
  <c r="S220" i="5"/>
  <c r="O130" i="3"/>
  <c r="O185" i="4"/>
  <c r="N258" i="5"/>
  <c r="O102" i="9"/>
  <c r="O73" i="17"/>
  <c r="N144" i="17" s="1"/>
  <c r="O107" i="8"/>
  <c r="O103" i="10"/>
  <c r="M233" i="10" s="1"/>
  <c r="L149" i="17"/>
  <c r="O42" i="1"/>
  <c r="M146" i="1" s="1"/>
  <c r="O149" i="4"/>
  <c r="O109" i="3"/>
  <c r="O32" i="4"/>
  <c r="L131" i="6"/>
  <c r="L135" i="6" s="1"/>
  <c r="O48" i="9"/>
  <c r="O49" i="9" s="1"/>
  <c r="M131" i="9" s="1"/>
  <c r="M138" i="9"/>
  <c r="M140" i="9" s="1"/>
  <c r="O147" i="3"/>
  <c r="O85" i="5"/>
  <c r="O68" i="6"/>
  <c r="O35" i="6"/>
  <c r="M127" i="6" s="1"/>
  <c r="L136" i="9"/>
  <c r="L140" i="9" s="1"/>
  <c r="N138" i="9"/>
  <c r="N140" i="9" s="1"/>
  <c r="L148" i="17"/>
  <c r="L153" i="17" s="1"/>
  <c r="M154" i="17" s="1"/>
  <c r="B28" i="16" s="1"/>
  <c r="M134" i="6"/>
  <c r="N300" i="2"/>
  <c r="D43" i="16" s="1"/>
  <c r="O60" i="11"/>
  <c r="N204" i="7"/>
  <c r="N206" i="7" s="1"/>
  <c r="M207" i="7" s="1"/>
  <c r="B20" i="16" s="1"/>
  <c r="S287" i="2"/>
  <c r="N252" i="5"/>
  <c r="O141" i="1"/>
  <c r="O32" i="3"/>
  <c r="N185" i="3" s="1"/>
  <c r="O73" i="4"/>
  <c r="O135" i="13"/>
  <c r="M165" i="13" s="1"/>
  <c r="O90" i="8"/>
  <c r="M113" i="8" s="1"/>
  <c r="N134" i="6"/>
  <c r="N135" i="6" s="1"/>
  <c r="O153" i="2"/>
  <c r="N292" i="2" s="1"/>
  <c r="C43" i="16"/>
  <c r="O266" i="2"/>
  <c r="O46" i="3"/>
  <c r="M239" i="10"/>
  <c r="M240" i="10" s="1"/>
  <c r="C29" i="16"/>
  <c r="G48" i="16"/>
  <c r="N260" i="5" l="1"/>
  <c r="M261" i="5" s="1"/>
  <c r="B18" i="16" s="1"/>
  <c r="D40" i="16"/>
  <c r="D48" i="16" s="1"/>
  <c r="M76" i="11"/>
  <c r="M241" i="10"/>
  <c r="B23" i="16" s="1"/>
  <c r="M141" i="9"/>
  <c r="B22" i="16" s="1"/>
  <c r="M213" i="4"/>
  <c r="L302" i="2"/>
  <c r="B39" i="16"/>
  <c r="N302" i="2"/>
  <c r="M135" i="6"/>
  <c r="M136" i="6" s="1"/>
  <c r="B19" i="16" s="1"/>
  <c r="C40" i="16"/>
  <c r="C48" i="16" s="1"/>
  <c r="B36" i="16"/>
  <c r="M303" i="2" l="1"/>
  <c r="B14" i="16" s="1"/>
  <c r="B29" i="16" s="1"/>
  <c r="B48" i="16"/>
  <c r="F49" i="16"/>
</calcChain>
</file>

<file path=xl/sharedStrings.xml><?xml version="1.0" encoding="utf-8"?>
<sst xmlns="http://schemas.openxmlformats.org/spreadsheetml/2006/main" count="10547" uniqueCount="1929">
  <si>
    <t>Szczegółowy Opis Przedmiotu Zamówienia - Powiat Miński</t>
  </si>
  <si>
    <t xml:space="preserve">Szczegółowy Opis Przedmiotu Zamówienia zawiera informacje dotyczące: </t>
  </si>
  <si>
    <t>P -</t>
  </si>
  <si>
    <t>pierwsza zmiana Sprzedawcy</t>
  </si>
  <si>
    <t>K -</t>
  </si>
  <si>
    <t>kolejna zmiana Sprzedawcy</t>
  </si>
  <si>
    <t>Zmiana sprzedawcy</t>
  </si>
  <si>
    <t>Nazwa obiektu</t>
  </si>
  <si>
    <t>Miejscowość</t>
  </si>
  <si>
    <t>Ulica</t>
  </si>
  <si>
    <t>Nr posesji</t>
  </si>
  <si>
    <t>Kod pocztowy</t>
  </si>
  <si>
    <t>Poczta</t>
  </si>
  <si>
    <t>Kod PPE</t>
  </si>
  <si>
    <t>Numer ewidencyjny</t>
  </si>
  <si>
    <t>Moc umowna   [kW]</t>
  </si>
  <si>
    <t>Zużycie łączne</t>
  </si>
  <si>
    <t>P</t>
  </si>
  <si>
    <t>Mińsk Mazowiecki</t>
  </si>
  <si>
    <t>Budowlana</t>
  </si>
  <si>
    <t>05-300</t>
  </si>
  <si>
    <t>C21</t>
  </si>
  <si>
    <t>Nabywca:</t>
  </si>
  <si>
    <t>Suma</t>
  </si>
  <si>
    <t>Ul. Budowlana 4</t>
  </si>
  <si>
    <t>05-300 Mińsk Mazowiecki</t>
  </si>
  <si>
    <t>K</t>
  </si>
  <si>
    <t>Janów</t>
  </si>
  <si>
    <t>C11</t>
  </si>
  <si>
    <t>Tadeusza Kościuszki</t>
  </si>
  <si>
    <t>PL_ZEWD_1412000031_04</t>
  </si>
  <si>
    <t>Konstytucji 3-go Maja</t>
  </si>
  <si>
    <t>PL_ZEWD_1412000032_06</t>
  </si>
  <si>
    <t>Ul. Tadeusza Kościuszki 3</t>
  </si>
  <si>
    <t xml:space="preserve">Piękna </t>
  </si>
  <si>
    <t>7A</t>
  </si>
  <si>
    <t>PL_ZEWD_1412000005_05</t>
  </si>
  <si>
    <t xml:space="preserve">05-300 </t>
  </si>
  <si>
    <t>PL_ZEWD_1412000006_07</t>
  </si>
  <si>
    <t>Macierzy Szkolnej w Mińsku Mazowieckim</t>
  </si>
  <si>
    <t>Ul. Piękna 7A</t>
  </si>
  <si>
    <t>PL_ZEWD_1412000235_08</t>
  </si>
  <si>
    <t>w Mińsku Mazowieckim</t>
  </si>
  <si>
    <t>1 PLM Warszawa</t>
  </si>
  <si>
    <t>PL_ZEWD_1412000234_06</t>
  </si>
  <si>
    <t>PL_ZEWD_1412000232_02</t>
  </si>
  <si>
    <t>PL_ZEWD_1412000233_04</t>
  </si>
  <si>
    <t>Ul. 1PLM Warszawa 1</t>
  </si>
  <si>
    <t>Zygmunta Kazikowskiego</t>
  </si>
  <si>
    <t>PL_ZEWD_1412000228_05</t>
  </si>
  <si>
    <t>Ul. Zygmunta Kazikowskiego 18</t>
  </si>
  <si>
    <t>Ignaców</t>
  </si>
  <si>
    <t>PL_ZEWD_1412000555_00</t>
  </si>
  <si>
    <t>w Ignacowie</t>
  </si>
  <si>
    <t>Warszawska</t>
  </si>
  <si>
    <t>PL_ZEWD_1412000222_03</t>
  </si>
  <si>
    <t>PL_ZEWD_1412000224_07</t>
  </si>
  <si>
    <t>PL_ZEWD_1412000220_09</t>
  </si>
  <si>
    <t>Ul. Warszawska 219</t>
  </si>
  <si>
    <t>Grupa taryfowa</t>
  </si>
  <si>
    <t>Liczba PPE</t>
  </si>
  <si>
    <t>całodobowe</t>
  </si>
  <si>
    <t>Suma:</t>
  </si>
  <si>
    <t>Suma zużycia:</t>
  </si>
  <si>
    <t>PL_ZEWD_1412001098_09</t>
  </si>
  <si>
    <t>C12a</t>
  </si>
  <si>
    <t>Miejski Ośrodek Sportu i Rekreacji</t>
  </si>
  <si>
    <t>PL_ZEWD_1412001099_01</t>
  </si>
  <si>
    <t>Miejski Ośrodek Sportu i Rekreacji - Lodowisko</t>
  </si>
  <si>
    <t>PL_ZEWD_1412001103_06</t>
  </si>
  <si>
    <t>C22a</t>
  </si>
  <si>
    <t>PL_ZEWD_1412001102_04</t>
  </si>
  <si>
    <t>Miejski Ośrodek Sportu i Rekreacji - Basen</t>
  </si>
  <si>
    <t>PL_ZEWD_1412001100_00</t>
  </si>
  <si>
    <t>PL_ZEWD_1412001101_02</t>
  </si>
  <si>
    <t>Miejski Dom Kultury</t>
  </si>
  <si>
    <t>PL_ZEWD_1412000866_05</t>
  </si>
  <si>
    <t>ul. Warszawska 173</t>
  </si>
  <si>
    <t>Miejska Biblioteka Publiczna</t>
  </si>
  <si>
    <t>1A</t>
  </si>
  <si>
    <t>PL_ZEWD_1412000964_09</t>
  </si>
  <si>
    <t>Miejski Dom Kultury Skansen</t>
  </si>
  <si>
    <t>PL_ZEWD_1412000819_06</t>
  </si>
  <si>
    <t>PL_ZEWD_1412000817_02</t>
  </si>
  <si>
    <t>Im. Jana Pawła II</t>
  </si>
  <si>
    <t>ul. Budowlana 2</t>
  </si>
  <si>
    <t>Siennicka</t>
  </si>
  <si>
    <t>PL_ZEWD_1412000861_05</t>
  </si>
  <si>
    <t>ul. Siennicka 17</t>
  </si>
  <si>
    <t>PL_ZEWD_1412000825_07</t>
  </si>
  <si>
    <t>Przedszkole Miejskie nr 1</t>
  </si>
  <si>
    <t>Kościuszki</t>
  </si>
  <si>
    <t>PL_ZEWD_1412000955_02</t>
  </si>
  <si>
    <t>Im. St. Jachowicza</t>
  </si>
  <si>
    <t>ul. Kościuszki 22</t>
  </si>
  <si>
    <t>PL_ZEWD_1412000822_01</t>
  </si>
  <si>
    <t>Przedszkole Miejskie nr 3</t>
  </si>
  <si>
    <t>PL_ZEWD_1412000814_06</t>
  </si>
  <si>
    <t>ul. Konstytucji 3-go Maja 10</t>
  </si>
  <si>
    <t>Przedszkole Miejskie nr 4</t>
  </si>
  <si>
    <t>PL_ZEWD_1412000963_07</t>
  </si>
  <si>
    <t>Przedszkole Miejskie z oddziałem</t>
  </si>
  <si>
    <t>specjalnym i oddziałem</t>
  </si>
  <si>
    <t>integracyjnym nr 4</t>
  </si>
  <si>
    <t>Przedszkole Miejskie nr 5</t>
  </si>
  <si>
    <t>PL_ZEWD_1412000871_04</t>
  </si>
  <si>
    <t xml:space="preserve">Przedszkole Miejskie nr 5 </t>
  </si>
  <si>
    <t>"Tęczowa dolina"</t>
  </si>
  <si>
    <t>ul. Konstytucji 3-go Maja 11</t>
  </si>
  <si>
    <t>Przedszkole Miejskie nr 6</t>
  </si>
  <si>
    <t>PL_ZEWD_1412000922_09</t>
  </si>
  <si>
    <t>Miejska Szkoła Artystyczna I-stopnia</t>
  </si>
  <si>
    <t>Piękna</t>
  </si>
  <si>
    <t>ul. Armii Ludowej 23</t>
  </si>
  <si>
    <t>PL_ZEWD_1412000916_08</t>
  </si>
  <si>
    <t>Dąbrówki</t>
  </si>
  <si>
    <t>PL_ZEWD_1412000891_02</t>
  </si>
  <si>
    <t>ul. Dąbrówki 10</t>
  </si>
  <si>
    <t>PL_ZEWD_1412000879_00</t>
  </si>
  <si>
    <t>Szkoła Postawowa nr 5</t>
  </si>
  <si>
    <t>Małopolska</t>
  </si>
  <si>
    <t>PL_ZEWD_1412000869_01</t>
  </si>
  <si>
    <t>Im. Józefa Wybickiego</t>
  </si>
  <si>
    <t>ul. Małopolska 11</t>
  </si>
  <si>
    <t>Szkoła podstawowa nr 5</t>
  </si>
  <si>
    <t>PL_ZEWD_1412000826_09</t>
  </si>
  <si>
    <t>Szkola Podstawowa nr 6</t>
  </si>
  <si>
    <t>PL_ZEWD_1412000859_02</t>
  </si>
  <si>
    <t>Im. H. Sienkiewicza</t>
  </si>
  <si>
    <t>Muzeum Ziemi Mińskiej</t>
  </si>
  <si>
    <t>Okrzei</t>
  </si>
  <si>
    <t>PL_ZEWD_1412000853_00</t>
  </si>
  <si>
    <t>Sosnkowskiego</t>
  </si>
  <si>
    <t>PL_ZEWD_1412000854_02</t>
  </si>
  <si>
    <t>Budynek Urzędu Miasta</t>
  </si>
  <si>
    <t>PL_ZEWD_1412000965_01</t>
  </si>
  <si>
    <t>Miasto Mińsk Mazowiecki</t>
  </si>
  <si>
    <t>ul. Konstytucji 3-go Maja 1</t>
  </si>
  <si>
    <t>Przepompownia ścieków</t>
  </si>
  <si>
    <t>Miła</t>
  </si>
  <si>
    <t>PL_ZEWD_1412000885_01</t>
  </si>
  <si>
    <t>Obiekt usługowo-kulturowy</t>
  </si>
  <si>
    <t>PL_ZEWD_1412000856_06</t>
  </si>
  <si>
    <t>Florencja</t>
  </si>
  <si>
    <t>PL_ZEWD_1412000884_09</t>
  </si>
  <si>
    <t>Sygnalizacja świetlna</t>
  </si>
  <si>
    <t>PL_ZEWD_1412000867_07</t>
  </si>
  <si>
    <t>Stacja ujmowania i spalania biogazu</t>
  </si>
  <si>
    <t>Przemysłowa</t>
  </si>
  <si>
    <t>PL_ZEWD_1412000862_07</t>
  </si>
  <si>
    <t>8 kamer</t>
  </si>
  <si>
    <t>R</t>
  </si>
  <si>
    <t>Ul. Konstytucji 3-go Maja 1</t>
  </si>
  <si>
    <t>Suma zużycia</t>
  </si>
  <si>
    <t>Szkoła Podstawowa</t>
  </si>
  <si>
    <t>Cisie</t>
  </si>
  <si>
    <t>Halinów</t>
  </si>
  <si>
    <t>05-074</t>
  </si>
  <si>
    <t>Nabywca</t>
  </si>
  <si>
    <t>05-074 Halinów</t>
  </si>
  <si>
    <t>NIP:</t>
  </si>
  <si>
    <t>Okuniew</t>
  </si>
  <si>
    <t>Szkolna</t>
  </si>
  <si>
    <t>05-079</t>
  </si>
  <si>
    <t>Ul. Szkolna 4</t>
  </si>
  <si>
    <t>05-079 Okuniew</t>
  </si>
  <si>
    <t>1-go Maja</t>
  </si>
  <si>
    <t>Dom Kultury w Halinowie</t>
  </si>
  <si>
    <t xml:space="preserve">3-go Maja </t>
  </si>
  <si>
    <t>Dom Kultury</t>
  </si>
  <si>
    <t xml:space="preserve">Michałów </t>
  </si>
  <si>
    <t>Ul. Rynek 46/2</t>
  </si>
  <si>
    <t xml:space="preserve">Okuniewska </t>
  </si>
  <si>
    <t>Ul. Okuniewska 115</t>
  </si>
  <si>
    <t>Szkoła Podstawowa Brzeziny</t>
  </si>
  <si>
    <t>Brzeziny</t>
  </si>
  <si>
    <t>Brzeziny 3</t>
  </si>
  <si>
    <t>Chobot</t>
  </si>
  <si>
    <t>Szkoła Podstawowa w Chobocie</t>
  </si>
  <si>
    <t>Chobot 50</t>
  </si>
  <si>
    <t>Biblioteka Publiczna Gminy Halinów</t>
  </si>
  <si>
    <t>Rynek</t>
  </si>
  <si>
    <t>Spółdzielcza</t>
  </si>
  <si>
    <t>Ul. Spółdzielcza 1</t>
  </si>
  <si>
    <t>OSP</t>
  </si>
  <si>
    <t>Topór</t>
  </si>
  <si>
    <t>51 A</t>
  </si>
  <si>
    <t>05-320</t>
  </si>
  <si>
    <t>Mrozy</t>
  </si>
  <si>
    <t>PL_ZEWD_1412000404_05</t>
  </si>
  <si>
    <t>Guzew</t>
  </si>
  <si>
    <t>PL_ZEWD_1412000385_01</t>
  </si>
  <si>
    <t>Trojanów</t>
  </si>
  <si>
    <t>44A</t>
  </si>
  <si>
    <t>PL_ZEWD_1412000400_07</t>
  </si>
  <si>
    <t>Sokolnik</t>
  </si>
  <si>
    <t>37A</t>
  </si>
  <si>
    <t>PL_ZEWD_1412000395_00</t>
  </si>
  <si>
    <t>Dębowce</t>
  </si>
  <si>
    <t>05-317</t>
  </si>
  <si>
    <t>Jeruzal</t>
  </si>
  <si>
    <t>PL_ZEWD_1412000363_09</t>
  </si>
  <si>
    <t>Mickiewicza</t>
  </si>
  <si>
    <t>PL_ZEWD_1412000418_02</t>
  </si>
  <si>
    <t>Grodzisk</t>
  </si>
  <si>
    <t>PL_ZEWD_1412000442_07</t>
  </si>
  <si>
    <t>OSP Garaże</t>
  </si>
  <si>
    <t>51B</t>
  </si>
  <si>
    <t>PL_ZEWD_1412000950_02</t>
  </si>
  <si>
    <t>Wola Rafałowska</t>
  </si>
  <si>
    <t>Tartaczna</t>
  </si>
  <si>
    <t>PL_ZEWD_1412000968_07</t>
  </si>
  <si>
    <t>Lipiny</t>
  </si>
  <si>
    <t>PL_ZEWD_1412000957_06</t>
  </si>
  <si>
    <t>Borki</t>
  </si>
  <si>
    <t>PL_ZEWD_1412000953_08</t>
  </si>
  <si>
    <t>PL_ZEWD_1412000954_00</t>
  </si>
  <si>
    <t>Gminne Centrum Kultury</t>
  </si>
  <si>
    <t>PL_ZEWD_1412000446_05</t>
  </si>
  <si>
    <t>Gminna Biblioteka Publiczna</t>
  </si>
  <si>
    <t>Kilińskiego</t>
  </si>
  <si>
    <t>Biuro</t>
  </si>
  <si>
    <t>PL_ZEWD_1412000371_04</t>
  </si>
  <si>
    <t>PL_ZEWD_1412000374_00</t>
  </si>
  <si>
    <t>Obiekt Gminny</t>
  </si>
  <si>
    <t>PL_ZEWD_1412000361_05</t>
  </si>
  <si>
    <t>Urząd Gminy</t>
  </si>
  <si>
    <t>PL_ZEWD_1412000353_00</t>
  </si>
  <si>
    <t>Świetlica</t>
  </si>
  <si>
    <t>Kruki</t>
  </si>
  <si>
    <t>PL_ZEWD_1412000369_01</t>
  </si>
  <si>
    <t>Boisko "Orlik"</t>
  </si>
  <si>
    <t>dz.722/1</t>
  </si>
  <si>
    <t>PL_ZEWD_1412000969_09</t>
  </si>
  <si>
    <t>Główna</t>
  </si>
  <si>
    <t>PL_ZEWD_1412000940_03</t>
  </si>
  <si>
    <t>Dąbrowa</t>
  </si>
  <si>
    <t>PL_ZEWD_1412000946_05</t>
  </si>
  <si>
    <t>Szkoła Podstawowa w Grodzisku</t>
  </si>
  <si>
    <t>Mazowiecka</t>
  </si>
  <si>
    <t>86</t>
  </si>
  <si>
    <t>PL_ZEWD_1412000472_04</t>
  </si>
  <si>
    <t>Szkoła Podstawowa w Mrozach</t>
  </si>
  <si>
    <t>PL_ZEWD_1412000473_06</t>
  </si>
  <si>
    <t>PL_ZEWD_1412000556_02</t>
  </si>
  <si>
    <t>Zespół Szkół Publicznych w Mrozach</t>
  </si>
  <si>
    <t>Licealna</t>
  </si>
  <si>
    <t>PL_ZEWD_1412000554_08</t>
  </si>
  <si>
    <t>Przedszkole w Mrozach</t>
  </si>
  <si>
    <t>Armii Krajowej</t>
  </si>
  <si>
    <t>PL_ZEWD_1412000445_03</t>
  </si>
  <si>
    <t>Stacja Wodociągowa</t>
  </si>
  <si>
    <t>Piaseczno</t>
  </si>
  <si>
    <t>05-319</t>
  </si>
  <si>
    <t>Cegłów</t>
  </si>
  <si>
    <t>PL_ZEWD_1412000547_05</t>
  </si>
  <si>
    <t>Oczyszczalnia Ścieków</t>
  </si>
  <si>
    <t>Graniczna</t>
  </si>
  <si>
    <t>PL_ZEWD_1412000548_07</t>
  </si>
  <si>
    <t>C22b</t>
  </si>
  <si>
    <t>Przepompownia</t>
  </si>
  <si>
    <t>Nadrzeczna</t>
  </si>
  <si>
    <t>PL_ZEWD_1412000545_01</t>
  </si>
  <si>
    <t>Pokoju</t>
  </si>
  <si>
    <t>dz. 863</t>
  </si>
  <si>
    <t>PL_ZEWD_1412000952_06</t>
  </si>
  <si>
    <t>3-go Maja</t>
  </si>
  <si>
    <t>Łukówiec</t>
  </si>
  <si>
    <t>PL_ZEWD_1412000956_04</t>
  </si>
  <si>
    <t>Numer licznika</t>
  </si>
  <si>
    <t>Stojadła</t>
  </si>
  <si>
    <t>Gmina Mińsk Mazowiecki</t>
  </si>
  <si>
    <t>ul. Chełmońskiego 14</t>
  </si>
  <si>
    <t>NIP 822-21-46-576</t>
  </si>
  <si>
    <t>Gminny ZGK zasilanie stacji wodociągowej</t>
  </si>
  <si>
    <t>Zamienie</t>
  </si>
  <si>
    <t>PL_ZEWD_1412001408_00</t>
  </si>
  <si>
    <t>Gminny ZGK SUW</t>
  </si>
  <si>
    <t>Arynów</t>
  </si>
  <si>
    <t>PL_ZEWD_1412001407_08</t>
  </si>
  <si>
    <t>Oczyszczalnia ścieków</t>
  </si>
  <si>
    <t>Wspólna</t>
  </si>
  <si>
    <t>PL_ZEWD_1412001403_00</t>
  </si>
  <si>
    <t>Pompownia P-2</t>
  </si>
  <si>
    <t>Strażacka</t>
  </si>
  <si>
    <t>PL_ZEWD_1412001395_07</t>
  </si>
  <si>
    <t>Pompownia P-1</t>
  </si>
  <si>
    <t>PL_ZEWD_1412001396_09</t>
  </si>
  <si>
    <t>Grębiszew przepompownia</t>
  </si>
  <si>
    <t>Grębiszew</t>
  </si>
  <si>
    <t>PL_ZEWD_1412001410_03</t>
  </si>
  <si>
    <t>Gminny ZGK stacja wodociągowa</t>
  </si>
  <si>
    <t>PL_ZEWD_1412001409_02</t>
  </si>
  <si>
    <t>Gminny Zakład Gospodarki Komunalnej</t>
  </si>
  <si>
    <t>Boisko</t>
  </si>
  <si>
    <t>Huta Mińska</t>
  </si>
  <si>
    <t>Budynek administracyjny</t>
  </si>
  <si>
    <t>Chełmońskiego</t>
  </si>
  <si>
    <t>Osiedlowa</t>
  </si>
  <si>
    <t>Targówka</t>
  </si>
  <si>
    <t>Królewiec</t>
  </si>
  <si>
    <t>Barcząca</t>
  </si>
  <si>
    <t>Prosta</t>
  </si>
  <si>
    <t>05-301</t>
  </si>
  <si>
    <t>Marianka</t>
  </si>
  <si>
    <t>Południowa</t>
  </si>
  <si>
    <t>Stara Niedziałka</t>
  </si>
  <si>
    <t>Cielechowizna</t>
  </si>
  <si>
    <t>Kołbielska</t>
  </si>
  <si>
    <t>Brzóze</t>
  </si>
  <si>
    <t>Nowe Osiny</t>
  </si>
  <si>
    <t>Dębe Wielkie</t>
  </si>
  <si>
    <t>05-311</t>
  </si>
  <si>
    <t>PL_ZEWD_1412000606_05</t>
  </si>
  <si>
    <t>SUW</t>
  </si>
  <si>
    <t>Batalionu Parasol</t>
  </si>
  <si>
    <t>PL_ZEWD_1412000607_07</t>
  </si>
  <si>
    <t>PL_ZEWD_1412000605_03</t>
  </si>
  <si>
    <t>Kościelna</t>
  </si>
  <si>
    <t>PL_ZEWD_1412000604_01</t>
  </si>
  <si>
    <t>Stacja Uzdatniania</t>
  </si>
  <si>
    <t>Chrośla</t>
  </si>
  <si>
    <t>PL_ZEWD_1412000603_09</t>
  </si>
  <si>
    <t>Braci Tabiszewskich</t>
  </si>
  <si>
    <t>PL_ZEWD_1412000610_02</t>
  </si>
  <si>
    <t>Poprzeczna</t>
  </si>
  <si>
    <t>PL_ZEWD_1412000602_07</t>
  </si>
  <si>
    <t>Powstańców</t>
  </si>
  <si>
    <t>PL_ZEWD_1412000601_05</t>
  </si>
  <si>
    <t>05-311 Dębe Wielkie</t>
  </si>
  <si>
    <t>Ul. Strażacka 3</t>
  </si>
  <si>
    <t>SP ZOZ</t>
  </si>
  <si>
    <t xml:space="preserve">Szkolna </t>
  </si>
  <si>
    <t>Samodzielny Publiczny Zakład Opieki Zdrowotnej</t>
  </si>
  <si>
    <t>Oświetlenie klatki schodowej</t>
  </si>
  <si>
    <t>PL_ZEWD_1412000599_04</t>
  </si>
  <si>
    <t>Szkoła</t>
  </si>
  <si>
    <t>Cyganka</t>
  </si>
  <si>
    <t>PL_ZEWD_1412000597_00</t>
  </si>
  <si>
    <t>Górki</t>
  </si>
  <si>
    <t>PL_ZEWD_1412000584_05</t>
  </si>
  <si>
    <t>PL_ZEWD_1412000596_08</t>
  </si>
  <si>
    <t>Ruda</t>
  </si>
  <si>
    <t>PL_ZEWD_1412000595_06</t>
  </si>
  <si>
    <t>PL_ZEWD_1412000600_03</t>
  </si>
  <si>
    <t>PL_ZEWD_1412000635_00</t>
  </si>
  <si>
    <t>PL_ZEWD_1412000639_08</t>
  </si>
  <si>
    <t xml:space="preserve">OSP </t>
  </si>
  <si>
    <t>PL_ZEWD_1412000642_03</t>
  </si>
  <si>
    <t>Jędrzejnik</t>
  </si>
  <si>
    <t>PL_ZEWD_1412000638_06</t>
  </si>
  <si>
    <t>Hydrofornia</t>
  </si>
  <si>
    <t>Debe Wielkie</t>
  </si>
  <si>
    <t>PL_ZEWD_1412000659_06</t>
  </si>
  <si>
    <t>Studnia</t>
  </si>
  <si>
    <t>Choszczówka Stojecka</t>
  </si>
  <si>
    <t>PL_ZEWD_1412000650_08</t>
  </si>
  <si>
    <t>Aleksandrówka</t>
  </si>
  <si>
    <t>PL_ZEWD_1412000658_04</t>
  </si>
  <si>
    <t>Oświetlenie Biura</t>
  </si>
  <si>
    <t>PL_ZEWD_1412000653_04</t>
  </si>
  <si>
    <t>OSP-Remiza</t>
  </si>
  <si>
    <t>PL_ZEWD_1412000637_04</t>
  </si>
  <si>
    <t>Gmina Dębe Wielkie</t>
  </si>
  <si>
    <t>Ochotnicza Straż Pożarna w Siennicy</t>
  </si>
  <si>
    <t>Siennica</t>
  </si>
  <si>
    <t xml:space="preserve">Strażaka </t>
  </si>
  <si>
    <t>05-332</t>
  </si>
  <si>
    <t>PL_ZEWD_1412000191_06</t>
  </si>
  <si>
    <t>Ochotnicza Straż Pożarna w Łękawicy</t>
  </si>
  <si>
    <t>Łękawica</t>
  </si>
  <si>
    <t>PL_ZEWD_1412000192_08</t>
  </si>
  <si>
    <t>Ochotnicza Straż Pożarna w Pogorzeli</t>
  </si>
  <si>
    <t>Pogorzel</t>
  </si>
  <si>
    <t>Pałacowa</t>
  </si>
  <si>
    <t>PL_ZEWD_1412000194_02</t>
  </si>
  <si>
    <t>Urząd Gminy w Siennicy</t>
  </si>
  <si>
    <t xml:space="preserve">Kołbielska </t>
  </si>
  <si>
    <t>PL_ZEWD_1412000197_08</t>
  </si>
  <si>
    <t>Urząd Gminy w Siennicy- Biuro</t>
  </si>
  <si>
    <t>PL_ZEWD_1412000198_00</t>
  </si>
  <si>
    <t>PL_ZEWD_1412000199_02</t>
  </si>
  <si>
    <t>Świetlica wiejska Bestwiny</t>
  </si>
  <si>
    <t>Bestwiny</t>
  </si>
  <si>
    <t>PL_ZEWD_1412000200_01</t>
  </si>
  <si>
    <t>Świetlica wiejska Siodło</t>
  </si>
  <si>
    <t>Siodło</t>
  </si>
  <si>
    <t>PL_ZEWD_1412000201_03</t>
  </si>
  <si>
    <t>Ochotnicza Straż Pożarna w Dzielniku</t>
  </si>
  <si>
    <t>Dzielnik</t>
  </si>
  <si>
    <t>PL_ZEWD_1412000203_07</t>
  </si>
  <si>
    <t xml:space="preserve">Świetlica Wiejska Wólka Dłużewska </t>
  </si>
  <si>
    <t>Wólka Dłużewska</t>
  </si>
  <si>
    <t>PL_ZEWD_1412000204_09</t>
  </si>
  <si>
    <t>Świetlica Wiejska Dłużew</t>
  </si>
  <si>
    <t>Dłużew</t>
  </si>
  <si>
    <t>PL_ZEWD_1412000205_01</t>
  </si>
  <si>
    <t>Biblioteka Publiczna w Nowym Zglechowie</t>
  </si>
  <si>
    <t>Nowy Zglechów</t>
  </si>
  <si>
    <t>PL_ZEWD_1412000206_03</t>
  </si>
  <si>
    <t>Budynek SPZOZ w Siennicy</t>
  </si>
  <si>
    <t>Akacjowa</t>
  </si>
  <si>
    <t>2a</t>
  </si>
  <si>
    <t>PL_ZEWD_1412000196_06</t>
  </si>
  <si>
    <t>Urząd Gminy Siennica</t>
  </si>
  <si>
    <t>ul. Kołbielska 1</t>
  </si>
  <si>
    <t>05-332 Siennica</t>
  </si>
  <si>
    <t>Żaków</t>
  </si>
  <si>
    <t>PL_ZEWD_1412000207_05</t>
  </si>
  <si>
    <t>48 A</t>
  </si>
  <si>
    <t>PL_ZEWD_1412000208_07</t>
  </si>
  <si>
    <t>Publiczna Szkoła Podstawowa w Grzebowilku</t>
  </si>
  <si>
    <t>Grzebowilk</t>
  </si>
  <si>
    <t>PL_ZEWD_1412000209_09</t>
  </si>
  <si>
    <t>Gminna Bilioteka Publiczna w Siennicy</t>
  </si>
  <si>
    <t xml:space="preserve">Latowicka </t>
  </si>
  <si>
    <t>PL_ZEWD_1412000210_00</t>
  </si>
  <si>
    <t>Publiczna Szkoła Podstwaowa w Starogrodzie</t>
  </si>
  <si>
    <t>Starogród</t>
  </si>
  <si>
    <t>9B</t>
  </si>
  <si>
    <t>PL_ZEWD_1412000214_08</t>
  </si>
  <si>
    <t>Publiczna Szkoła Podstwaowa w Żakowie</t>
  </si>
  <si>
    <t>48A</t>
  </si>
  <si>
    <t>PL_ZEWD_1412000215_00</t>
  </si>
  <si>
    <t xml:space="preserve">Publiczna Szkoła Podstwaowa w Siennicy </t>
  </si>
  <si>
    <t>PL_ZEWD_1412000216_02</t>
  </si>
  <si>
    <t>Gminne Przeszkole Publiczne w Siennicy</t>
  </si>
  <si>
    <t>PL_ZEWD_1412000217_04</t>
  </si>
  <si>
    <t>Świetlica wiejska w Nowodworze</t>
  </si>
  <si>
    <t>Nowodwór</t>
  </si>
  <si>
    <t>Stacja Uzdatniania Wody Zglechów</t>
  </si>
  <si>
    <t>Zglechów</t>
  </si>
  <si>
    <t>PL_ZEWD_1412000202_05</t>
  </si>
  <si>
    <t>Stacja Uzdatniania Wody  Siennica</t>
  </si>
  <si>
    <t>PL_ZEWD_1412000190_04</t>
  </si>
  <si>
    <t>Gmina Siennica</t>
  </si>
  <si>
    <t>Latowicz</t>
  </si>
  <si>
    <t>05-334</t>
  </si>
  <si>
    <t>PL_ZEWD_1412000713_06</t>
  </si>
  <si>
    <t>OSP garaż</t>
  </si>
  <si>
    <t>Św. Ducha</t>
  </si>
  <si>
    <t>PL_ZEWD_1412000692_08</t>
  </si>
  <si>
    <t>C12b</t>
  </si>
  <si>
    <t>Remiza</t>
  </si>
  <si>
    <t>Redzyńskie</t>
  </si>
  <si>
    <t>58A</t>
  </si>
  <si>
    <t>PL_ZEWD_1412000706_03</t>
  </si>
  <si>
    <t>PL_ZEWD_1412000746_09</t>
  </si>
  <si>
    <t>PL_ZEWD_1412000683_01</t>
  </si>
  <si>
    <t>PL_ZEWD_1412000743_03</t>
  </si>
  <si>
    <t>PL_ZEWD_1412000745_07</t>
  </si>
  <si>
    <t>PL_ZEWD_1412000689_03</t>
  </si>
  <si>
    <t>PL_ZEWD_1412000690_04</t>
  </si>
  <si>
    <t>PL_ZEWD_1412000747_01</t>
  </si>
  <si>
    <t>PL_ZEWD_1412000753_02</t>
  </si>
  <si>
    <t>PL_ZEWD_1412000691_06</t>
  </si>
  <si>
    <t>Swietlica</t>
  </si>
  <si>
    <t>PL_ZEWD_1412000702_05</t>
  </si>
  <si>
    <t>Grundowa</t>
  </si>
  <si>
    <t>PL_ZEWD_1412000744_05</t>
  </si>
  <si>
    <t xml:space="preserve">Rynek </t>
  </si>
  <si>
    <t>PL_ZEWD_1412000694_02</t>
  </si>
  <si>
    <t>Gmina Latowicz</t>
  </si>
  <si>
    <t>Ul. Rynek 6</t>
  </si>
  <si>
    <t>NIP: 822-21-48-747</t>
  </si>
  <si>
    <t>Zespół Szkół w Latowiczu</t>
  </si>
  <si>
    <t>PL_ZEWD_1412001518_07</t>
  </si>
  <si>
    <t>Ul. Rynek 24</t>
  </si>
  <si>
    <t>05-334 Latowicz</t>
  </si>
  <si>
    <t>Dębe Małe</t>
  </si>
  <si>
    <t>PL_ZEWD_1412001461_00</t>
  </si>
  <si>
    <t>Zespół Szkół w Wielgolesie im. Rodziny Wyleżyńskich</t>
  </si>
  <si>
    <t>Wielgolas</t>
  </si>
  <si>
    <t>PL_ZEWD_1412001465_08</t>
  </si>
  <si>
    <t>Przepompowwnia</t>
  </si>
  <si>
    <t>Dz. 640</t>
  </si>
  <si>
    <t>PL_ZEWD_1412001466_00</t>
  </si>
  <si>
    <t>Latowicz-Rozstanki</t>
  </si>
  <si>
    <t>Dz. 1354</t>
  </si>
  <si>
    <t>PL_ZEWD_1412001453_05</t>
  </si>
  <si>
    <t>Ogrodowa</t>
  </si>
  <si>
    <t>Dz. 537</t>
  </si>
  <si>
    <t>PL_ZEWD_1412001468_04</t>
  </si>
  <si>
    <t>Senatorska</t>
  </si>
  <si>
    <t>PL_ZEWD_1412001463_04</t>
  </si>
  <si>
    <t>PL_ZEWD_1412001526_02</t>
  </si>
  <si>
    <t>05-335 Latowicz</t>
  </si>
  <si>
    <t>Dz. 391/1</t>
  </si>
  <si>
    <t xml:space="preserve">Hydrofornia </t>
  </si>
  <si>
    <t>Chyżyny</t>
  </si>
  <si>
    <t>UG Cegłów</t>
  </si>
  <si>
    <t>Studnia Głębinowa</t>
  </si>
  <si>
    <t>Rososz</t>
  </si>
  <si>
    <t>Pomp</t>
  </si>
  <si>
    <t>Pełczanka</t>
  </si>
  <si>
    <t>Posiadały</t>
  </si>
  <si>
    <t>OSP SKUPIE</t>
  </si>
  <si>
    <t>Skupie</t>
  </si>
  <si>
    <t>Huta Kuflewska</t>
  </si>
  <si>
    <t>Skwarne</t>
  </si>
  <si>
    <t>Ośrodek Zdrowia</t>
  </si>
  <si>
    <t>Gmina Cegłów</t>
  </si>
  <si>
    <t>PL_ZEWD_1412000549_09</t>
  </si>
  <si>
    <t>PL_ZEWD_1412000550_00</t>
  </si>
  <si>
    <t>Przedszkole</t>
  </si>
  <si>
    <t>Rżysko Stanisława</t>
  </si>
  <si>
    <t>PL_ZEWD_1412000551_02</t>
  </si>
  <si>
    <t>PL_ZEWD_1412000552_04</t>
  </si>
  <si>
    <t>Zespół Szkolny w Cegłowie</t>
  </si>
  <si>
    <t>PL_ZEWD_1412000557_04</t>
  </si>
  <si>
    <t>Podciernie</t>
  </si>
  <si>
    <t>PL_ZEWD_1412001285_00</t>
  </si>
  <si>
    <t>05-319 Cegłów</t>
  </si>
  <si>
    <t>NIP 822-19-03-503</t>
  </si>
  <si>
    <t>PL_ZEWD_1412001700_08</t>
  </si>
  <si>
    <t>PL_ZEWD_1412001666_06</t>
  </si>
  <si>
    <t>Piłsudskiego</t>
  </si>
  <si>
    <t>PL_ZEWD_1412001668_00</t>
  </si>
  <si>
    <t>PL_ZEWD_1412001669_02</t>
  </si>
  <si>
    <t xml:space="preserve">Przepompownia ścieków </t>
  </si>
  <si>
    <t>Wojciecha Oczko</t>
  </si>
  <si>
    <t>PL_ZEWD_1412001667_08</t>
  </si>
  <si>
    <t>Gminna Biblioteka Publiczna w Cegłowie</t>
  </si>
  <si>
    <t>Ul. Kościuszki Tadeusza 4</t>
  </si>
  <si>
    <t>Zespół Szkół licealnych im. I.J. Paderewskiego</t>
  </si>
  <si>
    <t>Sulejówek</t>
  </si>
  <si>
    <t>Paderewskiego Ignacego</t>
  </si>
  <si>
    <t>05-070</t>
  </si>
  <si>
    <t>Zespół Szkół Ponadgimnazjalnych</t>
  </si>
  <si>
    <t>im. Ignacego Jana Paderewskiego</t>
  </si>
  <si>
    <t>05-070 Sulejówek</t>
  </si>
  <si>
    <t>Oczyszczalnia ścieków Sulejówek Poligonowa</t>
  </si>
  <si>
    <t>Poligonowa</t>
  </si>
  <si>
    <t>Ujęcie wody Sulejówek Wodociągowa</t>
  </si>
  <si>
    <t>Wodociągowa</t>
  </si>
  <si>
    <t>Miejski Zakład Wodociągów i Kanalizacji</t>
  </si>
  <si>
    <t>11-Go Listopada</t>
  </si>
  <si>
    <t>Miejski Zakład Wodociągów i Kanalizacji - przepompownia</t>
  </si>
  <si>
    <t>Narutowicza Gabriela</t>
  </si>
  <si>
    <t>Miejski Zakład Wodociągów i Kanalizacji w Sulejówku</t>
  </si>
  <si>
    <t>Sobieskiego Jana III</t>
  </si>
  <si>
    <t>dz.62</t>
  </si>
  <si>
    <t>dz.52</t>
  </si>
  <si>
    <t xml:space="preserve">Miejski Zakład Wodociągów i Kanalizacji </t>
  </si>
  <si>
    <t>Szosowa</t>
  </si>
  <si>
    <t>Szosowa/Szekspira</t>
  </si>
  <si>
    <t>Świętochowskiego A.</t>
  </si>
  <si>
    <t>Wrońskiego</t>
  </si>
  <si>
    <t>Idzikowskiego Ludwika</t>
  </si>
  <si>
    <t>Czarnieckiego Stefana</t>
  </si>
  <si>
    <t>Piaskowa</t>
  </si>
  <si>
    <t>Ogińskiego M.K.</t>
  </si>
  <si>
    <t>Świętojańska</t>
  </si>
  <si>
    <t>Żeromskiego Stefana</t>
  </si>
  <si>
    <t>dz.34/1</t>
  </si>
  <si>
    <t>Miejski Zakład Wodociągów i Kanalizacji Przepomp.</t>
  </si>
  <si>
    <t>Kombatantów</t>
  </si>
  <si>
    <t>Tramwajowa</t>
  </si>
  <si>
    <t>Pogodna</t>
  </si>
  <si>
    <t>Łukasińskiego Waleriana</t>
  </si>
  <si>
    <t>dz.44</t>
  </si>
  <si>
    <t>Mickiewicza Adama</t>
  </si>
  <si>
    <t>dz.37</t>
  </si>
  <si>
    <t>Baryłki Grzegorza</t>
  </si>
  <si>
    <t>Małachowskiego Stanisława</t>
  </si>
  <si>
    <t>dz.126</t>
  </si>
  <si>
    <t>Głowackiego Bartosza</t>
  </si>
  <si>
    <t>dz.115</t>
  </si>
  <si>
    <t>Konopnickiej Marii</t>
  </si>
  <si>
    <t>dz.224</t>
  </si>
  <si>
    <t>Płocka/Sienkiew.</t>
  </si>
  <si>
    <t>Krakowska</t>
  </si>
  <si>
    <t>dz.220</t>
  </si>
  <si>
    <t>Łomżyńska</t>
  </si>
  <si>
    <t>Okuniewska</t>
  </si>
  <si>
    <t>Miejski Ośrodek Pomocy Społecznej</t>
  </si>
  <si>
    <t>05-071 Sulejówek</t>
  </si>
  <si>
    <t>Idzikowskiego</t>
  </si>
  <si>
    <t>2A</t>
  </si>
  <si>
    <t>Straż Miejska</t>
  </si>
  <si>
    <t>05-071</t>
  </si>
  <si>
    <t>Lecznica Miejska nr 2</t>
  </si>
  <si>
    <t xml:space="preserve">Samodzielny Publiczny Zakład Opieki Zdrowotnej </t>
  </si>
  <si>
    <t>7B</t>
  </si>
  <si>
    <t>Dworcowa</t>
  </si>
  <si>
    <t>Targowisko Miejskie</t>
  </si>
  <si>
    <t>Miasto Sulejówek</t>
  </si>
  <si>
    <t>Straż Pożarna</t>
  </si>
  <si>
    <t>Świętochowskiego</t>
  </si>
  <si>
    <t>Przedszkole nr 2</t>
  </si>
  <si>
    <t>Miejskie Przedszkole nr 1</t>
  </si>
  <si>
    <t>Dobre</t>
  </si>
  <si>
    <t>05-307</t>
  </si>
  <si>
    <t>PL_ZEWD_1412000283_09</t>
  </si>
  <si>
    <t>Rakówiec</t>
  </si>
  <si>
    <t>PL_ZEWD_1412000271_06</t>
  </si>
  <si>
    <t>PL_ZEWD_1412000251_08</t>
  </si>
  <si>
    <t>PL_ZEWD_1412000252_00</t>
  </si>
  <si>
    <t>PL_ZEWD_1412000253_02</t>
  </si>
  <si>
    <t>Zdrojówki</t>
  </si>
  <si>
    <t>Brzozowica</t>
  </si>
  <si>
    <t>PL_ZEWD_1412000258_02</t>
  </si>
  <si>
    <t>Nowa Wieś</t>
  </si>
  <si>
    <t>PL_ZEWD_1412000308_05</t>
  </si>
  <si>
    <t>Rynia</t>
  </si>
  <si>
    <t>PL_ZEWD_1412000322_01</t>
  </si>
  <si>
    <t>Sołki</t>
  </si>
  <si>
    <t>PL_ZEWD_1412000324_05</t>
  </si>
  <si>
    <t>PL_ZEWD_1412000326_09</t>
  </si>
  <si>
    <t>Czarnogłów</t>
  </si>
  <si>
    <t>PL_ZEWD_1412000260_05</t>
  </si>
  <si>
    <t>Reymonta</t>
  </si>
  <si>
    <t>PL_ZEWD_1412000257_00</t>
  </si>
  <si>
    <t>Stacja uzdatniania wody</t>
  </si>
  <si>
    <t>Mlęcin</t>
  </si>
  <si>
    <t>PL_ZEWD_1412000344_03</t>
  </si>
  <si>
    <t>PL_ZEWD_1412000346_07</t>
  </si>
  <si>
    <t>PL_ZEWD_1412000297_06</t>
  </si>
  <si>
    <t>PL_ZEWD_1412000259_04</t>
  </si>
  <si>
    <t>Targowisko</t>
  </si>
  <si>
    <t>10B</t>
  </si>
  <si>
    <t>PL_ZEWD_1412000824_05</t>
  </si>
  <si>
    <t>Laszczki</t>
  </si>
  <si>
    <t>PL_ZEWD_1412001296_01</t>
  </si>
  <si>
    <t>Stacja bazowa</t>
  </si>
  <si>
    <t>Drop</t>
  </si>
  <si>
    <t>PL_ZEWD_1412001401_06</t>
  </si>
  <si>
    <t>05-307 Dobre</t>
  </si>
  <si>
    <t>Przedszkole Publiczne</t>
  </si>
  <si>
    <t>PL_ZEWD_1412000254_04</t>
  </si>
  <si>
    <t>PL_ZEWD_1412000318_04</t>
  </si>
  <si>
    <t>PL_ZEWD_1412000250_06</t>
  </si>
  <si>
    <t>PL_ZEWD_1412000268_01</t>
  </si>
  <si>
    <t>Nazwa PPE</t>
  </si>
  <si>
    <t>Numer posesji</t>
  </si>
  <si>
    <t>Moc umowna</t>
  </si>
  <si>
    <t>Prognozowany wolumen zużycia energii elektrycznej czynnej w okresie od 1 stycznia do 31 grudnia [kWh] w podziale na grupy taryfowe (bilans OSD)</t>
  </si>
  <si>
    <t>Prognozowany wolumen zużycia energii elektrycznej czynnej [kWh] w okresie objętym przedmiotem zamówienia (bilans Sprzedawcy)</t>
  </si>
  <si>
    <t xml:space="preserve">całodobowa </t>
  </si>
  <si>
    <t>szczyt/dzień</t>
  </si>
  <si>
    <t>pozaszczyt/noc</t>
  </si>
  <si>
    <t>Prognozowany wolumen zużycia energii elektrycznej w okresie od 1 stycznia do 31 grudnia [kWh] - bilans roczny OSD</t>
  </si>
  <si>
    <t>Prognozowany wolumen zuzycia energii elektrycznej czynnej w okresie objętym przedmiotem zamówienia [kWh] - bilans Sprzedawcy</t>
  </si>
  <si>
    <t>zużycie łączne</t>
  </si>
  <si>
    <t>Prognozowany wolumen zużycia energii elektrycznej czynnej w okresie objetym przedmiotem zamówienia [kWh]</t>
  </si>
  <si>
    <t>Szczegółowy Opis Przedmiotu Zamówienia - Gmina Mrozy</t>
  </si>
  <si>
    <t>Szczegółowy Opis Przedmiotu Zamówienia - Gmina Halinów</t>
  </si>
  <si>
    <t>Szczegółowy Opis Przedmiotu Zamówienia - Miasto Mińsk Mazowiecki</t>
  </si>
  <si>
    <t>OSD - PKP Energetyka S.A.</t>
  </si>
  <si>
    <t>Szczegółowy Opis Przedmiotu Zamówienia - Gmina Siennica</t>
  </si>
  <si>
    <t>PL_ZEWD_1412000320_07</t>
  </si>
  <si>
    <t>Jakubów</t>
  </si>
  <si>
    <t>05-306</t>
  </si>
  <si>
    <t>Mistów</t>
  </si>
  <si>
    <t>Wiśniew Bud. Kom.</t>
  </si>
  <si>
    <t>Wiśniew</t>
  </si>
  <si>
    <t>Jędrzejów Nowy</t>
  </si>
  <si>
    <t>45A</t>
  </si>
  <si>
    <t>Dom Nauczyciela</t>
  </si>
  <si>
    <t>05-306 Jakubów</t>
  </si>
  <si>
    <t>Ochotnicza Straż Pożarna</t>
  </si>
  <si>
    <t>Kałuszyn</t>
  </si>
  <si>
    <t>05-310</t>
  </si>
  <si>
    <t>Sinołęka</t>
  </si>
  <si>
    <t>Sinołęka 19</t>
  </si>
  <si>
    <t>05-310 Kałuszyn</t>
  </si>
  <si>
    <t>822-217-65-54</t>
  </si>
  <si>
    <t>Boisko sportowe</t>
  </si>
  <si>
    <t>Obiekt sportowo - rekreacyjny</t>
  </si>
  <si>
    <t>Pocztowa</t>
  </si>
  <si>
    <t>Pawilony handlowe</t>
  </si>
  <si>
    <t>Chopina</t>
  </si>
  <si>
    <t>Olszewice</t>
  </si>
  <si>
    <t>Groszki Nowe</t>
  </si>
  <si>
    <t>Falbogi</t>
  </si>
  <si>
    <t>Wąsy</t>
  </si>
  <si>
    <t>Baza PKS</t>
  </si>
  <si>
    <t>Klub</t>
  </si>
  <si>
    <t>Garczyn Duży</t>
  </si>
  <si>
    <t>11A</t>
  </si>
  <si>
    <t>Fontanna, scena</t>
  </si>
  <si>
    <t>Urząd Miejski</t>
  </si>
  <si>
    <t>Ul. Pocztowa 1</t>
  </si>
  <si>
    <t>Gołębiówka 10</t>
  </si>
  <si>
    <t xml:space="preserve">Pocztowa </t>
  </si>
  <si>
    <t>Chrościce Szkoła Podstawowa</t>
  </si>
  <si>
    <t>Chrościce</t>
  </si>
  <si>
    <t>Biblioteka Publiczna</t>
  </si>
  <si>
    <t>ul. Warszawska 39</t>
  </si>
  <si>
    <t xml:space="preserve">Zakład Gospodarki Komunalnej </t>
  </si>
  <si>
    <t>Trzcianka</t>
  </si>
  <si>
    <t>Wyzwolenia</t>
  </si>
  <si>
    <t>Patok</t>
  </si>
  <si>
    <t>Krauzego</t>
  </si>
  <si>
    <t>Zakład Gospodarki Komunalnej</t>
  </si>
  <si>
    <t>Plac Kilińskiego</t>
  </si>
  <si>
    <t>kolejności zmiany sprzedawcy, terminów rozwiązania umów kompleksowych oraz terminów rozpoczęcia sprzedaży wynikających ze skuteczności rozwiązania umów kompleksowych dla PPE Zamawiającego</t>
  </si>
  <si>
    <t>Szczegółowy Opis Przedmiotu Zamówienia - Gmina Mińsk Mazowiecki</t>
  </si>
  <si>
    <t>Szczegółowy Opis Przedmiotu Zamówienia - Gmina Dębe Wielkie</t>
  </si>
  <si>
    <t>Szczegółowy Opis Przedmiotu Zamówienia - Gmina Latowicz</t>
  </si>
  <si>
    <t>Szczegółowy Opis Przedmiotu Zamówienia - Gmina Cegłów</t>
  </si>
  <si>
    <t>Szczegółowy Opis Przedmiotu Zamówienia - Miasto Sulejówek</t>
  </si>
  <si>
    <t>Szczegółowy Opis Przedmiotu Zamówienia - Gmina Dobre</t>
  </si>
  <si>
    <t>Szczegółowy Opis Przedmiotu Zamówienia - Gmina Jakubów</t>
  </si>
  <si>
    <t>Szczegółowy Opis Przedmiotu Zamówienia - Gmina Kałuszyn</t>
  </si>
  <si>
    <t>Rada Sołecka Świetlica</t>
  </si>
  <si>
    <t>Gmina Mrozy</t>
  </si>
  <si>
    <t>05-320 Mrozy</t>
  </si>
  <si>
    <t>Gmina Stanisławów</t>
  </si>
  <si>
    <t>Rządza</t>
  </si>
  <si>
    <t>05-304</t>
  </si>
  <si>
    <t>Stanisławów</t>
  </si>
  <si>
    <t>Pustelnik</t>
  </si>
  <si>
    <t>Ośrodek Zdrowia/Kotłownia</t>
  </si>
  <si>
    <t>Cisówka</t>
  </si>
  <si>
    <t>Zachodnia</t>
  </si>
  <si>
    <t>G11</t>
  </si>
  <si>
    <t>Lubelska</t>
  </si>
  <si>
    <t>Retków</t>
  </si>
  <si>
    <t>B21</t>
  </si>
  <si>
    <t>Wólka Czarnińska</t>
  </si>
  <si>
    <t>Ładzyń</t>
  </si>
  <si>
    <t>Wołomińska</t>
  </si>
  <si>
    <t>dz.2312</t>
  </si>
  <si>
    <t>Polna</t>
  </si>
  <si>
    <t>dz.2426</t>
  </si>
  <si>
    <t>Mały Stanisławów</t>
  </si>
  <si>
    <t>dz.357</t>
  </si>
  <si>
    <t>Sokóle</t>
  </si>
  <si>
    <t>Prognozowany wolumen zużycia energii elektrycznej czynnej w okresie od 1 stycznia do 31 grudnia [kWh] w podziale na grupy taryfowe (bilans roczny OSD)</t>
  </si>
  <si>
    <t>Łącznie:</t>
  </si>
  <si>
    <t>Szczegółowy Opis Przedmiotu Zamówienia - Gmina Stanisławów</t>
  </si>
  <si>
    <t>PL_ZEWD_1412002218_00</t>
  </si>
  <si>
    <t>Długa Kościelna</t>
  </si>
  <si>
    <t>Dąbrowskiego</t>
  </si>
  <si>
    <t>Zakład Komunalny w Halinowie Przepompownia P-1</t>
  </si>
  <si>
    <t>Północna</t>
  </si>
  <si>
    <t>Zakład Komunalny Przepompownia</t>
  </si>
  <si>
    <t>Zakład Komunalny w Halinowie</t>
  </si>
  <si>
    <t>Szczęśliwa</t>
  </si>
  <si>
    <t>Wielgolas Duchnowski</t>
  </si>
  <si>
    <t>Mrowiska</t>
  </si>
  <si>
    <t>Hipolitów</t>
  </si>
  <si>
    <t>Kołacz</t>
  </si>
  <si>
    <t>11a</t>
  </si>
  <si>
    <t>dz.2198</t>
  </si>
  <si>
    <t>dz.2559/2</t>
  </si>
  <si>
    <t>78a</t>
  </si>
  <si>
    <t>PL_ZEWD_1412002099_08</t>
  </si>
  <si>
    <t>PL_ZEWD_1412000193_00</t>
  </si>
  <si>
    <t>Latowicka</t>
  </si>
  <si>
    <t>PL_ZEWD_1412000195_04</t>
  </si>
  <si>
    <t>Zespół Szkół im. H.K. Gnoińskich w Siennicy</t>
  </si>
  <si>
    <t>ul. Mińska 36</t>
  </si>
  <si>
    <t>Mińska</t>
  </si>
  <si>
    <t>PL_ZEWD_1412000231_00</t>
  </si>
  <si>
    <t>PL_ZEWD_1412000230_08</t>
  </si>
  <si>
    <t>Numer Licznika</t>
  </si>
  <si>
    <t>PL_ZEWD_1412001202_02</t>
  </si>
  <si>
    <t>PL_ZEWD_1412001187_06</t>
  </si>
  <si>
    <t>PL_PKPE_1412000351_06</t>
  </si>
  <si>
    <t>PL_ZEWD_1412001119_07</t>
  </si>
  <si>
    <t>PL_ZEWD_1412001122_02</t>
  </si>
  <si>
    <t>PL_ZEWD_1412001275_01</t>
  </si>
  <si>
    <t>PL_ZEWD_1412001276_03</t>
  </si>
  <si>
    <t>PL_ZEWD_1412001277_05</t>
  </si>
  <si>
    <t>PL_ZEWD_1412001120_08</t>
  </si>
  <si>
    <t>PL_ZEWD_1412001121_00</t>
  </si>
  <si>
    <t>PL_ZEWD_1412001394_05</t>
  </si>
  <si>
    <t>PL_ZEWD_1412001113_05</t>
  </si>
  <si>
    <t>PL_ZEWD_1412001998_01</t>
  </si>
  <si>
    <t>PL_ZEWD_1412002134_02</t>
  </si>
  <si>
    <t>PL_ZEWD_1412002065_03</t>
  </si>
  <si>
    <t>Zielona</t>
  </si>
  <si>
    <t>Gen. Józefa Hallera</t>
  </si>
  <si>
    <t>Ul. Zielona 3</t>
  </si>
  <si>
    <t>Marii Bielawiny</t>
  </si>
  <si>
    <t>dz.13</t>
  </si>
  <si>
    <t>Leśna</t>
  </si>
  <si>
    <t>Kolejowa</t>
  </si>
  <si>
    <t>Litewska</t>
  </si>
  <si>
    <t>Dz.224/2</t>
  </si>
  <si>
    <t>Dz.633</t>
  </si>
  <si>
    <t>Dz.169/2</t>
  </si>
  <si>
    <t>Dz.214/2</t>
  </si>
  <si>
    <t>Dz.48</t>
  </si>
  <si>
    <t>PL_ZEWD_1412002123_01</t>
  </si>
  <si>
    <t>PL_ZEWD_1412002127_09</t>
  </si>
  <si>
    <t>PL_ZEWD_1412002112_00</t>
  </si>
  <si>
    <t>PL_ZEWD_1412002111_08</t>
  </si>
  <si>
    <t>PL_ZEWD_1412002122_09</t>
  </si>
  <si>
    <t>PL_ZEWD_1412002126_07</t>
  </si>
  <si>
    <t>PL_ZEWD_1412002125_05</t>
  </si>
  <si>
    <t>PL_ZEWD_1412001111_01</t>
  </si>
  <si>
    <t>PL_ZEWD_1412001155_05</t>
  </si>
  <si>
    <t>Publiczne Przedszkole "Akwarelka" w Nowych Osinach</t>
  </si>
  <si>
    <t>PL_ZEWD_1412001116_01</t>
  </si>
  <si>
    <t>.</t>
  </si>
  <si>
    <t>PL_ZEWD_1412001991_07</t>
  </si>
  <si>
    <t>PL_ZEWD_1412002067_07</t>
  </si>
  <si>
    <t>PL_ZEWD_1412002223_09</t>
  </si>
  <si>
    <t>PL_ZEWD_1412002081_03</t>
  </si>
  <si>
    <t>PL_ZEWD_1412002002_03</t>
  </si>
  <si>
    <t>Krasińskiego Zygmunta</t>
  </si>
  <si>
    <t>Zespół Szkół Agrotechnicznych w Mińsku Mazowieckim</t>
  </si>
  <si>
    <t>Powiat Miński</t>
  </si>
  <si>
    <t>Zespół Szkół Ekonomicznych w Mińsku Mazowieckim</t>
  </si>
  <si>
    <t>Zarząd Dróg Powiatowych w Mińsku Mazowieckim</t>
  </si>
  <si>
    <t xml:space="preserve">Zespół Szkół Specjalnych im. Janiny Porazińskiej </t>
  </si>
  <si>
    <t>Gimnazjum i Liceum Ogólnokształcące im. Polskiej</t>
  </si>
  <si>
    <t>Zespół Szkół nr 1 im Kazimierza Wielkiego</t>
  </si>
  <si>
    <t>Miejski Ośrodek Pomocy społecznej</t>
  </si>
  <si>
    <t>Numer</t>
  </si>
  <si>
    <t>25A m 4</t>
  </si>
  <si>
    <t>25A m 23</t>
  </si>
  <si>
    <t>25A m 25</t>
  </si>
  <si>
    <t>ul. Tadeusza Kościuszki 25A</t>
  </si>
  <si>
    <t>ul. Mikołaja Kopernika 9</t>
  </si>
  <si>
    <t>NIP</t>
  </si>
  <si>
    <t>Stefana Okrzei</t>
  </si>
  <si>
    <t>gen. Kazimierza Sosnkowskiego</t>
  </si>
  <si>
    <t>PL_ZEWD_1412002215_04</t>
  </si>
  <si>
    <t>ul. Juliana Tuwima 2</t>
  </si>
  <si>
    <t>Miejski Ośrodek Sportu i Rekreacji Mińsk Mazowiecki</t>
  </si>
  <si>
    <t>ul. Stefana Kardynała Wyszyńskiego 56</t>
  </si>
  <si>
    <t>Stefana Kardynała Wyszyńskiego</t>
  </si>
  <si>
    <t>30A</t>
  </si>
  <si>
    <t>Sportowa</t>
  </si>
  <si>
    <t>Walerego Wróblewskiego</t>
  </si>
  <si>
    <t>Dz.504/1</t>
  </si>
  <si>
    <t>PL_ZEWD_1412002140_03</t>
  </si>
  <si>
    <t>PL_ZEWD_1412002142_07</t>
  </si>
  <si>
    <t>PL_ZEWD_1412001291_01</t>
  </si>
  <si>
    <t>Wysypisko</t>
  </si>
  <si>
    <t>PL_ZEWD_1412001469_06</t>
  </si>
  <si>
    <t>PL_ZEWD_1412001467_02</t>
  </si>
  <si>
    <t>Gołełąki</t>
  </si>
  <si>
    <t>29</t>
  </si>
  <si>
    <t>Marii Konopnickiej</t>
  </si>
  <si>
    <t>PL_ZEWD_1412001459_07</t>
  </si>
  <si>
    <t>Boisko "ORLIK"</t>
  </si>
  <si>
    <t>PL_ZEWD_1412002139_02</t>
  </si>
  <si>
    <t>PL_ZEWD_1412002200_05</t>
  </si>
  <si>
    <t>PL_ZEWD_1412001379_07</t>
  </si>
  <si>
    <t>PL_ZEWD_1412001355_01</t>
  </si>
  <si>
    <t>PL_ZEWD_1412001307_00</t>
  </si>
  <si>
    <t>PL_ZEWD_1412001381_00</t>
  </si>
  <si>
    <t>PL_ZEWD_1412001386_00</t>
  </si>
  <si>
    <t>PL_ZEWD_1412001367_04</t>
  </si>
  <si>
    <t>PL_ZEWD_1412001428_08</t>
  </si>
  <si>
    <t>Gmina Jakubów</t>
  </si>
  <si>
    <t>PL_ZEWD_1412001359_09</t>
  </si>
  <si>
    <t>PL_ZEWD_1412001345_02</t>
  </si>
  <si>
    <t>PL_ZEWD_1412000311_00</t>
  </si>
  <si>
    <t>I</t>
  </si>
  <si>
    <t>Biblioteka</t>
  </si>
  <si>
    <t>1A I</t>
  </si>
  <si>
    <t>1A II</t>
  </si>
  <si>
    <t>3 II</t>
  </si>
  <si>
    <t>II</t>
  </si>
  <si>
    <t>III</t>
  </si>
  <si>
    <t>Gmina Dobre</t>
  </si>
  <si>
    <t>ul. Kościuszki 1</t>
  </si>
  <si>
    <t>PL_ZEWD_1412001075_05</t>
  </si>
  <si>
    <t>PL_ZEWD_1412001082_08</t>
  </si>
  <si>
    <t>PL_ZEWD_1412001020_00</t>
  </si>
  <si>
    <t>PL_ZEWD_1412001089_02</t>
  </si>
  <si>
    <t>PL_ZEWD_1412001086_06</t>
  </si>
  <si>
    <t>PL_ZEWD_1412001052_01</t>
  </si>
  <si>
    <t>PL_ZEWD_1412001048_04</t>
  </si>
  <si>
    <t>Przepompownia P1</t>
  </si>
  <si>
    <t>PL_ZEWD_1412001258_09</t>
  </si>
  <si>
    <t>PL_ZEWD_1412001066_08</t>
  </si>
  <si>
    <t>Przepompownia P2</t>
  </si>
  <si>
    <t>PL_ZEWD_1412001253_09</t>
  </si>
  <si>
    <t>Przepompownia P3</t>
  </si>
  <si>
    <t>PL_ZEWD_1412001254_01</t>
  </si>
  <si>
    <t>PL_ZEWD_1412001074_03</t>
  </si>
  <si>
    <t>PL_ZEWD_1412001283_06</t>
  </si>
  <si>
    <t xml:space="preserve">Zespół Szkolny  </t>
  </si>
  <si>
    <t>PL_ZEWD_1412001284_08</t>
  </si>
  <si>
    <t>PL_ZEWD_1412001245_04</t>
  </si>
  <si>
    <t>PL_ZEWD_1412001010_01</t>
  </si>
  <si>
    <t>Kiczki I</t>
  </si>
  <si>
    <t>Nr</t>
  </si>
  <si>
    <t>Henryka Dobrzyckiego</t>
  </si>
  <si>
    <t>Józefa Piłsudskiego</t>
  </si>
  <si>
    <t>PL_ZEWD_1412002146_05</t>
  </si>
  <si>
    <t>PL_ZEWD_1412000539_00</t>
  </si>
  <si>
    <t>PL_ZEWD_1412000536_04</t>
  </si>
  <si>
    <t>PL_ZEWD_1412000542_05</t>
  </si>
  <si>
    <t>PL_ZEWD_1412000532_06</t>
  </si>
  <si>
    <t>PL_ZEWD_1412000538_08</t>
  </si>
  <si>
    <t>PL_ZEWD_1412000529_01</t>
  </si>
  <si>
    <t>PL_ZEWD_1412000537_06</t>
  </si>
  <si>
    <t>PL_ZEWD_1412000543_07</t>
  </si>
  <si>
    <t>PL_ZEWD_1412000540_01</t>
  </si>
  <si>
    <t>PL_ZEWD_1412000535_02</t>
  </si>
  <si>
    <t>PL_ZEWD_1412000541_03</t>
  </si>
  <si>
    <t>PL_ZEWD_1412002147_07</t>
  </si>
  <si>
    <t>27 II</t>
  </si>
  <si>
    <t>27 I</t>
  </si>
  <si>
    <t>PL_ZEWD_1412001990_05</t>
  </si>
  <si>
    <t>PL_ZEWD_1412001968_04</t>
  </si>
  <si>
    <t>PL_ZEWD_1412001996_07</t>
  </si>
  <si>
    <t>PL_ZEWD_1412002224_01</t>
  </si>
  <si>
    <t>PL_ZEWD_1412001982_00</t>
  </si>
  <si>
    <t>PL_ZEWD_1412001960_08</t>
  </si>
  <si>
    <t>PL_ZEWD_1412002075_02</t>
  </si>
  <si>
    <t>PL_ZEWD_1412001969_06</t>
  </si>
  <si>
    <t>PL_ZEWD_1412001964_06</t>
  </si>
  <si>
    <t>PL_ZEWD_1412002004_07</t>
  </si>
  <si>
    <t>PL_ZEWD_1412001979_05</t>
  </si>
  <si>
    <t>PL_ZEWD_1412001977_01</t>
  </si>
  <si>
    <t>PL_ZEWD_1412002074_00</t>
  </si>
  <si>
    <t>PL_ZEWD_1412001980_06</t>
  </si>
  <si>
    <t>PL_ZEWD_1412002076_04</t>
  </si>
  <si>
    <t>PL_ZEWD_1412001976_09</t>
  </si>
  <si>
    <t>PL_ZEWD_1412002007_03</t>
  </si>
  <si>
    <t>Sienkiewicza Henryka/11 Listop</t>
  </si>
  <si>
    <t>PL_ZEWD_1412001994_03</t>
  </si>
  <si>
    <t>PL_ZEWD_1412002006_01</t>
  </si>
  <si>
    <t>PL_ZEWD_1412001961_00</t>
  </si>
  <si>
    <t>PL_ZEWD_1412001962_02</t>
  </si>
  <si>
    <t>PL_ZEWD_1412001981_08</t>
  </si>
  <si>
    <t>PL_ZEWD_1412001975_07</t>
  </si>
  <si>
    <t>PL_ZEWD_1412001967_02</t>
  </si>
  <si>
    <t>PL_ZEWD_1412001972_01</t>
  </si>
  <si>
    <t>PL_ZEWD_1412001971_09</t>
  </si>
  <si>
    <t>PL_ZEWD_1412001973_03</t>
  </si>
  <si>
    <t>PL_ZEWD_1412001970_07</t>
  </si>
  <si>
    <t>PL_ZEWD_1412002009_07</t>
  </si>
  <si>
    <t>PL_ZEWD_1412001984_04</t>
  </si>
  <si>
    <t>PL_ZEWD_1412001999_03</t>
  </si>
  <si>
    <t>PL_ZEWD_1412001978_03</t>
  </si>
  <si>
    <t>PL_ZEWD_1412001959_07</t>
  </si>
  <si>
    <t>PL_ZEWD_1412001965_08</t>
  </si>
  <si>
    <t>PL_ZEWD_1412001974_05</t>
  </si>
  <si>
    <t>PL_ZEWD_1412001988_02</t>
  </si>
  <si>
    <t>PL_ZEWD_1412002066_05</t>
  </si>
  <si>
    <t>dz.156</t>
  </si>
  <si>
    <t>dz.153/5</t>
  </si>
  <si>
    <t>dz.73/10</t>
  </si>
  <si>
    <t>dz.722</t>
  </si>
  <si>
    <t>Mienia</t>
  </si>
  <si>
    <t>dz.551</t>
  </si>
  <si>
    <t>Przepompownia P</t>
  </si>
  <si>
    <t>dz.1011</t>
  </si>
  <si>
    <t>3 I</t>
  </si>
  <si>
    <t>871831</t>
  </si>
  <si>
    <t>ul. Mazowiecka 86</t>
  </si>
  <si>
    <t>36920</t>
  </si>
  <si>
    <t>ul. Licealna 3</t>
  </si>
  <si>
    <t>ul. Szkolna 8</t>
  </si>
  <si>
    <t>05-317 Jeruzal</t>
  </si>
  <si>
    <t>40409</t>
  </si>
  <si>
    <t>Gminne Centrum Kultury w Mrozach</t>
  </si>
  <si>
    <t>ul. Adama Mickiewicza 22</t>
  </si>
  <si>
    <t>Gminne Przedszkole w Mrozach</t>
  </si>
  <si>
    <t>ul. Szkolna 2</t>
  </si>
  <si>
    <t>PL_ZEWD_1412002101_09</t>
  </si>
  <si>
    <t>40408</t>
  </si>
  <si>
    <t>38620</t>
  </si>
  <si>
    <t>36914</t>
  </si>
  <si>
    <t>70526229</t>
  </si>
  <si>
    <t>38614</t>
  </si>
  <si>
    <t>36922</t>
  </si>
  <si>
    <t>70525746</t>
  </si>
  <si>
    <t>70968362</t>
  </si>
  <si>
    <t>22 II</t>
  </si>
  <si>
    <t>39313</t>
  </si>
  <si>
    <t>70968380</t>
  </si>
  <si>
    <t>10A</t>
  </si>
  <si>
    <t>PL_ZEWD_1412000375_02</t>
  </si>
  <si>
    <t>PL_ZEWD_1412002100_07</t>
  </si>
  <si>
    <t>Szymony</t>
  </si>
  <si>
    <t>PL_ZEWD_1412001684_00</t>
  </si>
  <si>
    <t>PL_ZEWD_1412001605_00</t>
  </si>
  <si>
    <t>PL_ZEWD_1412001566_08</t>
  </si>
  <si>
    <t>PL_ZEWD_1412001488_02</t>
  </si>
  <si>
    <t>PL_ZEWD_1412001498_01</t>
  </si>
  <si>
    <t>PL_ZEWD_1412001500_02</t>
  </si>
  <si>
    <t>PL_ZEWD_1412001472_01</t>
  </si>
  <si>
    <t>PL_ZEWD_1412001454_07</t>
  </si>
  <si>
    <t>PL_ZEWD_1412001527_04</t>
  </si>
  <si>
    <t>PL_ZEWD_1412001499_03</t>
  </si>
  <si>
    <t>PL_ZEWD_1412001446_02</t>
  </si>
  <si>
    <t>PL_ZEWD_1412001497_09</t>
  </si>
  <si>
    <t>PL_ZEWD_1412001506_04</t>
  </si>
  <si>
    <t>PL_ZEWD_1412001596_05</t>
  </si>
  <si>
    <t>PL_ZEWD_1412001568_02</t>
  </si>
  <si>
    <t>PL_ZEWD_1412001570_05</t>
  </si>
  <si>
    <t>PL_ZEWD_1412001569_04</t>
  </si>
  <si>
    <t>PL_ZEWD_1412001618_05</t>
  </si>
  <si>
    <t>PL_ZEWD_1412001584_02</t>
  </si>
  <si>
    <t>Wojska Polskiego</t>
  </si>
  <si>
    <t>Zamojska</t>
  </si>
  <si>
    <t>PL_ZEWD_1412001800_06</t>
  </si>
  <si>
    <t>PL_ZEWD_1412001766_04</t>
  </si>
  <si>
    <t>PL_ZEWD_1412001767_06</t>
  </si>
  <si>
    <t>PL_ZEWD_1412001801_08</t>
  </si>
  <si>
    <t>PL_ZEWD_1412001783_06</t>
  </si>
  <si>
    <t>PL_ZEWD_1412001749_02</t>
  </si>
  <si>
    <t>PL_ZEWD_1412002078_08</t>
  </si>
  <si>
    <t>PL_ZEWD_1412001789_08</t>
  </si>
  <si>
    <t>PL_ZEWD_1412001750_03</t>
  </si>
  <si>
    <t>PL_ZEWD_1412001765_02</t>
  </si>
  <si>
    <t>PL_ZEWD_1412001756_05</t>
  </si>
  <si>
    <t>PL_ZEWD_1412001778_07</t>
  </si>
  <si>
    <t>PL_ZEWD_1412001788_06</t>
  </si>
  <si>
    <t>PL_ZEWD_1412002079_00</t>
  </si>
  <si>
    <t>Mostowa</t>
  </si>
  <si>
    <t>PL_ZEWD_1412002064_01</t>
  </si>
  <si>
    <t>Zespół Szkolno-Przedszkolny w Cisiu</t>
  </si>
  <si>
    <t>ul. J. Piłsudskiego 77</t>
  </si>
  <si>
    <t>PL_ZEWD_1412002069_01</t>
  </si>
  <si>
    <t>PL_ZEWD_1412002068_09</t>
  </si>
  <si>
    <t>822-10-07-884</t>
  </si>
  <si>
    <t>822-15-05-903</t>
  </si>
  <si>
    <t>822-23-26-982</t>
  </si>
  <si>
    <t>822-23-27-639</t>
  </si>
  <si>
    <t>822-21-49-422</t>
  </si>
  <si>
    <t>822-214-65-99</t>
  </si>
  <si>
    <t>952-14-71-764</t>
  </si>
  <si>
    <t>dz.57/2</t>
  </si>
  <si>
    <t>PL_ZEWD_1412002070_02</t>
  </si>
  <si>
    <t>Ignaców 8</t>
  </si>
  <si>
    <t>ul. Graniczna 1</t>
  </si>
  <si>
    <t>PL_PKPE_1412000397_04</t>
  </si>
  <si>
    <t>PL_PKPE_1412000438_00</t>
  </si>
  <si>
    <t>OSD - PKP Energetyka</t>
  </si>
  <si>
    <t>PL_ZEWD_1412000967_05</t>
  </si>
  <si>
    <t>PL_ZEWD_1412000939_02</t>
  </si>
  <si>
    <t>39308</t>
  </si>
  <si>
    <t>70618885</t>
  </si>
  <si>
    <t>Bolesława Prusa</t>
  </si>
  <si>
    <t>PL_ZEWD_1412000546_03</t>
  </si>
  <si>
    <t>PL_ZEWD_1412001672_07</t>
  </si>
  <si>
    <t>PL_ZEWD_1412001679_01</t>
  </si>
  <si>
    <t>PL_ZEWD_1412001458_05</t>
  </si>
  <si>
    <t>PL_ZEWD_1412001474_05</t>
  </si>
  <si>
    <t>PL_ZEWD_1412001612_03</t>
  </si>
  <si>
    <t>PL_ZEWD_1412001613_05</t>
  </si>
  <si>
    <t>PL_ZEWD_1412001485_06</t>
  </si>
  <si>
    <t>kolejności zmiany sprzedawcy</t>
  </si>
  <si>
    <r>
      <t>prognozowanych wolumenów zużycia energii elektrycznej czynnej w okresie objętym przedmiotem zamówienia z uwzględnieniem okresu wynikającego z procedury zmiany Sprzedawcy (</t>
    </r>
    <r>
      <rPr>
        <b/>
        <sz val="12"/>
        <color indexed="8"/>
        <rFont val="Czcionka tekstu podstawowego"/>
        <family val="2"/>
        <charset val="238"/>
      </rPr>
      <t>Bilans Sprzedawcy</t>
    </r>
    <r>
      <rPr>
        <sz val="12"/>
        <color indexed="8"/>
        <rFont val="Czcionka tekstu podstawowego"/>
        <family val="2"/>
        <charset val="238"/>
      </rPr>
      <t>)</t>
    </r>
  </si>
  <si>
    <t>PL_ZEWD_1412001370_09</t>
  </si>
  <si>
    <t>PL_ZEWD_1412001682_06</t>
  </si>
  <si>
    <t>PL_ZEWD_1412001470_07</t>
  </si>
  <si>
    <t>PL_ZEWD_1412001771_03</t>
  </si>
  <si>
    <t>Gmina Halinów</t>
  </si>
  <si>
    <t>ul. Spółdzielcza 1</t>
  </si>
  <si>
    <t>OSD właściwy dla punktów poboru energii Zamawiającego - PGE Dystrybucja S.A.</t>
  </si>
  <si>
    <t>OSD właściwy dla punktów poboru energii Zamawiającego - PGE Dystrybucja S.A. oraz PKP Energetyka S.A.</t>
  </si>
  <si>
    <t>OSD właściwy dla punktów poboru energii Zamawiającego:</t>
  </si>
  <si>
    <t>PGE Dystrybucja S.A.</t>
  </si>
  <si>
    <t>PKP Energetyka S.A.</t>
  </si>
  <si>
    <t>ul. Rynek 32</t>
  </si>
  <si>
    <t>05-304 Stanisławów</t>
  </si>
  <si>
    <t>PL_ZEWD_1412000094_09</t>
  </si>
  <si>
    <t>Biuro Urzędu Miasta Sulejówek</t>
  </si>
  <si>
    <t>URD:</t>
  </si>
  <si>
    <t>MUZE_ZEWD_O_00001</t>
  </si>
  <si>
    <t>PL_ZEWD_1412002517_02</t>
  </si>
  <si>
    <t>MIEJ_ZEWD_O_00010</t>
  </si>
  <si>
    <t>Miejski Dom Kultury Fontanna</t>
  </si>
  <si>
    <t>PL_ZEWD_1412002487_07</t>
  </si>
  <si>
    <t>PL_ZEWD_1412002549_03</t>
  </si>
  <si>
    <t>MIEJ_ZEWD_O_00011</t>
  </si>
  <si>
    <t xml:space="preserve">Józefa Piłsudskiego </t>
  </si>
  <si>
    <t>ul. Józefa Piłsudskiego 1 A</t>
  </si>
  <si>
    <t>Juliana Tuwima</t>
  </si>
  <si>
    <t>PL_ZEWD_1412002531_08</t>
  </si>
  <si>
    <t>PL_ZEWD_1412002530_06</t>
  </si>
  <si>
    <t>PL_ZEWD_1412002532_00</t>
  </si>
  <si>
    <t>Miejski Ośrodek Pomocy Społecznej w Mińsku Mazowieckim</t>
  </si>
  <si>
    <t>MIAS_ZEWD_O_00013</t>
  </si>
  <si>
    <t>PL_ZEWD_1412002073_08</t>
  </si>
  <si>
    <t>PL_ZEWD_1412001987_00</t>
  </si>
  <si>
    <t>SAMO_ZEWD_O_00017</t>
  </si>
  <si>
    <t xml:space="preserve">Straż Miejska </t>
  </si>
  <si>
    <t>MIAS_ZEWD_O_00003</t>
  </si>
  <si>
    <t>ul. Armii Krajowej 12</t>
  </si>
  <si>
    <t>GKCM_D02_O_00000244</t>
  </si>
  <si>
    <t>GBPM_D02_O_00000243</t>
  </si>
  <si>
    <t>ul. Adama Mickiewicza 35</t>
  </si>
  <si>
    <t>GMMR_D02_O_00000242</t>
  </si>
  <si>
    <t>PL_ZEWD_1412002492_06</t>
  </si>
  <si>
    <t>PL_ZEWD_1412002491_04</t>
  </si>
  <si>
    <t>37110</t>
  </si>
  <si>
    <t>PL_ZEWD_1412002489_01</t>
  </si>
  <si>
    <t>PL_ZEWD_1412002500_09</t>
  </si>
  <si>
    <t>PL_ZEWD_1412002490_02</t>
  </si>
  <si>
    <t>Spacerowa</t>
  </si>
  <si>
    <t>dz. 121/2</t>
  </si>
  <si>
    <t>Rudka</t>
  </si>
  <si>
    <t>PL_ZEWD_1412002700_05</t>
  </si>
  <si>
    <t>GMIN_ZEWD_O_00017</t>
  </si>
  <si>
    <t>Świętochy</t>
  </si>
  <si>
    <t>G12</t>
  </si>
  <si>
    <t>PL_ZEWD_1412002447_01</t>
  </si>
  <si>
    <t>PL_ZEWD_1412002449_05</t>
  </si>
  <si>
    <t>PL_ZEWD_1412002452_00</t>
  </si>
  <si>
    <t>PL_ZEWD_1412002455_06</t>
  </si>
  <si>
    <t>PL_ZEWD_1412002454_04</t>
  </si>
  <si>
    <t>PL_ZEWD_1412002446_09</t>
  </si>
  <si>
    <t>PL_ZEWD_1412002453_02</t>
  </si>
  <si>
    <t>PL_ZEWD_1412002451_08</t>
  </si>
  <si>
    <t>PL_ZEWD_1412002441_09</t>
  </si>
  <si>
    <t>PL_ZEWD_1412002448_03</t>
  </si>
  <si>
    <t>PL_ZEWD_1412002450_06</t>
  </si>
  <si>
    <t>Hipolitowska</t>
  </si>
  <si>
    <t>dz.217</t>
  </si>
  <si>
    <t>BIBL_ZEWD_O_00004</t>
  </si>
  <si>
    <t>Biblioteka Publiczna w Kałuszynie</t>
  </si>
  <si>
    <t>BIBL_ZEWD_O_00002</t>
  </si>
  <si>
    <t>OCHO_ZEWD_O_00004</t>
  </si>
  <si>
    <t>OCHO_ZEWD_O_00005</t>
  </si>
  <si>
    <t>Zimnowoda</t>
  </si>
  <si>
    <t>Szkoła podstawowa</t>
  </si>
  <si>
    <t>ul. Warszawska 37</t>
  </si>
  <si>
    <t xml:space="preserve">Gmina Kałuszyn </t>
  </si>
  <si>
    <t>Kotłownia</t>
  </si>
  <si>
    <t>ADM</t>
  </si>
  <si>
    <t>Oświetlnie klatki schodowej</t>
  </si>
  <si>
    <r>
      <t xml:space="preserve">prognozowanych wolumenów zużycia energii elektrycznej dla PPE Zamawiającego w okresie od dnia 1 stycznia do 31 grudnia 2015 roku </t>
    </r>
    <r>
      <rPr>
        <b/>
        <sz val="12"/>
        <color indexed="8"/>
        <rFont val="Czcionka tekstu podstawowego"/>
        <family val="2"/>
        <charset val="238"/>
      </rPr>
      <t>(Bilans roczny OSD</t>
    </r>
    <r>
      <rPr>
        <sz val="12"/>
        <color indexed="8"/>
        <rFont val="Czcionka tekstu podstawowego"/>
        <family val="2"/>
        <charset val="238"/>
      </rPr>
      <t>)</t>
    </r>
  </si>
  <si>
    <t>GMIN_ZEWD_O_00038</t>
  </si>
  <si>
    <t>Termin skutecznego wypowiedzenia umowy kompleksowej</t>
  </si>
  <si>
    <t>Lubomin</t>
  </si>
  <si>
    <t>Czarna</t>
  </si>
  <si>
    <t>GMIN_ZEWD_O_00018</t>
  </si>
  <si>
    <t>PL_ZEWD_1412002538_02</t>
  </si>
  <si>
    <t>PL_ZEWD_1412002536_08</t>
  </si>
  <si>
    <t>PL_ZEWD_1412002535_06</t>
  </si>
  <si>
    <t>PL_ZEWD_1412002534_04</t>
  </si>
  <si>
    <t>PL_ZEWD_1412002533_02</t>
  </si>
  <si>
    <t>PL_ZEWD_1412002537_00</t>
  </si>
  <si>
    <t>1 m.2</t>
  </si>
  <si>
    <t>PL_ZEWD_1412002202_09</t>
  </si>
  <si>
    <t>Latowicz- Rozstanki</t>
  </si>
  <si>
    <t>47C/4</t>
  </si>
  <si>
    <t>Oczyszczalnia ścieków komunalnych</t>
  </si>
  <si>
    <t>Latowicz-Wymyśle</t>
  </si>
  <si>
    <t>B11</t>
  </si>
  <si>
    <t>Oświetlenie klatek schodowych</t>
  </si>
  <si>
    <t>Stankowizna</t>
  </si>
  <si>
    <t xml:space="preserve">Chełmońskiego </t>
  </si>
  <si>
    <t>dz.3940/1</t>
  </si>
  <si>
    <t>Koszykowa</t>
  </si>
  <si>
    <t>dz.103</t>
  </si>
  <si>
    <t>Wólka Mińska</t>
  </si>
  <si>
    <t>dz.39/8</t>
  </si>
  <si>
    <t>dz.479</t>
  </si>
  <si>
    <t>Przepompownia ścieków PS4</t>
  </si>
  <si>
    <t xml:space="preserve">Królewiec </t>
  </si>
  <si>
    <t>dz.589/4</t>
  </si>
  <si>
    <t>dz.454</t>
  </si>
  <si>
    <t>Przepompownia ścieków PS1</t>
  </si>
  <si>
    <t>dz.400/1</t>
  </si>
  <si>
    <t>Przepompownia ścieków PS2</t>
  </si>
  <si>
    <t>dz.227/2</t>
  </si>
  <si>
    <t>GMIN_ZEWD_O_00058</t>
  </si>
  <si>
    <t>Spokojna</t>
  </si>
  <si>
    <t>dz.222/5</t>
  </si>
  <si>
    <t>ul. Mińska 15</t>
  </si>
  <si>
    <t>GMIN_ZEWD_O_00068</t>
  </si>
  <si>
    <t>GMIN_ZEWD_O_00141</t>
  </si>
  <si>
    <t>Budynek handlowy</t>
  </si>
  <si>
    <t>Plac Anny Jagielonki</t>
  </si>
  <si>
    <t>24 a</t>
  </si>
  <si>
    <t>PL_ZEWD_1412002367_01</t>
  </si>
  <si>
    <t>PL_ZEWD_1412002369_05</t>
  </si>
  <si>
    <t>PL_ZEWD_1412002368_03</t>
  </si>
  <si>
    <t>GMIN_ZEWD_O_00083</t>
  </si>
  <si>
    <r>
      <t>Załącznik nr 1b do SIWZ -</t>
    </r>
    <r>
      <rPr>
        <b/>
        <sz val="14"/>
        <color indexed="8"/>
        <rFont val="Czcionka tekstu podstawowego"/>
        <family val="2"/>
        <charset val="238"/>
      </rPr>
      <t xml:space="preserve"> Jednostki organizacyjne</t>
    </r>
  </si>
  <si>
    <t>Sposób wypowiedzenia umowy kompleksowej</t>
  </si>
  <si>
    <t>PL_ZEWD_1412001795_09</t>
  </si>
  <si>
    <t>8D</t>
  </si>
  <si>
    <t>PL_ZEWD_1412001751_05</t>
  </si>
  <si>
    <t>Ks. Popiełuszki</t>
  </si>
  <si>
    <t>Długa Szlachecka</t>
  </si>
  <si>
    <t>PL_ZEWD_1412001791_01</t>
  </si>
  <si>
    <t>Stanisławowska</t>
  </si>
  <si>
    <t>PL_ZEWD_1412001777_05</t>
  </si>
  <si>
    <t>GMIN_ZEWD_O_00099</t>
  </si>
  <si>
    <t>PL_ZEWD_1412002524_05</t>
  </si>
  <si>
    <t>PL_ZEWD_1412002526_09</t>
  </si>
  <si>
    <t>Podział na strefy czasowe</t>
  </si>
  <si>
    <t>Całodobowa              [kWh]</t>
  </si>
  <si>
    <t xml:space="preserve">Szczyt                                [kWh] </t>
  </si>
  <si>
    <t>Pozaszczyt               [kWh]</t>
  </si>
  <si>
    <t>Dzień                            [kWh]</t>
  </si>
  <si>
    <t>Noc                                     [Kwh]</t>
  </si>
  <si>
    <t>Liczba PPE w podziale na grupy taryfowe</t>
  </si>
  <si>
    <t>PL_ZEWD_1412002493_08</t>
  </si>
  <si>
    <t>Celinów</t>
  </si>
  <si>
    <t>PL_ZEWD_1412003276_07</t>
  </si>
  <si>
    <t>PL_ZEWD_1412001364_08</t>
  </si>
  <si>
    <t>Izabelin</t>
  </si>
  <si>
    <t>Dz./88</t>
  </si>
  <si>
    <t>Zakład Komunalny w Dębem Wielkim</t>
  </si>
  <si>
    <t>Olszowa</t>
  </si>
  <si>
    <t>dz.1355/12</t>
  </si>
  <si>
    <t>PL_ZEWD_1412003313_05</t>
  </si>
  <si>
    <t>dz.208/5</t>
  </si>
  <si>
    <t>PL_ZEWD_1412003312_03</t>
  </si>
  <si>
    <t>Prądzyńskiego</t>
  </si>
  <si>
    <t>dz.791/1</t>
  </si>
  <si>
    <t>PL_ZEWD_1412003235_09</t>
  </si>
  <si>
    <t>PL_ZEWD_1412003236_01</t>
  </si>
  <si>
    <t>PL_ZEWD_1412003237_03</t>
  </si>
  <si>
    <t>Monitoring</t>
  </si>
  <si>
    <t>Słup 14a</t>
  </si>
  <si>
    <t>Błonie</t>
  </si>
  <si>
    <t>Słup 16/12</t>
  </si>
  <si>
    <t>Plac Stary Rynek</t>
  </si>
  <si>
    <t>Słup 48</t>
  </si>
  <si>
    <t>ul. Stefana Okrzei 16</t>
  </si>
  <si>
    <t xml:space="preserve">Mikołaja Kopernika </t>
  </si>
  <si>
    <t>Toaleta Publiczna ul. Kościuszki</t>
  </si>
  <si>
    <t>PL_ZEWD_1412003214_09</t>
  </si>
  <si>
    <t>2 B</t>
  </si>
  <si>
    <t>PL_ZEWD_1412000660_07</t>
  </si>
  <si>
    <t>PSZOK</t>
  </si>
  <si>
    <t>PL_ZEWD_1412003213_07</t>
  </si>
  <si>
    <t>PL_ZEWD_1412003255_07</t>
  </si>
  <si>
    <t>Dr Jana Huberta</t>
  </si>
  <si>
    <t>PL_ZEWD_1412003212_05</t>
  </si>
  <si>
    <t>PL_ZEWD_1412003210_01</t>
  </si>
  <si>
    <t>PL_ZEWD_1412003207_06</t>
  </si>
  <si>
    <t>PL_ZEWD_1412003211_03</t>
  </si>
  <si>
    <t>PL_ZEWD_1412003208_08</t>
  </si>
  <si>
    <t>PL_ZEWD_1412003216_03</t>
  </si>
  <si>
    <t>PL_ZEWD_1412003206_04</t>
  </si>
  <si>
    <t>PL_ZEWD_1412003254_05</t>
  </si>
  <si>
    <t>ul. Juliana Tuwima 1</t>
  </si>
  <si>
    <t>Baza</t>
  </si>
  <si>
    <t>Tuwima</t>
  </si>
  <si>
    <t>Warsztat</t>
  </si>
  <si>
    <t>Cmentarz</t>
  </si>
  <si>
    <t>PL_ZEWD_1412003288_00</t>
  </si>
  <si>
    <t>dz.101/2</t>
  </si>
  <si>
    <t>PL_ZEWD_1412003441_06</t>
  </si>
  <si>
    <t>Przepompownia ścieków deszczowych</t>
  </si>
  <si>
    <t>Gminny Ośrodek Sportu i Rekreacji</t>
  </si>
  <si>
    <t>ul. Licealna 7</t>
  </si>
  <si>
    <t>dz.793</t>
  </si>
  <si>
    <t>PL_ZEWD_1412003186_08</t>
  </si>
  <si>
    <t>PL_ZEWD_1412003193_01</t>
  </si>
  <si>
    <t>1-Go Maja</t>
  </si>
  <si>
    <t>PL_ZEWD_1412001691_03</t>
  </si>
  <si>
    <t>PL_ZEWD_1412003190_05</t>
  </si>
  <si>
    <t>PL_ZEWD_1412003189_04</t>
  </si>
  <si>
    <t>PL_ZEWD_1412003187_00</t>
  </si>
  <si>
    <t>PL_ZEWD_1412003253_03</t>
  </si>
  <si>
    <t>PL_ZEWD_1412003185_06</t>
  </si>
  <si>
    <t>PL_ZEWD_1412002503_05</t>
  </si>
  <si>
    <t>PL_ZEWD_1412003192_09</t>
  </si>
  <si>
    <t>PL_ZEWD_1412003194_03</t>
  </si>
  <si>
    <t>PL_ZEWD_1412003233_05</t>
  </si>
  <si>
    <t>Zespół Szkolno-Przedszkolny w Brzezinach</t>
  </si>
  <si>
    <t>ul. Mazowiecka 37</t>
  </si>
  <si>
    <t>Publliczna Szkoła Podstawowa w Siennicy</t>
  </si>
  <si>
    <t>ul. Latowicka 16</t>
  </si>
  <si>
    <t>Gminne Przedszkole w Siennicy</t>
  </si>
  <si>
    <t>ul. Latowicka 15</t>
  </si>
  <si>
    <t>Gminna Biblioteka Publiczna w Siennicy</t>
  </si>
  <si>
    <t>ul. Latowicka 9</t>
  </si>
  <si>
    <t>822-196-53-90</t>
  </si>
  <si>
    <t>Publiczna Szkoła Podstawowa w Żakowie</t>
  </si>
  <si>
    <t>Żaków 48A</t>
  </si>
  <si>
    <t>Starogród 9B</t>
  </si>
  <si>
    <t>PL_ZEWD_1412003219_09</t>
  </si>
  <si>
    <t>PL_ZEWD_1412003306_02</t>
  </si>
  <si>
    <t>dz. 84</t>
  </si>
  <si>
    <t>Jędzrzejów Nowy</t>
  </si>
  <si>
    <t>dz.541</t>
  </si>
  <si>
    <t>PL_ZEWD_1412003346_08</t>
  </si>
  <si>
    <t>dz.485/1</t>
  </si>
  <si>
    <t>PL_ZEWD_1412003354_03</t>
  </si>
  <si>
    <t>dz.256</t>
  </si>
  <si>
    <t>PL_ZEWD_1412003351_07</t>
  </si>
  <si>
    <t>PL_ZEWD_1412003227_04</t>
  </si>
  <si>
    <t>PL_ZEWD_1412003225_00</t>
  </si>
  <si>
    <t>PL_ZEWD_1412003224_08</t>
  </si>
  <si>
    <t>PL_ZEWD_1412003222_04</t>
  </si>
  <si>
    <t>PL_ZEWD_1412003221_02</t>
  </si>
  <si>
    <t>PL_ZEWD_1412003228_06</t>
  </si>
  <si>
    <t>PL_ZEWD_1412003226_02</t>
  </si>
  <si>
    <t>PL_ZEWD_1412003223_06</t>
  </si>
  <si>
    <t>dz. 658/5</t>
  </si>
  <si>
    <t>ul. Piękna 21</t>
  </si>
  <si>
    <t xml:space="preserve">Miłosza </t>
  </si>
  <si>
    <t>dz.801</t>
  </si>
  <si>
    <t>Karolina</t>
  </si>
  <si>
    <t>Zdrojowa</t>
  </si>
  <si>
    <t>dz.864</t>
  </si>
  <si>
    <t>dz.863</t>
  </si>
  <si>
    <t>Przepompownia ścieków PS5</t>
  </si>
  <si>
    <t>Kwiatowa</t>
  </si>
  <si>
    <t>dz.182/2</t>
  </si>
  <si>
    <t>Św. Józefa</t>
  </si>
  <si>
    <t>dz.74</t>
  </si>
  <si>
    <t>dz. 85/1</t>
  </si>
  <si>
    <t>Działkowa</t>
  </si>
  <si>
    <t>dz. 144</t>
  </si>
  <si>
    <t>Słoneczna</t>
  </si>
  <si>
    <t>dz. 178</t>
  </si>
  <si>
    <t>Długa</t>
  </si>
  <si>
    <t>dz. 470/2</t>
  </si>
  <si>
    <t>dz. 497/11</t>
  </si>
  <si>
    <t>PL_ZEWD_1412003220_00</t>
  </si>
  <si>
    <t>PL_ZEWD_1412003234_07</t>
  </si>
  <si>
    <t>PL_ZEWD_1412003229_08</t>
  </si>
  <si>
    <t>PL_ZEWD_1412003230_09</t>
  </si>
  <si>
    <t>PL_ZEWD_1412003232_03</t>
  </si>
  <si>
    <t>Siedlecka</t>
  </si>
  <si>
    <t>dz.1607/11</t>
  </si>
  <si>
    <t>PL_ZEWD_1412003204_00</t>
  </si>
  <si>
    <t>PL_ZEWD_1412003188_02</t>
  </si>
  <si>
    <t>Plac budowy</t>
  </si>
  <si>
    <t>Leontyna</t>
  </si>
  <si>
    <t>dz.33</t>
  </si>
  <si>
    <t>dz.435/4</t>
  </si>
  <si>
    <t>45 m1</t>
  </si>
  <si>
    <t xml:space="preserve">Dom Pomocy Społecznej Św. Józefa </t>
  </si>
  <si>
    <t xml:space="preserve">Mienia </t>
  </si>
  <si>
    <t>Dom Pomocy Społecznej w Kątach</t>
  </si>
  <si>
    <t>Kąty 22</t>
  </si>
  <si>
    <t xml:space="preserve">Kąty </t>
  </si>
  <si>
    <t>Dom Pomocy Społecznej Jedlina</t>
  </si>
  <si>
    <t>G12w</t>
  </si>
  <si>
    <t>PL_ZEWD_1412003218_07</t>
  </si>
  <si>
    <t>DZ. Nr 865/4</t>
  </si>
  <si>
    <t>PL_ZEWD_1412003311_01</t>
  </si>
  <si>
    <t>Miejski Ośrodek Sportu i Rekreacji - kontenery szatniowe</t>
  </si>
  <si>
    <t>Hala sportowa</t>
  </si>
  <si>
    <t>Stadion sportowy</t>
  </si>
  <si>
    <t>Zakład Komunalny w Halinowie -Oczyszczalnia ścieków</t>
  </si>
  <si>
    <t>Zakład Komunalny w Halinowie - Siedziba</t>
  </si>
  <si>
    <t xml:space="preserve">Zakład Komunalny w Halinowie - Przepompownia </t>
  </si>
  <si>
    <t>Zakład Komunalny -  Stacja Uzdatniania Wody</t>
  </si>
  <si>
    <t xml:space="preserve">Wielgolas Duchnowski </t>
  </si>
  <si>
    <t>Stacja Uzdatniania Wody</t>
  </si>
  <si>
    <t xml:space="preserve">Mrowiska </t>
  </si>
  <si>
    <t>Automatyczna Stacja Uzdatniania Wody</t>
  </si>
  <si>
    <t>Dz. 19-336</t>
  </si>
  <si>
    <t>Dz. 19-932</t>
  </si>
  <si>
    <t>Dz. 19-1046</t>
  </si>
  <si>
    <t>Zespół Szkolno-Przedszkolny w Halinowie</t>
  </si>
  <si>
    <t>Banachowska</t>
  </si>
  <si>
    <t>Dz. 19-620</t>
  </si>
  <si>
    <t>Dz. 19-1677</t>
  </si>
  <si>
    <t>Dz. 19-1901</t>
  </si>
  <si>
    <t>PrzepompowniaP4</t>
  </si>
  <si>
    <t>Przepompownia P5</t>
  </si>
  <si>
    <t>Przepompownia P6</t>
  </si>
  <si>
    <t>Przepompownia P7</t>
  </si>
  <si>
    <t>Przepompownia (targowisko)</t>
  </si>
  <si>
    <t>PL_PKPE_1412000482_03</t>
  </si>
  <si>
    <t>PL_PKPE_1412007446_04</t>
  </si>
  <si>
    <t>SAMO_ZEWD_O_00003</t>
  </si>
  <si>
    <t>PL_ZEWD_1412003472_05</t>
  </si>
  <si>
    <t>Dom Dziecka</t>
  </si>
  <si>
    <t>Falbogi 33</t>
  </si>
  <si>
    <t>PL_ZEWD_1412003501_08</t>
  </si>
  <si>
    <t>Budynek gminny</t>
  </si>
  <si>
    <t>dz. 1956/1</t>
  </si>
  <si>
    <t>PL_ZEWD_1412003697_09</t>
  </si>
  <si>
    <t>Huta Środkowa-Kuflewska</t>
  </si>
  <si>
    <t>OZ</t>
  </si>
  <si>
    <t>ul. Pl. Anny Jagiellonki</t>
  </si>
  <si>
    <t>Pl. Anny Jagielonki</t>
  </si>
  <si>
    <t>Konopnickiej</t>
  </si>
  <si>
    <t>2 m 3</t>
  </si>
  <si>
    <t>Gimnazjum w Halinowie</t>
  </si>
  <si>
    <t>Świetlista</t>
  </si>
  <si>
    <t>PL_ZEWD_1412003669_06</t>
  </si>
  <si>
    <t>PL_ZEWD_1412003668_04</t>
  </si>
  <si>
    <t>PL_ZEWD_1412003667_02</t>
  </si>
  <si>
    <t>PL_ZEWD_1412003664_06</t>
  </si>
  <si>
    <t>PL_ZEWD_1412003663_04</t>
  </si>
  <si>
    <t>PL_ZEWD_1412003661_00</t>
  </si>
  <si>
    <t>1787 ob. 46</t>
  </si>
  <si>
    <t>PL_ZEWD_1412003662_02</t>
  </si>
  <si>
    <t>Ul. Mostowa 61</t>
  </si>
  <si>
    <t>3B</t>
  </si>
  <si>
    <t>23 m 3</t>
  </si>
  <si>
    <t>23 m 2</t>
  </si>
  <si>
    <t>23 m 1</t>
  </si>
  <si>
    <t>Gminny Ośrodek Pomocy Społecznej</t>
  </si>
  <si>
    <t>Ul. Armii Krajowej 12</t>
  </si>
  <si>
    <t>Przpompownia ścieków P1</t>
  </si>
  <si>
    <t>PL_ZEWD_1412003622_06</t>
  </si>
  <si>
    <t>dz 67,97</t>
  </si>
  <si>
    <t>dz. Nr 655/2</t>
  </si>
  <si>
    <t>dz. Nr 840</t>
  </si>
  <si>
    <t>Gminna Biblioteka Publiczna im. Jana Pawła II w Mrozach</t>
  </si>
  <si>
    <t>ul. Pokoju 1</t>
  </si>
  <si>
    <t>1</t>
  </si>
  <si>
    <t>11265182</t>
  </si>
  <si>
    <t>PL_ZEWD_1412003633_07</t>
  </si>
  <si>
    <t>dz. Nr 884, 886, 888</t>
  </si>
  <si>
    <t>dz. 693</t>
  </si>
  <si>
    <t>Poniatowskiego</t>
  </si>
  <si>
    <t xml:space="preserve">Kościuszki </t>
  </si>
  <si>
    <t>Rudzienko</t>
  </si>
  <si>
    <t>Stacja podnoszenia ciśnienia wody</t>
  </si>
  <si>
    <t>dz 2156</t>
  </si>
  <si>
    <t>PL_ZEWD_1412003599_05</t>
  </si>
  <si>
    <t>PL_ZEWD_1412003598_03</t>
  </si>
  <si>
    <t>PL_ZEWD_1412003601_06</t>
  </si>
  <si>
    <t>PL_ZEWD_1412003600_04</t>
  </si>
  <si>
    <t>dz. 865/4</t>
  </si>
  <si>
    <t>Zarząd Gospodarki Komunalnej w Mińsku Mazowieckim</t>
  </si>
  <si>
    <t>PL_ZEWD_1412003571_01</t>
  </si>
  <si>
    <t>PL_ZEWD_1412003672_01</t>
  </si>
  <si>
    <t>Stacja uzdatniania wody II</t>
  </si>
  <si>
    <t>Przepompownia ścieków P4</t>
  </si>
  <si>
    <t>Szklarniowa</t>
  </si>
  <si>
    <t>dz 61-120, 62-77</t>
  </si>
  <si>
    <t>dz 55-48/4, 52, 53/19</t>
  </si>
  <si>
    <t>Miasto Sulejówek - Przepompownia ścieków P26</t>
  </si>
  <si>
    <t>Przepompownia ścieków P2</t>
  </si>
  <si>
    <t>dz. 61-120, 62-78</t>
  </si>
  <si>
    <t>Miasto Sulejówek - Przepompownia ścieków P28</t>
  </si>
  <si>
    <t>Drobiarska</t>
  </si>
  <si>
    <t>dz. 61-143</t>
  </si>
  <si>
    <t>dz. 10-75</t>
  </si>
  <si>
    <t>Żelazna</t>
  </si>
  <si>
    <t>dz. 19-74</t>
  </si>
  <si>
    <t>dz. 53-127</t>
  </si>
  <si>
    <t>Iwaszkiewicza Jarosława</t>
  </si>
  <si>
    <t>dz. 49-42/20</t>
  </si>
  <si>
    <t>dz. 49-207</t>
  </si>
  <si>
    <t>Okrzei Stefana</t>
  </si>
  <si>
    <t>dz. 35-18</t>
  </si>
  <si>
    <t>Słowackiego Juliusza</t>
  </si>
  <si>
    <t>dz. 12-47</t>
  </si>
  <si>
    <t>PL_ZEWD_1412003602_08</t>
  </si>
  <si>
    <t>dz. 356</t>
  </si>
  <si>
    <t>PL_ZEWD_1412003728_06</t>
  </si>
  <si>
    <t>PL_ZEWD_1412003603_00</t>
  </si>
  <si>
    <t>Zakład Gospodarki Komunalnej w Mrozach</t>
  </si>
  <si>
    <t>2108/21</t>
  </si>
  <si>
    <t>4099766</t>
  </si>
  <si>
    <t>dz.794</t>
  </si>
  <si>
    <t>PL_ZEWD_1412000784_01</t>
  </si>
  <si>
    <t>Mienia 94</t>
  </si>
  <si>
    <t>PL_ZEWD_1412003637_05</t>
  </si>
  <si>
    <t>PL_ZEWD_1412003676_09</t>
  </si>
  <si>
    <t>Mienia 300</t>
  </si>
  <si>
    <t>PL_ZEWD_1412003677_01</t>
  </si>
  <si>
    <t>PL_ZEWD_1412003597_01</t>
  </si>
  <si>
    <t>PL_ZEWD_1412003596_09</t>
  </si>
  <si>
    <t>PL_ZEWD_1412003595_07</t>
  </si>
  <si>
    <t>Nabywca dokonał wypowiedzenia umowy kompleksowej</t>
  </si>
  <si>
    <t>PL_ZEWD_1412003604_02</t>
  </si>
  <si>
    <t>PL_ZEWD_1412001426_04</t>
  </si>
  <si>
    <t>PL_ZEWD_1412003607_08</t>
  </si>
  <si>
    <t>PL_ZEWD_1412003611_05</t>
  </si>
  <si>
    <t>PL_ZEWD_1412003608_00</t>
  </si>
  <si>
    <t>PL_ZEWD_1412003609_02</t>
  </si>
  <si>
    <t>PL_ZEWD_1412001305_06</t>
  </si>
  <si>
    <t>PL_ZEWD_1412001337_07</t>
  </si>
  <si>
    <t>dz. 278/1</t>
  </si>
  <si>
    <t>dz. Nr 72</t>
  </si>
  <si>
    <t>dz. Nr 82</t>
  </si>
  <si>
    <t>dz. Nr 157</t>
  </si>
  <si>
    <t>227/2</t>
  </si>
  <si>
    <t>Gospodarstwo domowe</t>
  </si>
  <si>
    <t>45/1</t>
  </si>
  <si>
    <t>dz. 784/25</t>
  </si>
  <si>
    <t>PL_ZEWD_1412003680_06</t>
  </si>
  <si>
    <t>Dr. Jana Huberta</t>
  </si>
  <si>
    <t>dz. 871</t>
  </si>
  <si>
    <t>PL_ZEWD_1412003681_08</t>
  </si>
  <si>
    <t>PL_ZEWD_1412003702_06</t>
  </si>
  <si>
    <t>PL_ZEWD_1412003623_08</t>
  </si>
  <si>
    <t>PL_ZEWD_1412003627_06</t>
  </si>
  <si>
    <t>PL_ZEWD_1412003624_00</t>
  </si>
  <si>
    <t>PL_ZEWD_1412003628_08</t>
  </si>
  <si>
    <t xml:space="preserve">Nowe Osiny </t>
  </si>
  <si>
    <t>PL_ZEWD_1412003613_09</t>
  </si>
  <si>
    <t>PL_ZEWD_1412003614_01</t>
  </si>
  <si>
    <t>PL_ZEWD_1412003612_07</t>
  </si>
  <si>
    <t>PL_ZEWD_1412003654_07</t>
  </si>
  <si>
    <t>PL_ZEWD_1412003625_02</t>
  </si>
  <si>
    <t>PL_ZEWD_1412003626_04</t>
  </si>
  <si>
    <t>dz. 28</t>
  </si>
  <si>
    <t>Remiza strażacka</t>
  </si>
  <si>
    <t>GMIN_ZEWD_O_00091</t>
  </si>
  <si>
    <t>Gmina Kałuszyn</t>
  </si>
  <si>
    <t>Ryczołek</t>
  </si>
  <si>
    <t>dz. Nr 192</t>
  </si>
  <si>
    <t>Szczegółowy Opis Przedmiotu Zamówienia - Gmina Kotuń</t>
  </si>
  <si>
    <t>08-130</t>
  </si>
  <si>
    <t>Kotuń</t>
  </si>
  <si>
    <t>Koszewnica</t>
  </si>
  <si>
    <t>Oleksin</t>
  </si>
  <si>
    <t>Sosnowe</t>
  </si>
  <si>
    <t>Pieróg</t>
  </si>
  <si>
    <t>Wiejska</t>
  </si>
  <si>
    <t>Trzemuszka</t>
  </si>
  <si>
    <t>Żeliszew Duży</t>
  </si>
  <si>
    <t>Czarnowąż</t>
  </si>
  <si>
    <t>Polaki</t>
  </si>
  <si>
    <t>Broszków</t>
  </si>
  <si>
    <t>Gręzów</t>
  </si>
  <si>
    <t>Cisie Zagródzie</t>
  </si>
  <si>
    <t>Nowa Dąbrówka</t>
  </si>
  <si>
    <t>Weterynaryjna</t>
  </si>
  <si>
    <t>Łączka</t>
  </si>
  <si>
    <t>Bojmie, Żdżar</t>
  </si>
  <si>
    <t>Sionna</t>
  </si>
  <si>
    <t>Jagodne</t>
  </si>
  <si>
    <t>Wilczonek</t>
  </si>
  <si>
    <t>Mingosy</t>
  </si>
  <si>
    <t>Bojmie</t>
  </si>
  <si>
    <t>Gmina Kotuń</t>
  </si>
  <si>
    <t>ul. Siedlecka 56c</t>
  </si>
  <si>
    <t>GMIN_ZEWD_O_00124</t>
  </si>
  <si>
    <t>PL_ZEWD_1426000951_03</t>
  </si>
  <si>
    <t>PL_ZEWD_1426000950_01</t>
  </si>
  <si>
    <t>PL_ZEWD_1426000932_07</t>
  </si>
  <si>
    <t>PL_ZEWD_1426000938_09</t>
  </si>
  <si>
    <t>PL_ZEWD_1426000924_02</t>
  </si>
  <si>
    <t>PL_ZEWD_1426000987_02</t>
  </si>
  <si>
    <t>Żeliszewska</t>
  </si>
  <si>
    <t>PL_ZEWD_1426000957_05</t>
  </si>
  <si>
    <t>526/4</t>
  </si>
  <si>
    <t>PL_ZEWD_1426000956_03</t>
  </si>
  <si>
    <t>PL_ZEWD_1426000935_03</t>
  </si>
  <si>
    <t>Żeliszew Podkościelny</t>
  </si>
  <si>
    <t>PL_ZEWD_1426000967_04</t>
  </si>
  <si>
    <t>PL_ZEWD_1426000959_09</t>
  </si>
  <si>
    <t>PL_ZEWD_1426000936_05</t>
  </si>
  <si>
    <t>PL_ZEWD_1426000942_06</t>
  </si>
  <si>
    <t>PL_ZEWD_1426000952_05</t>
  </si>
  <si>
    <t>PL_ZEWD_1426001623_03</t>
  </si>
  <si>
    <t>PL_ZEWD_1426000794_09</t>
  </si>
  <si>
    <t>PL_ZEWD_1426000971_01</t>
  </si>
  <si>
    <t>PL_ZEWD_1426000970_09</t>
  </si>
  <si>
    <t>PL_ZEWD_1426000948_08</t>
  </si>
  <si>
    <t>PL_ZEWD_1426000934_01</t>
  </si>
  <si>
    <t>PL_ZEWD_1426000988_04</t>
  </si>
  <si>
    <t>Modrzewiowa</t>
  </si>
  <si>
    <t>PL_ZEWD_1426000966_02</t>
  </si>
  <si>
    <t>PL_ZEWD_1426000963_06</t>
  </si>
  <si>
    <t>PL_ZEWD_1426000962_04</t>
  </si>
  <si>
    <t>PL_ZEWD_1426000954_09</t>
  </si>
  <si>
    <t>56C</t>
  </si>
  <si>
    <t>PL_ZEWD_1426000990_07</t>
  </si>
  <si>
    <t>PL_ZEWD_1426000931_05</t>
  </si>
  <si>
    <t>PL_ZEWD_1426000984_06</t>
  </si>
  <si>
    <t>PL_ZEWD_1426000989_06</t>
  </si>
  <si>
    <t>PL_ZEWD_1426000926_06</t>
  </si>
  <si>
    <t>11D</t>
  </si>
  <si>
    <t>PL_ZEWD_1426000953_07</t>
  </si>
  <si>
    <t>PL_ZEWD_1426000947_06</t>
  </si>
  <si>
    <t>PL_ZEWD_1426000939_01</t>
  </si>
  <si>
    <t>Marysin</t>
  </si>
  <si>
    <t>PL_ZEWD_1426000937_07</t>
  </si>
  <si>
    <t>PL_ZEWD_1426000964_08</t>
  </si>
  <si>
    <t>11 m. 1</t>
  </si>
  <si>
    <t>PL_ZEWD_1426000940_02</t>
  </si>
  <si>
    <t>PL_ZEWD_1426000933_09</t>
  </si>
  <si>
    <t>11 m. 3</t>
  </si>
  <si>
    <t>11 m. 2</t>
  </si>
  <si>
    <t>PL_ZEWD_1426000930_03</t>
  </si>
  <si>
    <t>11 m. 4</t>
  </si>
  <si>
    <t>PL_ZEWD_1426000925_04</t>
  </si>
  <si>
    <t>PL_ZEWD_1426000927_08</t>
  </si>
  <si>
    <t>PL_ZEWD_1426001624_05</t>
  </si>
  <si>
    <t>Bojmie, Sionna</t>
  </si>
  <si>
    <t>PL_ZEWD_1426001219_04</t>
  </si>
  <si>
    <t>Bojmie, Jagodne</t>
  </si>
  <si>
    <t>PL_ZEWD_1426000972_03</t>
  </si>
  <si>
    <t>32A</t>
  </si>
  <si>
    <t>PL_ZEWD_1426001218_02</t>
  </si>
  <si>
    <t>PL_ZEWD_1426000958_07</t>
  </si>
  <si>
    <t>PL_ZEWD_1426001150_04</t>
  </si>
  <si>
    <t>PL_ZEWD_1426000969_08</t>
  </si>
  <si>
    <t>PL_ZEWD_1426000946_04</t>
  </si>
  <si>
    <t>PL_ZEWD_1426000961_02</t>
  </si>
  <si>
    <t>PL_ZEWD_1426000960_00</t>
  </si>
  <si>
    <t>PL_ZEWD_1426000985_08</t>
  </si>
  <si>
    <t>08-130 Kotuń</t>
  </si>
  <si>
    <t>6C</t>
  </si>
  <si>
    <t>PL_ZEWD_1426001072_08</t>
  </si>
  <si>
    <t>PL_ZEWD_1426000910_05</t>
  </si>
  <si>
    <t>PL_ZEWD_1426000670_05</t>
  </si>
  <si>
    <t>PL_ZEWD_1426000916_07</t>
  </si>
  <si>
    <t>PL_ZEWD_1426000893_05</t>
  </si>
  <si>
    <t>41A m. 2</t>
  </si>
  <si>
    <t>PL_ZEWD_1426000904_04</t>
  </si>
  <si>
    <t>PL_ZEWD_1426000918_01</t>
  </si>
  <si>
    <t>08-122</t>
  </si>
  <si>
    <t>PL_ZEWD_1426000912_09</t>
  </si>
  <si>
    <t>Zakład Gospodarki Komunalnej w Kotuniu</t>
  </si>
  <si>
    <t>Ul. Weterynaryjna 28</t>
  </si>
  <si>
    <t>5B</t>
  </si>
  <si>
    <t>PL_ZEWD_1426001671_04</t>
  </si>
  <si>
    <t>P-4</t>
  </si>
  <si>
    <t>PL_ZEWD_1426001669_01</t>
  </si>
  <si>
    <t>Oczyszczalnia</t>
  </si>
  <si>
    <t>PL_ZEWD_1426001670_02</t>
  </si>
  <si>
    <t>dz. 478</t>
  </si>
  <si>
    <t>PL_ZEWD_1426001615_08</t>
  </si>
  <si>
    <t>Tłocznia</t>
  </si>
  <si>
    <t>PL_ZEWD_1426001614_06</t>
  </si>
  <si>
    <t>PL_ZEWD_1426001616_00</t>
  </si>
  <si>
    <t>P-8</t>
  </si>
  <si>
    <t>PL_ZEWD_1426001618_04</t>
  </si>
  <si>
    <t>dz.574/1</t>
  </si>
  <si>
    <t>PL_ZEWD_1426001617_02</t>
  </si>
  <si>
    <t>P-1</t>
  </si>
  <si>
    <t>PL_ZEWD_1426001619_06</t>
  </si>
  <si>
    <t>Baza ZGK</t>
  </si>
  <si>
    <t>PL_ZEWD_1426001620_07</t>
  </si>
  <si>
    <t>Termin obowiązywania umowy kompleksowej</t>
  </si>
  <si>
    <t>PL_ZEWD_1412000811_00</t>
  </si>
  <si>
    <t>PL_ZEWD_1412000812_02</t>
  </si>
  <si>
    <t>PL_ZEWD_1412000741_09</t>
  </si>
  <si>
    <t>PL_ZEWD_1412003658_05</t>
  </si>
  <si>
    <t>PL_ZEWD_1412003631_03</t>
  </si>
  <si>
    <t>Publiczna Szkoła Podstawowa w Starogrodzie</t>
  </si>
  <si>
    <t>PL_ZEWD_1412003666_00</t>
  </si>
  <si>
    <t>GMIN_ZEWD_O_00212</t>
  </si>
  <si>
    <t>Szkoła Podstawowa w Mariance</t>
  </si>
  <si>
    <t>Marianka 42</t>
  </si>
  <si>
    <t xml:space="preserve">Stojadła </t>
  </si>
  <si>
    <t>ul. Południowa 20</t>
  </si>
  <si>
    <t>Zespół Szkół w Hucie Mińskiej</t>
  </si>
  <si>
    <t>z siedzibą w Cielechowiźnie</t>
  </si>
  <si>
    <t>Cielechowizna 1A</t>
  </si>
  <si>
    <t>Janów ul Strażacka 18</t>
  </si>
  <si>
    <t>Zamienie ul.Kołbielska 34</t>
  </si>
  <si>
    <t>Brzóze ul. Szkolna 20</t>
  </si>
  <si>
    <t xml:space="preserve">Publiczne Przedszkole "Akwarelka" </t>
  </si>
  <si>
    <t>w Nowych Osinach</t>
  </si>
  <si>
    <t xml:space="preserve">Mazowiecka </t>
  </si>
  <si>
    <t>Ul. Strażacka 2</t>
  </si>
  <si>
    <t xml:space="preserve">Pogorzel </t>
  </si>
  <si>
    <t>Ul. Graniczna 1</t>
  </si>
  <si>
    <t>Dzielnik 15a</t>
  </si>
  <si>
    <t>Zespół Szkolno-Przedszkolny nr 1</t>
  </si>
  <si>
    <t>Starostwo Powiatowe</t>
  </si>
  <si>
    <t>ul.  Chełmońskiego 14</t>
  </si>
  <si>
    <t>Szkoła Podstawowa im. Tadeusza Kościuszki w Cygance</t>
  </si>
  <si>
    <t>Cyganka ul. Szkolna 21</t>
  </si>
  <si>
    <t>Szkoła Podstawowa im. Szarych Szeregów w Górkach</t>
  </si>
  <si>
    <t>Górki ul. Szkolna 30</t>
  </si>
  <si>
    <t>Szkoła Podstawowa im. Generała Józefa Bema w Rudzie</t>
  </si>
  <si>
    <t>Ruda ul. Szkolna 7</t>
  </si>
  <si>
    <t>Zespół Szkół w Wielgolesie Szkoła Filialna w Dębem Małym</t>
  </si>
  <si>
    <t>ul. Szkolna 11</t>
  </si>
  <si>
    <t>Szkoła Filialna w Dębem Małym</t>
  </si>
  <si>
    <t>Zespół Szkół w Wielgolesie</t>
  </si>
  <si>
    <t>Ul. Poprzeczna 27</t>
  </si>
  <si>
    <t>Cegłów 13</t>
  </si>
  <si>
    <t>ul. Ignacego Paderewskiego 29</t>
  </si>
  <si>
    <t>ul. Dworcowa 55</t>
  </si>
  <si>
    <t>ul. Wodociągowa 10</t>
  </si>
  <si>
    <t>822-21-46-607</t>
  </si>
  <si>
    <t>ul. Narutowicza Gabriela 10</t>
  </si>
  <si>
    <t>ul. Wrońskiego 1</t>
  </si>
  <si>
    <t>ul. Okuniewska 2</t>
  </si>
  <si>
    <t>ul. Świętochowskiego A. 4</t>
  </si>
  <si>
    <t>ul. Idzikowskiego 2A</t>
  </si>
  <si>
    <t>Samodzielny Publiczny Zakład 
Opieki Zdrowotnej w Sulejówku</t>
  </si>
  <si>
    <t>ul. Idzikowskiego 7b</t>
  </si>
  <si>
    <t>ul. Szosowa 7</t>
  </si>
  <si>
    <t>ul. Paderewskiego Ignacego 47</t>
  </si>
  <si>
    <t>822-18-54-756</t>
  </si>
  <si>
    <t>Toaleta publiczna do obsługi parkingów</t>
  </si>
  <si>
    <t xml:space="preserve"> Gmina Dobre</t>
  </si>
  <si>
    <t>822-21-46-613</t>
  </si>
  <si>
    <t>Jędrzejów Nowy 30</t>
  </si>
  <si>
    <t>ul. Szkolna 10</t>
  </si>
  <si>
    <t>Wiśniew 45A</t>
  </si>
  <si>
    <t>ul. Szkolna 3</t>
  </si>
  <si>
    <t>822-215-88-17</t>
  </si>
  <si>
    <t>822-15-10-850</t>
  </si>
  <si>
    <t>822-218-94-33</t>
  </si>
  <si>
    <t>59A</t>
  </si>
  <si>
    <t>Świetlica wiejska</t>
  </si>
  <si>
    <t>dz. 22/2</t>
  </si>
  <si>
    <t>8a</t>
  </si>
  <si>
    <t>Zespół Szkół</t>
  </si>
  <si>
    <t>PL_ZEWD_1412001397_01</t>
  </si>
  <si>
    <t>Zesoł Szkolny w Ładzyniu</t>
  </si>
  <si>
    <t>ul. Szkolna 4</t>
  </si>
  <si>
    <t>05 - 304 Stanisławów</t>
  </si>
  <si>
    <t>Zesoł Szkół w Pustelniku</t>
  </si>
  <si>
    <t>ul. Szkolna 16</t>
  </si>
  <si>
    <t>Zesoł Szkolny w Stanisławowie</t>
  </si>
  <si>
    <t>Szymankowszczyzna</t>
  </si>
  <si>
    <t>Plac im. Danielaków</t>
  </si>
  <si>
    <t>Budynek Komunalny</t>
  </si>
  <si>
    <t>Świetlica socjoterapii</t>
  </si>
  <si>
    <t>Gimnazjum Publiczne</t>
  </si>
  <si>
    <t>Zespół Oświatowy</t>
  </si>
  <si>
    <t>Oddział Przedszkolny</t>
  </si>
  <si>
    <t>Gimnazjum Publiczne im. Jana Pawła II</t>
  </si>
  <si>
    <t>Zespół Szkół w Żeliszewie Podkościelnym</t>
  </si>
  <si>
    <t>Żeliszew Podkościelny 13</t>
  </si>
  <si>
    <t>Zespół Oświatowy w Kotuniu</t>
  </si>
  <si>
    <t>Zespół Szkół w Bojmiu</t>
  </si>
  <si>
    <t>Bojmie 33</t>
  </si>
  <si>
    <t>822-21-46-576</t>
  </si>
  <si>
    <t>822-14-71-469</t>
  </si>
  <si>
    <t>822-215-88-23</t>
  </si>
  <si>
    <t>kolejności zmiany Sprzedawcy, terminów rozwiązania umów kompleksowych oraz terminów rozpoczęcia sprzedaży wynikających ze skuteczności rozwiązania umów kompleksowych dla PPE Zamawiającego</t>
  </si>
  <si>
    <t>Układy pomiarowo-rozliczeniowe zostały dostosowane do sprzedaży energii elektrycznej czynnej w formule TPA</t>
  </si>
  <si>
    <r>
      <t>prognozowanych wolumenów zużycia energii elektrycznej czynnej w okresie objętym przedmiotem zamówienia z uwzględnieniem okresu wynikającego z procedury zmiany Sprzedawcy (</t>
    </r>
    <r>
      <rPr>
        <b/>
        <sz val="12"/>
        <color indexed="8"/>
        <rFont val="Czcionka tekstu podstawowego"/>
        <charset val="238"/>
      </rPr>
      <t>Bilans Sprzedawcy</t>
    </r>
    <r>
      <rPr>
        <sz val="12"/>
        <color indexed="8"/>
        <rFont val="Czcionka tekstu podstawowego"/>
        <charset val="238"/>
      </rPr>
      <t>)</t>
    </r>
  </si>
  <si>
    <t xml:space="preserve">Taryfa "B…" - </t>
  </si>
  <si>
    <t>Jednostka Samorządu Terytorialnego</t>
  </si>
  <si>
    <t>Liczba punktów poboru energii</t>
  </si>
  <si>
    <t>Załącznik nr 1b do SIWZ - Szczegółowy opis przedmiotu zamówienia - Jednostki organizacyjne</t>
  </si>
  <si>
    <t>Prognozowany wolumen zużycia energii elektrycznej w podziale na grupy taryfowe</t>
  </si>
  <si>
    <t>Łącznie w strefach czasowych:</t>
  </si>
  <si>
    <t>GMIN_ZEWD_O_00059</t>
  </si>
  <si>
    <t>822-21-48-747</t>
  </si>
  <si>
    <t>Adresat:</t>
  </si>
  <si>
    <t>Ul. Piłsudskiego 22</t>
  </si>
  <si>
    <t>Urząd Gminy Cegłów</t>
  </si>
  <si>
    <t>Ul. Kościuszki 4</t>
  </si>
  <si>
    <t>Ul. Tadeusza Kościuszki 4</t>
  </si>
  <si>
    <t>OSP Posiadały</t>
  </si>
  <si>
    <t>pl. Anny Jagiellonki</t>
  </si>
  <si>
    <t>ul. Kościuszki Tadeusza 4</t>
  </si>
  <si>
    <t>Piłsudkiego Józefa</t>
  </si>
  <si>
    <t>21 m 5</t>
  </si>
  <si>
    <t>Ul. Tadeusza Kościuszki  4</t>
  </si>
  <si>
    <t>dz. nr 51, 52</t>
  </si>
  <si>
    <t>PL_ZEWD_1426001891_08</t>
  </si>
  <si>
    <t>dz nr 707</t>
  </si>
  <si>
    <t>PL_ZEWD_1426001922_05</t>
  </si>
  <si>
    <t>PL_ZEWD_1426032160_08</t>
  </si>
  <si>
    <t>Łąkowa</t>
  </si>
  <si>
    <t>ul. Polna 6C</t>
  </si>
  <si>
    <t>PL_ZEWD_1412003630_01</t>
  </si>
  <si>
    <t>Zakład Komunalny w Dębem Wielkim - oczyszczalnia ścieków</t>
  </si>
  <si>
    <t>Zakład Komunalny w Dębem Wielkim - Stacja Uzdatniania Wody</t>
  </si>
  <si>
    <t>Zakład Komunalny w Dębem Wielkim - Tłocznia ścieków</t>
  </si>
  <si>
    <t>dz. 289/2</t>
  </si>
  <si>
    <t>PL_ZEWD_1412068208_09</t>
  </si>
  <si>
    <t>dz. 174/2</t>
  </si>
  <si>
    <t>PL_ZEWD_1412068209_01</t>
  </si>
  <si>
    <t>Obiekt użyteczności publicznej - Przedszkole</t>
  </si>
  <si>
    <t>Krótka</t>
  </si>
  <si>
    <t>31 gudnia 2017r.</t>
  </si>
  <si>
    <t xml:space="preserve">Miejska Szkoła Artystyczna I stopnia 
</t>
  </si>
  <si>
    <t>im. Konstantego Ryszarda Domagały</t>
  </si>
  <si>
    <t>PL_ZEWD_1412003844_04</t>
  </si>
  <si>
    <t>PL_ZEWD_1412003910_07</t>
  </si>
  <si>
    <t>ul. Warszawska 250 lok. 81</t>
  </si>
  <si>
    <t>ul. Gen. Kazimierza Sosnkowskiego 1</t>
  </si>
  <si>
    <t xml:space="preserve">Im. Urszuli Smoczyńskiej </t>
  </si>
  <si>
    <t>Nowy Świat</t>
  </si>
  <si>
    <t>dz. 8081</t>
  </si>
  <si>
    <t>PL_ZEWD_1412003963_08</t>
  </si>
  <si>
    <t>dz. 18-34</t>
  </si>
  <si>
    <t>PL_ZEWD_1412003972_05</t>
  </si>
  <si>
    <t>Miejskie Przedszkole nr 2</t>
  </si>
  <si>
    <t>PL_ZEWD_1412003915_07</t>
  </si>
  <si>
    <t>PL_ZEWD_1412003917_01</t>
  </si>
  <si>
    <t>PL_ZEWD_1412003914_05</t>
  </si>
  <si>
    <t>PL_ZEWD_1412003948_00</t>
  </si>
  <si>
    <t>PL_ZEWD_1412003949_02</t>
  </si>
  <si>
    <t>Czynu Społecznego</t>
  </si>
  <si>
    <t>PL_ZEWD_1412003916_09</t>
  </si>
  <si>
    <t>PL_ZEWD_1412003955_03</t>
  </si>
  <si>
    <t>PL_ZEWD_1412003956_05</t>
  </si>
  <si>
    <t>PL_ZEWD_1412003951_05</t>
  </si>
  <si>
    <t>PL_ZEWD_1412003919_05</t>
  </si>
  <si>
    <t>PL_ZEWD_1412003950_03</t>
  </si>
  <si>
    <t>PL_ZEWD_1412003918_03</t>
  </si>
  <si>
    <t>Pompownia wód deszczowych</t>
  </si>
  <si>
    <t>Kilińskiego Jana</t>
  </si>
  <si>
    <t>dz. 104, 195, 106 z obr</t>
  </si>
  <si>
    <t>35501023</t>
  </si>
  <si>
    <t>31.12.2017</t>
  </si>
  <si>
    <t>Punkt lekarski</t>
  </si>
  <si>
    <t>PL_ZEWD_1412001080_04</t>
  </si>
  <si>
    <t>PL_ZEWD_1412003891_03</t>
  </si>
  <si>
    <t>UGDO_D0_O_00000205</t>
  </si>
  <si>
    <t>ul. Tadeusza Kościuszki 1</t>
  </si>
  <si>
    <t>PL_ZEWD_1412003884_00</t>
  </si>
  <si>
    <t>PL_ZEWD_1412003899_09</t>
  </si>
  <si>
    <t>PL_ZEWD_1412003886_04</t>
  </si>
  <si>
    <t>PL_ZEWD_1412003887_06</t>
  </si>
  <si>
    <t>PL_ZEWD_1412003898_07</t>
  </si>
  <si>
    <t>PL_ZEWD_1412003913_03</t>
  </si>
  <si>
    <t>PL_ZEWD_1412003986_02</t>
  </si>
  <si>
    <t>dz. 886/1, 886,2</t>
  </si>
  <si>
    <t>PL_ZEWD_1412003905_08</t>
  </si>
  <si>
    <t>PL_ZEWD_1412003900_08</t>
  </si>
  <si>
    <t>PL_ZEWD_1412003904_06</t>
  </si>
  <si>
    <t>PL_ZEWD_1412003888_08</t>
  </si>
  <si>
    <t>PL_ZEWD_1412003889_00</t>
  </si>
  <si>
    <t>PL_ZEWD_1412003890_01</t>
  </si>
  <si>
    <t>dz.1060/4</t>
  </si>
  <si>
    <t>PL_ZEWD_1412003932_09</t>
  </si>
  <si>
    <t>Pompownia ścieków</t>
  </si>
  <si>
    <t>dz. 67</t>
  </si>
  <si>
    <t>SPMM_D02_O_00000239</t>
  </si>
  <si>
    <t>Zespół Szkół im. Marii Skłodowskiej - Curie w Mińsku Mazowieckim</t>
  </si>
  <si>
    <t>URZA_ZEWD_O_00011</t>
  </si>
  <si>
    <t>Gmina Kałuszyn z siedzibą Urząd Miejski w Kałuszynie</t>
  </si>
  <si>
    <t>PL_ZEWD_1412003908_04</t>
  </si>
  <si>
    <t>Zakład Gospodarki Komunalnej w Kałuszynie</t>
  </si>
  <si>
    <t>PL_ZEWD_1412003958_09</t>
  </si>
  <si>
    <t>PL_ZEWD_1412003959_01</t>
  </si>
  <si>
    <t>03-00043238</t>
  </si>
  <si>
    <t>03-00045896</t>
  </si>
  <si>
    <t>PL_ZEWD_1412003952_07</t>
  </si>
  <si>
    <t>PL_ZEWD_1412003961_04</t>
  </si>
  <si>
    <t xml:space="preserve">Zespół Szkolno - Przedszkolny </t>
  </si>
  <si>
    <t>PL_ZEWD_1412003965_02</t>
  </si>
  <si>
    <t>ul. Rynek 46/2</t>
  </si>
  <si>
    <t>GMIN_ZEWD_O_00107</t>
  </si>
  <si>
    <t>PL_ZEWD_1412003957_07</t>
  </si>
  <si>
    <t>PL_ZEWD_1412003960_02</t>
  </si>
  <si>
    <t>Miejski Ośrodek Pomocy Społecznej w Halinowie</t>
  </si>
  <si>
    <t>ul. Mickiewicza 23</t>
  </si>
  <si>
    <t>23 m1</t>
  </si>
  <si>
    <t>23 m2</t>
  </si>
  <si>
    <t>23 m3</t>
  </si>
  <si>
    <t>Urząd Miasta i Gminy Mrozy</t>
  </si>
  <si>
    <t>PL_ZEWD_1412003893_07</t>
  </si>
  <si>
    <t>90017183</t>
  </si>
  <si>
    <t>91470239</t>
  </si>
  <si>
    <t>Pomieszczenie biurowe GOPS</t>
  </si>
  <si>
    <t>4146510</t>
  </si>
  <si>
    <t>PL_ZEWD_1412003895_01</t>
  </si>
  <si>
    <t>PL_ZEWD_1412003894_09</t>
  </si>
  <si>
    <t>PL_ZEWD_1412003897_05</t>
  </si>
  <si>
    <t>Plac Budowy</t>
  </si>
  <si>
    <t xml:space="preserve"> Oczyszczalnia ścieków</t>
  </si>
  <si>
    <t>Przepompownia ścieków P-3</t>
  </si>
  <si>
    <t>PL_ZEWD_1412003896_03</t>
  </si>
  <si>
    <t>Dz. Nr 120/07</t>
  </si>
  <si>
    <t>PL_ZEWD_1412003912_01</t>
  </si>
  <si>
    <t>dz. 168</t>
  </si>
  <si>
    <t>PL_ZEWD_1412003911_09</t>
  </si>
  <si>
    <t>Gminny Zakład Gospodarki Komunalnej w Mińsku Mazowieckim</t>
  </si>
  <si>
    <t>Urocza</t>
  </si>
  <si>
    <t>809/1</t>
  </si>
  <si>
    <t>Huberta</t>
  </si>
  <si>
    <t>Przepompownia ścieków P1</t>
  </si>
  <si>
    <t>Niedziałka Druga</t>
  </si>
  <si>
    <t>dz. 75/2</t>
  </si>
  <si>
    <t>Przepompownia PP1</t>
  </si>
  <si>
    <t>dz.767/5</t>
  </si>
  <si>
    <t>Nowa</t>
  </si>
  <si>
    <t>dz. 271/1</t>
  </si>
  <si>
    <t>Przepompownia ścieków PS 5.3</t>
  </si>
  <si>
    <t>dz. 810</t>
  </si>
  <si>
    <t>Targowisko - Stojadła</t>
  </si>
  <si>
    <t>dz. 933/1
933/2</t>
  </si>
  <si>
    <t>Szkoła Podstawowa im. Marii Konopnickiej</t>
  </si>
  <si>
    <t>Szkoła Podstawowa w Starej Niedziałce</t>
  </si>
  <si>
    <t>ul Mazowiecka 144</t>
  </si>
  <si>
    <t>Szkoła Podstawowa w Zamieniu</t>
  </si>
  <si>
    <t>Szkoła Podstawowa w Hucie Mińskiej z/s w Cielechowiźnie</t>
  </si>
  <si>
    <t>Szkoła Podstawowa w Janowie</t>
  </si>
  <si>
    <t>Szkoła Podstawowa w Stojadłach</t>
  </si>
  <si>
    <t>Boisko sportowe Zakole Wiktorowo</t>
  </si>
  <si>
    <t>Zakole Wiktorowo</t>
  </si>
  <si>
    <t>dz. 7/2</t>
  </si>
  <si>
    <r>
      <t xml:space="preserve">prognozowanych wolumenów zużycia energii elektrycznej dla PPE Zamawiającego w okresie od dnia 1 stycznia do 31 grudnia 2018 roku </t>
    </r>
    <r>
      <rPr>
        <b/>
        <sz val="12"/>
        <color indexed="8"/>
        <rFont val="Czcionka tekstu podstawowego"/>
        <family val="2"/>
        <charset val="238"/>
      </rPr>
      <t>(Bilans roczny OSD</t>
    </r>
    <r>
      <rPr>
        <sz val="12"/>
        <color indexed="8"/>
        <rFont val="Czcionka tekstu podstawowego"/>
        <family val="2"/>
        <charset val="238"/>
      </rPr>
      <t>)</t>
    </r>
  </si>
  <si>
    <t>31 grudnia 2017</t>
  </si>
  <si>
    <t>PL_ZEWD_1412000534_00</t>
  </si>
  <si>
    <t>Tyborów</t>
  </si>
  <si>
    <t>PL_ZEWD_1412000531_04</t>
  </si>
  <si>
    <t>Punkt poboru energii przechodzi do sprzedaży w umowie prosumenckiej w przewidywanym terminie 1 listopada 2018 roku</t>
  </si>
  <si>
    <t>Punkt poboru energii przechodzi do sprzedaży w umowie prosumenckiej w przewidywanym terminie 1 marca 2018 roku</t>
  </si>
  <si>
    <t>Punkt poboru energii przechodzi do sprzedaży w umowie prosumenckiej w przewidywanym terminie 1 lipca 2018 roku</t>
  </si>
  <si>
    <t>dz.146/4</t>
  </si>
  <si>
    <t>PL_ZEWD_1412003745_08</t>
  </si>
  <si>
    <t>PL_ZEWD_1412003928_02</t>
  </si>
  <si>
    <t>PL_ZEWD_14120021334_03</t>
  </si>
  <si>
    <t>Szkoła Podstawowa nr 3</t>
  </si>
  <si>
    <t>Szkoła Podstawowa nr 4 im. Powstańców Styczniowych</t>
  </si>
  <si>
    <t>Szkoła Podstawowa nr 1 im. Mikołaja Kopernika</t>
  </si>
  <si>
    <t>Kort Tenisowy</t>
  </si>
  <si>
    <t>Jana Pawła II</t>
  </si>
  <si>
    <t>Nr ewidencyjny</t>
  </si>
  <si>
    <t>Szkoła Podstawowa w Grodzisku im. Bohaterów Września 1939r.</t>
  </si>
  <si>
    <t>Szkoła Podstawowa nr 1 im. Romualda Traugutta w Mrozach</t>
  </si>
  <si>
    <t>Szkoła Podstawowa im. Henryka Sienkiewicza w Jeruzalu</t>
  </si>
  <si>
    <t>Zespół Szkół im. Adama Mickiewicza w Mrozach</t>
  </si>
  <si>
    <t>Szkoła Podstawowa im. Władysława Broniewskiego w Jakubowie</t>
  </si>
  <si>
    <t>Szkoła Podstawowa im. Jana Brzechwy w Jędrzejowie Nowym</t>
  </si>
  <si>
    <t>Szkoła Podstawowa im. 7 PUL w Wiśniewie</t>
  </si>
  <si>
    <t>Szkoła Podstawowa im. Jana Pawła II w Mistowie</t>
  </si>
  <si>
    <t>Szkoła Podstawowa nr 4</t>
  </si>
  <si>
    <t>Szkoła Podstawowa nr 4 im. J. Korczaka</t>
  </si>
  <si>
    <t>NIP: 822-20-41-015</t>
  </si>
  <si>
    <t>MIEJ_ZEWD_O_00045</t>
  </si>
  <si>
    <t>Szkoła Podstawowa nr 2</t>
  </si>
  <si>
    <t>Szkoła Podstawowa nr 2 im. Stefana Czarnieckiego</t>
  </si>
  <si>
    <t>Szkoła Podstawowa nr 1 im. Pierwszego Marszałka Polski Józea Piłsudskiego</t>
  </si>
  <si>
    <t xml:space="preserve">Szkoła Podstawowa nr 1 </t>
  </si>
  <si>
    <t>Miasto Sulejówek (Stadion)</t>
  </si>
  <si>
    <t>Dom Kultury w Kałuszynie</t>
  </si>
  <si>
    <t>ul. Warszawska 45</t>
  </si>
  <si>
    <t>Szkoła Podstawowa w Kałuszynie</t>
  </si>
  <si>
    <t>Ul. Pocztowa 4</t>
  </si>
  <si>
    <t>Przedszkole Publiczne w Kałuszynie</t>
  </si>
  <si>
    <t>ul. Pocztowa 2</t>
  </si>
  <si>
    <t>Gminny Żłobek w Kałuszynie</t>
  </si>
  <si>
    <t>ul. Zamojska 13</t>
  </si>
  <si>
    <t>9A</t>
  </si>
  <si>
    <t>ul. Warszawska 78</t>
  </si>
  <si>
    <t>Szkoła Podstawowa im. Wołyńskiej Brygady Kawalerii</t>
  </si>
  <si>
    <t>Gminne Przedszkole w Dębem Wielkim</t>
  </si>
  <si>
    <t>ul. Krótka 1 A</t>
  </si>
  <si>
    <t>Adresat, Odbiorca, Płatnik:</t>
  </si>
  <si>
    <t>identyfikacji PPE Zamawiającego ze wskazaniem Nabywców, Adresatów, Odbiorców i Płatników faktur</t>
  </si>
  <si>
    <t>Odbiorca, Płatnik:</t>
  </si>
  <si>
    <t>Zestawienie ogólne PPE do zamówienia publicznego na zakup energii elektrycznej czynnej dla Grupy zakupowej Powiatu Mińskiego na rok 2018</t>
  </si>
  <si>
    <r>
      <t xml:space="preserve">prognozowanych wolumenów zużycia energii elektrycznej dla PPE Zamawiającego w okresie od dnia 1 stycznia do 31 grudnia 2018 roku </t>
    </r>
    <r>
      <rPr>
        <b/>
        <sz val="12"/>
        <color indexed="8"/>
        <rFont val="Czcionka tekstu podstawowego"/>
        <charset val="238"/>
      </rPr>
      <t>(Bilans roczny OSD</t>
    </r>
    <r>
      <rPr>
        <sz val="12"/>
        <color indexed="8"/>
        <rFont val="Czcionka tekstu podstawowego"/>
        <charset val="238"/>
      </rPr>
      <t>)</t>
    </r>
  </si>
  <si>
    <t>Prognoza zużycia energii elektrycznej czynnej na rok 2018        [kWh]</t>
  </si>
  <si>
    <t>Gminny Zespół Obsługi Administracyjnej Szkół</t>
  </si>
  <si>
    <t xml:space="preserve">Gminny Zespół </t>
  </si>
  <si>
    <t>Obsługi Ekonomiczno-Administracyjnej Szkół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</si>
</sst>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#,##0.0000"/>
    <numFmt numFmtId="166" formatCode="#,##0.0"/>
  </numFmts>
  <fonts count="6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6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36"/>
      <name val="Czcionka tekstu podstawowego"/>
      <charset val="238"/>
    </font>
    <font>
      <b/>
      <sz val="11"/>
      <name val="Czcionka tekstu podstawowego"/>
      <charset val="238"/>
    </font>
    <font>
      <b/>
      <sz val="11"/>
      <color indexed="36"/>
      <name val="Czcionka tekstu podstawowego"/>
      <charset val="238"/>
    </font>
    <font>
      <sz val="11"/>
      <color indexed="30"/>
      <name val="Czcionka tekstu podstawowego"/>
      <charset val="238"/>
    </font>
    <font>
      <sz val="11"/>
      <name val="Czcionka tekstu podstawowego"/>
      <charset val="238"/>
    </font>
    <font>
      <sz val="11"/>
      <color indexed="17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indexed="8"/>
      <name val="Symbol"/>
      <family val="1"/>
      <charset val="2"/>
    </font>
    <font>
      <sz val="12"/>
      <color indexed="8"/>
      <name val="Czcionka tekstu podstawowego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4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b/>
      <sz val="14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4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4"/>
      <color rgb="FFFF0000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70C0"/>
      <name val="Czcionka tekstu podstawowego"/>
      <family val="2"/>
      <charset val="238"/>
    </font>
    <font>
      <sz val="11"/>
      <color theme="4"/>
      <name val="Czcionka tekstu podstawowego"/>
      <family val="2"/>
      <charset val="238"/>
    </font>
    <font>
      <sz val="12"/>
      <color theme="3"/>
      <name val="Czcionka tekstu podstawowego"/>
      <family val="2"/>
      <charset val="238"/>
    </font>
    <font>
      <sz val="11"/>
      <color rgb="FF0070C0"/>
      <name val="Czcionka tekstu podstawowego"/>
      <charset val="238"/>
    </font>
    <font>
      <sz val="12"/>
      <color theme="1"/>
      <name val="Czcionka tekstu podstawowego"/>
      <charset val="238"/>
    </font>
    <font>
      <sz val="12"/>
      <color theme="0"/>
      <name val="Czcionka tekstu podstawowego"/>
      <family val="2"/>
      <charset val="238"/>
    </font>
    <font>
      <b/>
      <strike/>
      <sz val="11"/>
      <color rgb="FFFF0000"/>
      <name val="Czcionka tekstu podstawowego"/>
      <charset val="238"/>
    </font>
    <font>
      <strike/>
      <sz val="11"/>
      <color rgb="FFFF0000"/>
      <name val="Czcionka tekstu podstawowego"/>
      <charset val="238"/>
    </font>
    <font>
      <b/>
      <sz val="11"/>
      <color rgb="FF00B05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37" fillId="0" borderId="3" xfId="0" applyFont="1" applyBorder="1"/>
    <xf numFmtId="0" fontId="37" fillId="0" borderId="4" xfId="0" applyFont="1" applyBorder="1"/>
    <xf numFmtId="0" fontId="37" fillId="0" borderId="5" xfId="0" applyFont="1" applyBorder="1"/>
    <xf numFmtId="0" fontId="37" fillId="0" borderId="6" xfId="0" applyFont="1" applyBorder="1"/>
    <xf numFmtId="0" fontId="37" fillId="0" borderId="0" xfId="0" applyFont="1" applyBorder="1"/>
    <xf numFmtId="0" fontId="37" fillId="0" borderId="7" xfId="0" applyFont="1" applyBorder="1"/>
    <xf numFmtId="0" fontId="37" fillId="0" borderId="6" xfId="0" applyFont="1" applyFill="1" applyBorder="1"/>
    <xf numFmtId="0" fontId="37" fillId="0" borderId="8" xfId="0" applyFont="1" applyBorder="1"/>
    <xf numFmtId="0" fontId="37" fillId="0" borderId="9" xfId="0" applyFont="1" applyBorder="1"/>
    <xf numFmtId="0" fontId="37" fillId="0" borderId="0" xfId="0" applyFont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37" fillId="0" borderId="1" xfId="0" applyFont="1" applyBorder="1" applyAlignment="1">
      <alignment horizontal="center"/>
    </xf>
    <xf numFmtId="0" fontId="0" fillId="2" borderId="1" xfId="0" applyFill="1" applyBorder="1"/>
    <xf numFmtId="3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Fill="1" applyBorder="1"/>
    <xf numFmtId="0" fontId="0" fillId="0" borderId="10" xfId="0" applyBorder="1" applyAlignment="1">
      <alignment wrapText="1"/>
    </xf>
    <xf numFmtId="0" fontId="0" fillId="0" borderId="0" xfId="0" applyAlignment="1">
      <alignment horizontal="right"/>
    </xf>
    <xf numFmtId="3" fontId="0" fillId="2" borderId="2" xfId="0" applyNumberFormat="1" applyFill="1" applyBorder="1"/>
    <xf numFmtId="165" fontId="0" fillId="0" borderId="0" xfId="0" applyNumberFormat="1"/>
    <xf numFmtId="4" fontId="0" fillId="0" borderId="0" xfId="0" applyNumberFormat="1"/>
    <xf numFmtId="0" fontId="37" fillId="0" borderId="7" xfId="0" applyFont="1" applyBorder="1" applyAlignment="1">
      <alignment wrapText="1"/>
    </xf>
    <xf numFmtId="0" fontId="37" fillId="0" borderId="9" xfId="0" applyFont="1" applyBorder="1" applyAlignment="1">
      <alignment wrapText="1"/>
    </xf>
    <xf numFmtId="0" fontId="37" fillId="0" borderId="5" xfId="0" applyFont="1" applyBorder="1" applyAlignment="1">
      <alignment wrapText="1"/>
    </xf>
    <xf numFmtId="0" fontId="37" fillId="0" borderId="0" xfId="0" applyFont="1" applyFill="1" applyBorder="1"/>
    <xf numFmtId="0" fontId="38" fillId="0" borderId="1" xfId="0" applyFont="1" applyFill="1" applyBorder="1"/>
    <xf numFmtId="0" fontId="38" fillId="0" borderId="1" xfId="0" applyFont="1" applyBorder="1" applyAlignment="1">
      <alignment wrapText="1"/>
    </xf>
    <xf numFmtId="0" fontId="38" fillId="0" borderId="1" xfId="0" applyFont="1" applyBorder="1"/>
    <xf numFmtId="164" fontId="38" fillId="0" borderId="1" xfId="0" applyNumberFormat="1" applyFont="1" applyBorder="1" applyAlignment="1">
      <alignment horizontal="center"/>
    </xf>
    <xf numFmtId="3" fontId="38" fillId="0" borderId="1" xfId="0" applyNumberFormat="1" applyFont="1" applyBorder="1"/>
    <xf numFmtId="3" fontId="38" fillId="2" borderId="1" xfId="0" applyNumberFormat="1" applyFont="1" applyFill="1" applyBorder="1"/>
    <xf numFmtId="0" fontId="38" fillId="0" borderId="2" xfId="0" applyFont="1" applyBorder="1" applyAlignment="1">
      <alignment wrapText="1"/>
    </xf>
    <xf numFmtId="0" fontId="38" fillId="0" borderId="2" xfId="0" applyFont="1" applyBorder="1"/>
    <xf numFmtId="0" fontId="37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9" fillId="0" borderId="0" xfId="0" applyFont="1"/>
    <xf numFmtId="0" fontId="3" fillId="0" borderId="0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64" fontId="0" fillId="0" borderId="1" xfId="0" applyNumberFormat="1" applyFill="1" applyBorder="1"/>
    <xf numFmtId="3" fontId="6" fillId="0" borderId="1" xfId="0" applyNumberFormat="1" applyFont="1" applyFill="1" applyBorder="1"/>
    <xf numFmtId="0" fontId="0" fillId="0" borderId="0" xfId="0" applyFill="1" applyBorder="1" applyAlignment="1">
      <alignment wrapText="1"/>
    </xf>
    <xf numFmtId="0" fontId="37" fillId="0" borderId="6" xfId="0" applyFont="1" applyBorder="1" applyAlignment="1">
      <alignment horizontal="right" wrapText="1"/>
    </xf>
    <xf numFmtId="0" fontId="37" fillId="0" borderId="0" xfId="0" applyFont="1" applyBorder="1" applyAlignment="1"/>
    <xf numFmtId="3" fontId="5" fillId="0" borderId="0" xfId="0" applyNumberFormat="1" applyFont="1" applyFill="1" applyBorder="1"/>
    <xf numFmtId="3" fontId="0" fillId="0" borderId="0" xfId="0" applyNumberFormat="1" applyBorder="1"/>
    <xf numFmtId="0" fontId="37" fillId="0" borderId="11" xfId="0" applyFont="1" applyBorder="1"/>
    <xf numFmtId="0" fontId="37" fillId="0" borderId="8" xfId="0" applyFont="1" applyFill="1" applyBorder="1" applyAlignment="1"/>
    <xf numFmtId="0" fontId="37" fillId="0" borderId="0" xfId="0" applyFont="1" applyFill="1" applyBorder="1" applyAlignment="1"/>
    <xf numFmtId="0" fontId="0" fillId="0" borderId="0" xfId="0" applyFill="1" applyAlignment="1">
      <alignment horizontal="center"/>
    </xf>
    <xf numFmtId="164" fontId="38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38" fillId="0" borderId="1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7" fillId="0" borderId="3" xfId="0" applyFont="1" applyBorder="1" applyAlignment="1">
      <alignment horizontal="right" wrapText="1"/>
    </xf>
    <xf numFmtId="0" fontId="37" fillId="0" borderId="4" xfId="0" applyFont="1" applyBorder="1" applyAlignment="1"/>
    <xf numFmtId="3" fontId="8" fillId="0" borderId="0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3" fontId="0" fillId="0" borderId="0" xfId="0" applyNumberFormat="1" applyBorder="1" applyAlignment="1">
      <alignment wrapText="1"/>
    </xf>
    <xf numFmtId="0" fontId="37" fillId="0" borderId="1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0" fillId="0" borderId="1" xfId="0" applyNumberFormat="1" applyBorder="1"/>
    <xf numFmtId="0" fontId="37" fillId="0" borderId="4" xfId="0" applyFont="1" applyFill="1" applyBorder="1" applyAlignment="1"/>
    <xf numFmtId="164" fontId="0" fillId="0" borderId="0" xfId="0" applyNumberFormat="1" applyBorder="1"/>
    <xf numFmtId="166" fontId="0" fillId="0" borderId="1" xfId="0" applyNumberFormat="1" applyBorder="1" applyAlignment="1">
      <alignment wrapText="1"/>
    </xf>
    <xf numFmtId="166" fontId="0" fillId="0" borderId="1" xfId="0" applyNumberFormat="1" applyBorder="1"/>
    <xf numFmtId="3" fontId="6" fillId="0" borderId="1" xfId="0" applyNumberFormat="1" applyFont="1" applyBorder="1"/>
    <xf numFmtId="3" fontId="5" fillId="0" borderId="0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37" fillId="0" borderId="8" xfId="0" applyFont="1" applyBorder="1" applyAlignment="1"/>
    <xf numFmtId="164" fontId="0" fillId="0" borderId="0" xfId="0" applyNumberFormat="1" applyAlignment="1">
      <alignment wrapText="1"/>
    </xf>
    <xf numFmtId="3" fontId="6" fillId="0" borderId="1" xfId="0" applyNumberFormat="1" applyFont="1" applyBorder="1" applyAlignment="1">
      <alignment horizontal="right"/>
    </xf>
    <xf numFmtId="0" fontId="0" fillId="0" borderId="0" xfId="0" applyFill="1" applyBorder="1" applyAlignment="1"/>
    <xf numFmtId="166" fontId="0" fillId="0" borderId="1" xfId="0" applyNumberForma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2" xfId="0" applyFill="1" applyBorder="1"/>
    <xf numFmtId="0" fontId="0" fillId="0" borderId="13" xfId="0" applyFill="1" applyBorder="1"/>
    <xf numFmtId="0" fontId="0" fillId="0" borderId="13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right" wrapText="1"/>
    </xf>
    <xf numFmtId="164" fontId="0" fillId="0" borderId="0" xfId="0" applyNumberFormat="1"/>
    <xf numFmtId="0" fontId="37" fillId="0" borderId="0" xfId="0" applyFont="1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>
      <alignment horizontal="center"/>
    </xf>
    <xf numFmtId="0" fontId="37" fillId="0" borderId="8" xfId="0" applyFont="1" applyFill="1" applyBorder="1"/>
    <xf numFmtId="3" fontId="0" fillId="0" borderId="14" xfId="0" applyNumberFormat="1" applyBorder="1"/>
    <xf numFmtId="3" fontId="0" fillId="0" borderId="2" xfId="0" applyNumberFormat="1" applyBorder="1"/>
    <xf numFmtId="3" fontId="0" fillId="0" borderId="15" xfId="0" applyNumberFormat="1" applyBorder="1"/>
    <xf numFmtId="164" fontId="0" fillId="0" borderId="1" xfId="0" applyNumberFormat="1" applyBorder="1" applyAlignment="1">
      <alignment horizontal="center" wrapText="1"/>
    </xf>
    <xf numFmtId="0" fontId="37" fillId="0" borderId="4" xfId="0" applyFont="1" applyBorder="1" applyAlignment="1">
      <alignment horizontal="left"/>
    </xf>
    <xf numFmtId="164" fontId="0" fillId="0" borderId="0" xfId="0" applyNumberFormat="1" applyFill="1" applyBorder="1" applyAlignment="1">
      <alignment horizontal="center" wrapText="1"/>
    </xf>
    <xf numFmtId="0" fontId="37" fillId="0" borderId="3" xfId="0" applyFont="1" applyFill="1" applyBorder="1" applyAlignment="1">
      <alignment wrapText="1"/>
    </xf>
    <xf numFmtId="0" fontId="37" fillId="0" borderId="4" xfId="0" applyFont="1" applyFill="1" applyBorder="1"/>
    <xf numFmtId="3" fontId="0" fillId="0" borderId="16" xfId="0" applyNumberFormat="1" applyBorder="1"/>
    <xf numFmtId="3" fontId="0" fillId="0" borderId="0" xfId="0" applyNumberFormat="1" applyAlignment="1">
      <alignment horizontal="right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right"/>
    </xf>
    <xf numFmtId="49" fontId="0" fillId="0" borderId="1" xfId="0" applyNumberFormat="1" applyFill="1" applyBorder="1" applyAlignment="1">
      <alignment wrapText="1"/>
    </xf>
    <xf numFmtId="0" fontId="41" fillId="0" borderId="1" xfId="0" applyFont="1" applyFill="1" applyBorder="1" applyAlignment="1">
      <alignment horizontal="center"/>
    </xf>
    <xf numFmtId="166" fontId="40" fillId="0" borderId="1" xfId="0" applyNumberFormat="1" applyFont="1" applyFill="1" applyBorder="1" applyAlignment="1">
      <alignment horizontal="center"/>
    </xf>
    <xf numFmtId="3" fontId="42" fillId="2" borderId="1" xfId="0" applyNumberFormat="1" applyFont="1" applyFill="1" applyBorder="1" applyAlignment="1"/>
    <xf numFmtId="3" fontId="40" fillId="0" borderId="1" xfId="0" applyNumberFormat="1" applyFont="1" applyFill="1" applyBorder="1" applyAlignment="1"/>
    <xf numFmtId="3" fontId="42" fillId="0" borderId="1" xfId="0" applyNumberFormat="1" applyFont="1" applyFill="1" applyBorder="1" applyAlignment="1"/>
    <xf numFmtId="3" fontId="40" fillId="2" borderId="1" xfId="0" applyNumberFormat="1" applyFont="1" applyFill="1" applyBorder="1" applyAlignment="1"/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/>
    <xf numFmtId="3" fontId="14" fillId="0" borderId="1" xfId="0" applyNumberFormat="1" applyFont="1" applyFill="1" applyBorder="1" applyAlignment="1"/>
    <xf numFmtId="3" fontId="15" fillId="0" borderId="1" xfId="0" applyNumberFormat="1" applyFont="1" applyFill="1" applyBorder="1" applyAlignment="1"/>
    <xf numFmtId="3" fontId="14" fillId="2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3" fontId="15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0" fontId="15" fillId="0" borderId="0" xfId="0" applyFont="1" applyFill="1"/>
    <xf numFmtId="0" fontId="14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66" fontId="14" fillId="0" borderId="13" xfId="0" applyNumberFormat="1" applyFont="1" applyFill="1" applyBorder="1" applyAlignment="1">
      <alignment horizontal="center"/>
    </xf>
    <xf numFmtId="3" fontId="15" fillId="2" borderId="13" xfId="0" applyNumberFormat="1" applyFont="1" applyFill="1" applyBorder="1" applyAlignment="1">
      <alignment horizontal="right"/>
    </xf>
    <xf numFmtId="3" fontId="15" fillId="0" borderId="13" xfId="0" applyNumberFormat="1" applyFont="1" applyFill="1" applyBorder="1"/>
    <xf numFmtId="3" fontId="15" fillId="2" borderId="1" xfId="0" applyNumberFormat="1" applyFont="1" applyFill="1" applyBorder="1" applyAlignment="1">
      <alignment horizontal="right"/>
    </xf>
    <xf numFmtId="3" fontId="15" fillId="2" borderId="1" xfId="0" applyNumberFormat="1" applyFont="1" applyFill="1" applyBorder="1"/>
    <xf numFmtId="0" fontId="42" fillId="0" borderId="0" xfId="0" applyFont="1" applyFill="1"/>
    <xf numFmtId="0" fontId="42" fillId="0" borderId="1" xfId="0" applyFont="1" applyFill="1" applyBorder="1"/>
    <xf numFmtId="0" fontId="42" fillId="0" borderId="1" xfId="0" applyFont="1" applyFill="1" applyBorder="1" applyAlignment="1">
      <alignment horizontal="center"/>
    </xf>
    <xf numFmtId="3" fontId="42" fillId="0" borderId="1" xfId="0" applyNumberFormat="1" applyFont="1" applyFill="1" applyBorder="1"/>
    <xf numFmtId="49" fontId="42" fillId="0" borderId="1" xfId="0" applyNumberFormat="1" applyFont="1" applyFill="1" applyBorder="1" applyAlignment="1">
      <alignment horizontal="center"/>
    </xf>
    <xf numFmtId="3" fontId="42" fillId="0" borderId="1" xfId="0" applyNumberFormat="1" applyFont="1" applyFill="1" applyBorder="1" applyAlignment="1">
      <alignment horizontal="right"/>
    </xf>
    <xf numFmtId="3" fontId="42" fillId="2" borderId="1" xfId="0" applyNumberFormat="1" applyFont="1" applyFill="1" applyBorder="1"/>
    <xf numFmtId="3" fontId="15" fillId="0" borderId="0" xfId="0" applyNumberFormat="1" applyFont="1" applyFill="1" applyBorder="1" applyAlignment="1"/>
    <xf numFmtId="3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0" fontId="37" fillId="0" borderId="3" xfId="0" applyFont="1" applyFill="1" applyBorder="1"/>
    <xf numFmtId="0" fontId="37" fillId="0" borderId="7" xfId="0" applyFont="1" applyFill="1" applyBorder="1"/>
    <xf numFmtId="0" fontId="37" fillId="0" borderId="9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7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3" xfId="0" applyBorder="1"/>
    <xf numFmtId="0" fontId="0" fillId="0" borderId="1" xfId="0" applyBorder="1" applyAlignment="1"/>
    <xf numFmtId="0" fontId="13" fillId="0" borderId="4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0" fillId="0" borderId="11" xfId="0" applyBorder="1"/>
    <xf numFmtId="0" fontId="13" fillId="0" borderId="8" xfId="0" applyFont="1" applyBorder="1" applyAlignment="1">
      <alignment horizontal="left" vertical="center"/>
    </xf>
    <xf numFmtId="0" fontId="0" fillId="0" borderId="2" xfId="0" applyBorder="1" applyAlignment="1"/>
    <xf numFmtId="0" fontId="35" fillId="0" borderId="3" xfId="0" applyFont="1" applyBorder="1"/>
    <xf numFmtId="0" fontId="35" fillId="0" borderId="6" xfId="0" applyFont="1" applyBorder="1"/>
    <xf numFmtId="0" fontId="35" fillId="0" borderId="11" xfId="0" applyFont="1" applyBorder="1"/>
    <xf numFmtId="3" fontId="0" fillId="0" borderId="1" xfId="0" applyNumberFormat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3" fontId="20" fillId="0" borderId="1" xfId="0" applyNumberFormat="1" applyFont="1" applyBorder="1"/>
    <xf numFmtId="0" fontId="0" fillId="0" borderId="0" xfId="0" applyAlignment="1"/>
    <xf numFmtId="3" fontId="0" fillId="2" borderId="18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vertical="center"/>
    </xf>
    <xf numFmtId="3" fontId="0" fillId="0" borderId="2" xfId="0" applyNumberFormat="1" applyBorder="1" applyAlignment="1">
      <alignment horizontal="right"/>
    </xf>
    <xf numFmtId="3" fontId="0" fillId="2" borderId="1" xfId="0" applyNumberFormat="1" applyFill="1" applyBorder="1" applyAlignment="1"/>
    <xf numFmtId="3" fontId="0" fillId="0" borderId="1" xfId="0" applyNumberFormat="1" applyBorder="1" applyAlignment="1"/>
    <xf numFmtId="3" fontId="0" fillId="0" borderId="2" xfId="0" applyNumberFormat="1" applyBorder="1" applyAlignment="1"/>
    <xf numFmtId="49" fontId="0" fillId="0" borderId="1" xfId="0" applyNumberFormat="1" applyFill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vertical="center"/>
    </xf>
    <xf numFmtId="0" fontId="21" fillId="0" borderId="0" xfId="0" applyFont="1" applyFill="1" applyBorder="1" applyAlignment="1"/>
    <xf numFmtId="0" fontId="21" fillId="0" borderId="7" xfId="0" applyFont="1" applyBorder="1"/>
    <xf numFmtId="0" fontId="21" fillId="0" borderId="6" xfId="0" applyFont="1" applyBorder="1"/>
    <xf numFmtId="49" fontId="0" fillId="2" borderId="1" xfId="0" applyNumberFormat="1" applyFill="1" applyBorder="1" applyAlignment="1">
      <alignment horizontal="right"/>
    </xf>
    <xf numFmtId="3" fontId="0" fillId="0" borderId="1" xfId="0" applyNumberFormat="1" applyFill="1" applyBorder="1" applyAlignment="1"/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0" fontId="21" fillId="0" borderId="4" xfId="0" applyFont="1" applyFill="1" applyBorder="1" applyAlignment="1"/>
    <xf numFmtId="0" fontId="21" fillId="0" borderId="4" xfId="0" applyFont="1" applyBorder="1"/>
    <xf numFmtId="0" fontId="21" fillId="0" borderId="5" xfId="0" applyFont="1" applyBorder="1"/>
    <xf numFmtId="0" fontId="0" fillId="0" borderId="8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43" fillId="0" borderId="1" xfId="0" applyFont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164" fontId="43" fillId="0" borderId="1" xfId="0" applyNumberFormat="1" applyFont="1" applyBorder="1" applyAlignment="1">
      <alignment horizontal="center" wrapText="1"/>
    </xf>
    <xf numFmtId="3" fontId="44" fillId="0" borderId="1" xfId="0" applyNumberFormat="1" applyFont="1" applyBorder="1" applyAlignment="1">
      <alignment horizontal="right" wrapText="1"/>
    </xf>
    <xf numFmtId="0" fontId="45" fillId="0" borderId="1" xfId="0" applyFont="1" applyBorder="1" applyAlignment="1">
      <alignment horizontal="center" wrapText="1"/>
    </xf>
    <xf numFmtId="164" fontId="45" fillId="0" borderId="1" xfId="0" applyNumberFormat="1" applyFont="1" applyBorder="1" applyAlignment="1">
      <alignment horizontal="center" wrapText="1"/>
    </xf>
    <xf numFmtId="3" fontId="46" fillId="0" borderId="1" xfId="0" applyNumberFormat="1" applyFont="1" applyBorder="1" applyAlignment="1">
      <alignment horizontal="right" wrapText="1"/>
    </xf>
    <xf numFmtId="0" fontId="45" fillId="0" borderId="2" xfId="0" applyFont="1" applyBorder="1" applyAlignment="1">
      <alignment horizontal="center" wrapText="1"/>
    </xf>
    <xf numFmtId="0" fontId="47" fillId="0" borderId="3" xfId="0" applyFont="1" applyBorder="1"/>
    <xf numFmtId="0" fontId="47" fillId="0" borderId="4" xfId="0" applyFont="1" applyBorder="1"/>
    <xf numFmtId="0" fontId="35" fillId="0" borderId="4" xfId="0" applyFont="1" applyBorder="1"/>
    <xf numFmtId="0" fontId="35" fillId="0" borderId="5" xfId="0" applyFont="1" applyBorder="1"/>
    <xf numFmtId="0" fontId="47" fillId="0" borderId="6" xfId="0" applyFont="1" applyBorder="1"/>
    <xf numFmtId="0" fontId="47" fillId="0" borderId="0" xfId="0" applyFont="1" applyBorder="1"/>
    <xf numFmtId="0" fontId="35" fillId="0" borderId="0" xfId="0" applyFont="1" applyBorder="1"/>
    <xf numFmtId="0" fontId="35" fillId="0" borderId="7" xfId="0" applyFont="1" applyBorder="1"/>
    <xf numFmtId="0" fontId="47" fillId="0" borderId="11" xfId="0" applyFont="1" applyBorder="1"/>
    <xf numFmtId="0" fontId="47" fillId="0" borderId="8" xfId="0" applyFont="1" applyBorder="1"/>
    <xf numFmtId="0" fontId="35" fillId="0" borderId="8" xfId="0" applyFont="1" applyBorder="1"/>
    <xf numFmtId="0" fontId="35" fillId="0" borderId="9" xfId="0" applyFont="1" applyBorder="1"/>
    <xf numFmtId="3" fontId="44" fillId="0" borderId="13" xfId="0" applyNumberFormat="1" applyFont="1" applyBorder="1" applyAlignment="1">
      <alignment horizontal="right" wrapText="1"/>
    </xf>
    <xf numFmtId="0" fontId="0" fillId="0" borderId="1" xfId="0" applyFill="1" applyBorder="1" applyAlignment="1"/>
    <xf numFmtId="0" fontId="43" fillId="0" borderId="2" xfId="0" applyFont="1" applyBorder="1" applyAlignment="1">
      <alignment horizontal="center" wrapText="1"/>
    </xf>
    <xf numFmtId="3" fontId="0" fillId="0" borderId="19" xfId="0" applyNumberFormat="1" applyFill="1" applyBorder="1"/>
    <xf numFmtId="0" fontId="48" fillId="0" borderId="2" xfId="0" applyFont="1" applyBorder="1"/>
    <xf numFmtId="0" fontId="48" fillId="0" borderId="2" xfId="0" applyFont="1" applyBorder="1" applyAlignment="1">
      <alignment horizontal="center" wrapText="1"/>
    </xf>
    <xf numFmtId="0" fontId="48" fillId="0" borderId="2" xfId="0" applyFont="1" applyBorder="1" applyAlignment="1">
      <alignment horizontal="center"/>
    </xf>
    <xf numFmtId="3" fontId="48" fillId="0" borderId="1" xfId="0" applyNumberFormat="1" applyFont="1" applyBorder="1"/>
    <xf numFmtId="0" fontId="37" fillId="0" borderId="0" xfId="0" applyFont="1"/>
    <xf numFmtId="0" fontId="0" fillId="0" borderId="4" xfId="0" applyBorder="1"/>
    <xf numFmtId="0" fontId="37" fillId="0" borderId="0" xfId="0" applyFont="1" applyBorder="1" applyAlignment="1">
      <alignment horizontal="center"/>
    </xf>
    <xf numFmtId="3" fontId="0" fillId="2" borderId="20" xfId="0" applyNumberFormat="1" applyFill="1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164" fontId="0" fillId="0" borderId="13" xfId="0" applyNumberFormat="1" applyBorder="1" applyAlignment="1">
      <alignment horizontal="center"/>
    </xf>
    <xf numFmtId="3" fontId="0" fillId="0" borderId="13" xfId="0" applyNumberFormat="1" applyBorder="1"/>
    <xf numFmtId="3" fontId="0" fillId="2" borderId="13" xfId="0" applyNumberFormat="1" applyFill="1" applyBorder="1"/>
    <xf numFmtId="3" fontId="0" fillId="2" borderId="18" xfId="0" applyNumberForma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wrapText="1"/>
    </xf>
    <xf numFmtId="3" fontId="0" fillId="0" borderId="10" xfId="0" applyNumberFormat="1" applyBorder="1"/>
    <xf numFmtId="3" fontId="0" fillId="0" borderId="2" xfId="0" applyNumberFormat="1" applyFill="1" applyBorder="1"/>
    <xf numFmtId="3" fontId="0" fillId="0" borderId="1" xfId="0" applyNumberForma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 wrapText="1"/>
    </xf>
    <xf numFmtId="3" fontId="11" fillId="2" borderId="1" xfId="0" applyNumberFormat="1" applyFont="1" applyFill="1" applyBorder="1"/>
    <xf numFmtId="3" fontId="38" fillId="0" borderId="1" xfId="0" applyNumberFormat="1" applyFont="1" applyFill="1" applyBorder="1"/>
    <xf numFmtId="3" fontId="12" fillId="2" borderId="1" xfId="0" applyNumberFormat="1" applyFont="1" applyFill="1" applyBorder="1"/>
    <xf numFmtId="3" fontId="11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0" fillId="0" borderId="1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right"/>
    </xf>
    <xf numFmtId="0" fontId="0" fillId="0" borderId="13" xfId="0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wrapText="1"/>
    </xf>
    <xf numFmtId="3" fontId="0" fillId="2" borderId="1" xfId="0" applyNumberFormat="1" applyFont="1" applyFill="1" applyBorder="1"/>
    <xf numFmtId="3" fontId="0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0" fontId="35" fillId="0" borderId="4" xfId="0" applyFont="1" applyBorder="1" applyAlignment="1"/>
    <xf numFmtId="0" fontId="0" fillId="0" borderId="0" xfId="0" applyFont="1"/>
    <xf numFmtId="3" fontId="0" fillId="0" borderId="0" xfId="0" applyNumberFormat="1" applyFont="1"/>
    <xf numFmtId="0" fontId="35" fillId="0" borderId="0" xfId="0" applyFont="1" applyBorder="1" applyAlignment="1"/>
    <xf numFmtId="0" fontId="35" fillId="0" borderId="8" xfId="0" applyFont="1" applyBorder="1" applyAlignment="1"/>
    <xf numFmtId="0" fontId="0" fillId="0" borderId="0" xfId="0" applyFont="1" applyAlignme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3" fontId="0" fillId="0" borderId="13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Fill="1" applyBorder="1"/>
    <xf numFmtId="3" fontId="0" fillId="2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3" fontId="0" fillId="2" borderId="1" xfId="0" applyNumberFormat="1" applyFill="1" applyBorder="1" applyAlignment="1">
      <alignment horizontal="center"/>
    </xf>
    <xf numFmtId="0" fontId="21" fillId="0" borderId="0" xfId="0" applyFont="1" applyBorder="1" applyAlignment="1"/>
    <xf numFmtId="0" fontId="51" fillId="0" borderId="22" xfId="0" applyFont="1" applyBorder="1" applyAlignment="1"/>
    <xf numFmtId="166" fontId="0" fillId="0" borderId="14" xfId="0" applyNumberFormat="1" applyBorder="1"/>
    <xf numFmtId="3" fontId="0" fillId="0" borderId="23" xfId="0" applyNumberFormat="1" applyBorder="1"/>
    <xf numFmtId="3" fontId="0" fillId="2" borderId="24" xfId="0" applyNumberFormat="1" applyFill="1" applyBorder="1"/>
    <xf numFmtId="3" fontId="0" fillId="2" borderId="20" xfId="0" applyNumberFormat="1" applyFill="1" applyBorder="1"/>
    <xf numFmtId="3" fontId="0" fillId="0" borderId="18" xfId="0" applyNumberFormat="1" applyBorder="1"/>
    <xf numFmtId="3" fontId="0" fillId="0" borderId="21" xfId="0" applyNumberForma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166" fontId="0" fillId="0" borderId="25" xfId="0" applyNumberFormat="1" applyBorder="1"/>
    <xf numFmtId="3" fontId="0" fillId="2" borderId="26" xfId="0" applyNumberFormat="1" applyFill="1" applyBorder="1"/>
    <xf numFmtId="3" fontId="0" fillId="0" borderId="27" xfId="0" applyNumberFormat="1" applyBorder="1"/>
    <xf numFmtId="0" fontId="0" fillId="0" borderId="25" xfId="0" applyBorder="1" applyAlignment="1">
      <alignment wrapText="1"/>
    </xf>
    <xf numFmtId="166" fontId="0" fillId="0" borderId="25" xfId="0" applyNumberFormat="1" applyFill="1" applyBorder="1" applyAlignment="1"/>
    <xf numFmtId="3" fontId="0" fillId="0" borderId="16" xfId="0" applyNumberFormat="1" applyFill="1" applyBorder="1"/>
    <xf numFmtId="166" fontId="0" fillId="0" borderId="0" xfId="0" applyNumberFormat="1" applyAlignment="1"/>
    <xf numFmtId="3" fontId="0" fillId="0" borderId="28" xfId="0" applyNumberFormat="1" applyFill="1" applyBorder="1"/>
    <xf numFmtId="3" fontId="0" fillId="0" borderId="23" xfId="0" applyNumberFormat="1" applyFill="1" applyBorder="1"/>
    <xf numFmtId="166" fontId="0" fillId="0" borderId="14" xfId="0" applyNumberFormat="1" applyFill="1" applyBorder="1" applyAlignment="1"/>
    <xf numFmtId="3" fontId="0" fillId="0" borderId="24" xfId="0" applyNumberFormat="1" applyFill="1" applyBorder="1"/>
    <xf numFmtId="3" fontId="0" fillId="0" borderId="27" xfId="0" applyNumberFormat="1" applyFill="1" applyBorder="1"/>
    <xf numFmtId="0" fontId="18" fillId="0" borderId="1" xfId="0" applyFont="1" applyFill="1" applyBorder="1"/>
    <xf numFmtId="0" fontId="18" fillId="0" borderId="1" xfId="0" applyFont="1" applyFill="1" applyBorder="1" applyAlignment="1">
      <alignment wrapText="1"/>
    </xf>
    <xf numFmtId="166" fontId="18" fillId="0" borderId="14" xfId="0" applyNumberFormat="1" applyFont="1" applyFill="1" applyBorder="1" applyAlignment="1"/>
    <xf numFmtId="3" fontId="0" fillId="0" borderId="20" xfId="0" applyNumberFormat="1" applyFill="1" applyBorder="1"/>
    <xf numFmtId="3" fontId="0" fillId="0" borderId="29" xfId="0" applyNumberFormat="1" applyFill="1" applyBorder="1"/>
    <xf numFmtId="166" fontId="0" fillId="0" borderId="25" xfId="0" applyNumberFormat="1" applyBorder="1" applyAlignment="1"/>
    <xf numFmtId="3" fontId="0" fillId="0" borderId="28" xfId="0" applyNumberFormat="1" applyBorder="1"/>
    <xf numFmtId="166" fontId="0" fillId="0" borderId="14" xfId="0" applyNumberFormat="1" applyBorder="1" applyAlignment="1"/>
    <xf numFmtId="3" fontId="0" fillId="0" borderId="24" xfId="0" applyNumberForma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44" fillId="0" borderId="0" xfId="0" applyFont="1" applyBorder="1"/>
    <xf numFmtId="0" fontId="0" fillId="0" borderId="0" xfId="0" applyFont="1" applyBorder="1"/>
    <xf numFmtId="3" fontId="0" fillId="2" borderId="2" xfId="0" applyNumberFormat="1" applyFill="1" applyBorder="1" applyAlignment="1">
      <alignment horizontal="center" vertical="center" wrapText="1"/>
    </xf>
    <xf numFmtId="3" fontId="0" fillId="2" borderId="30" xfId="0" applyNumberForma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right"/>
    </xf>
    <xf numFmtId="3" fontId="0" fillId="2" borderId="31" xfId="0" applyNumberFormat="1" applyFill="1" applyBorder="1" applyAlignment="1">
      <alignment horizontal="center" vertical="center" wrapText="1"/>
    </xf>
    <xf numFmtId="3" fontId="0" fillId="2" borderId="24" xfId="0" applyNumberFormat="1" applyFont="1" applyFill="1" applyBorder="1" applyAlignment="1">
      <alignment horizontal="right"/>
    </xf>
    <xf numFmtId="3" fontId="44" fillId="0" borderId="32" xfId="0" applyNumberFormat="1" applyFont="1" applyBorder="1" applyAlignment="1">
      <alignment horizontal="right" wrapText="1"/>
    </xf>
    <xf numFmtId="3" fontId="44" fillId="0" borderId="32" xfId="0" applyNumberFormat="1" applyFont="1" applyFill="1" applyBorder="1" applyAlignment="1">
      <alignment horizontal="right" wrapText="1"/>
    </xf>
    <xf numFmtId="3" fontId="44" fillId="0" borderId="24" xfId="0" applyNumberFormat="1" applyFont="1" applyBorder="1" applyAlignment="1">
      <alignment horizontal="right" wrapText="1"/>
    </xf>
    <xf numFmtId="3" fontId="0" fillId="0" borderId="32" xfId="0" applyNumberFormat="1" applyFont="1" applyFill="1" applyBorder="1" applyAlignment="1">
      <alignment horizontal="right"/>
    </xf>
    <xf numFmtId="0" fontId="0" fillId="0" borderId="13" xfId="0" applyFont="1" applyBorder="1"/>
    <xf numFmtId="0" fontId="44" fillId="0" borderId="1" xfId="0" applyFont="1" applyBorder="1" applyAlignment="1">
      <alignment horizontal="right" wrapText="1"/>
    </xf>
    <xf numFmtId="3" fontId="0" fillId="0" borderId="24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 vertical="center"/>
    </xf>
    <xf numFmtId="0" fontId="37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3" fontId="37" fillId="0" borderId="0" xfId="0" applyNumberFormat="1" applyFont="1"/>
    <xf numFmtId="3" fontId="0" fillId="2" borderId="1" xfId="0" applyNumberFormat="1" applyFill="1" applyBorder="1" applyAlignment="1">
      <alignment wrapText="1"/>
    </xf>
    <xf numFmtId="3" fontId="0" fillId="0" borderId="0" xfId="0" applyNumberFormat="1" applyFill="1"/>
    <xf numFmtId="3" fontId="38" fillId="2" borderId="1" xfId="0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 wrapText="1"/>
    </xf>
    <xf numFmtId="3" fontId="0" fillId="2" borderId="1" xfId="0" applyNumberFormat="1" applyFill="1" applyBorder="1" applyAlignment="1">
      <alignment horizontal="right" wrapText="1"/>
    </xf>
    <xf numFmtId="3" fontId="0" fillId="0" borderId="24" xfId="0" applyNumberFormat="1" applyBorder="1" applyAlignment="1">
      <alignment horizontal="right" wrapText="1"/>
    </xf>
    <xf numFmtId="166" fontId="0" fillId="0" borderId="14" xfId="0" applyNumberFormat="1" applyBorder="1" applyAlignment="1">
      <alignment horizontal="right" wrapText="1"/>
    </xf>
    <xf numFmtId="166" fontId="0" fillId="0" borderId="25" xfId="0" applyNumberFormat="1" applyBorder="1" applyAlignment="1">
      <alignment horizontal="right" wrapText="1"/>
    </xf>
    <xf numFmtId="0" fontId="37" fillId="0" borderId="1" xfId="0" applyFont="1" applyBorder="1" applyAlignment="1">
      <alignment horizontal="left" wrapText="1"/>
    </xf>
    <xf numFmtId="0" fontId="37" fillId="0" borderId="1" xfId="0" applyFont="1" applyFill="1" applyBorder="1" applyAlignment="1">
      <alignment horizontal="left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wrapText="1"/>
    </xf>
    <xf numFmtId="3" fontId="0" fillId="0" borderId="33" xfId="0" applyNumberFormat="1" applyBorder="1" applyAlignment="1">
      <alignment horizontal="right"/>
    </xf>
    <xf numFmtId="0" fontId="41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right"/>
    </xf>
    <xf numFmtId="0" fontId="52" fillId="0" borderId="1" xfId="0" applyFont="1" applyFill="1" applyBorder="1" applyAlignment="1">
      <alignment horizontal="left"/>
    </xf>
    <xf numFmtId="166" fontId="0" fillId="0" borderId="13" xfId="0" applyNumberFormat="1" applyBorder="1"/>
    <xf numFmtId="3" fontId="0" fillId="0" borderId="0" xfId="0" applyNumberFormat="1" applyAlignment="1">
      <alignment horizontal="center"/>
    </xf>
    <xf numFmtId="0" fontId="44" fillId="0" borderId="13" xfId="0" applyFont="1" applyBorder="1" applyAlignment="1">
      <alignment wrapText="1"/>
    </xf>
    <xf numFmtId="0" fontId="24" fillId="0" borderId="13" xfId="0" applyFont="1" applyBorder="1" applyAlignment="1">
      <alignment horizontal="right" wrapText="1"/>
    </xf>
    <xf numFmtId="3" fontId="44" fillId="2" borderId="13" xfId="0" applyNumberFormat="1" applyFont="1" applyFill="1" applyBorder="1" applyAlignment="1">
      <alignment wrapText="1"/>
    </xf>
    <xf numFmtId="3" fontId="44" fillId="0" borderId="13" xfId="0" applyNumberFormat="1" applyFont="1" applyBorder="1" applyAlignment="1">
      <alignment wrapText="1"/>
    </xf>
    <xf numFmtId="0" fontId="1" fillId="0" borderId="1" xfId="0" applyFont="1" applyFill="1" applyBorder="1"/>
    <xf numFmtId="0" fontId="35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35" fillId="0" borderId="2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9" xfId="0" applyFont="1" applyBorder="1"/>
    <xf numFmtId="3" fontId="0" fillId="2" borderId="13" xfId="0" applyNumberFormat="1" applyFont="1" applyFill="1" applyBorder="1"/>
    <xf numFmtId="166" fontId="0" fillId="0" borderId="2" xfId="0" applyNumberFormat="1" applyBorder="1" applyAlignment="1">
      <alignment horizontal="center"/>
    </xf>
    <xf numFmtId="3" fontId="37" fillId="0" borderId="0" xfId="0" applyNumberFormat="1" applyFont="1" applyBorder="1"/>
    <xf numFmtId="0" fontId="37" fillId="0" borderId="13" xfId="0" applyFont="1" applyBorder="1" applyAlignment="1">
      <alignment horizontal="left"/>
    </xf>
    <xf numFmtId="0" fontId="38" fillId="0" borderId="0" xfId="0" applyFont="1" applyBorder="1"/>
    <xf numFmtId="0" fontId="38" fillId="0" borderId="1" xfId="0" applyFont="1" applyFill="1" applyBorder="1" applyAlignment="1">
      <alignment wrapText="1"/>
    </xf>
    <xf numFmtId="0" fontId="37" fillId="0" borderId="11" xfId="0" applyFont="1" applyBorder="1" applyAlignment="1">
      <alignment horizontal="right"/>
    </xf>
    <xf numFmtId="3" fontId="0" fillId="0" borderId="13" xfId="0" applyNumberFormat="1" applyFill="1" applyBorder="1"/>
    <xf numFmtId="3" fontId="1" fillId="0" borderId="13" xfId="0" applyNumberFormat="1" applyFont="1" applyBorder="1" applyAlignment="1">
      <alignment horizontal="right"/>
    </xf>
    <xf numFmtId="3" fontId="0" fillId="0" borderId="13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44" fillId="0" borderId="1" xfId="0" applyFont="1" applyBorder="1"/>
    <xf numFmtId="166" fontId="44" fillId="0" borderId="14" xfId="0" applyNumberFormat="1" applyFont="1" applyBorder="1" applyAlignment="1">
      <alignment horizontal="right" wrapText="1"/>
    </xf>
    <xf numFmtId="0" fontId="37" fillId="0" borderId="11" xfId="0" applyFont="1" applyBorder="1" applyAlignment="1">
      <alignment horizontal="right" wrapText="1"/>
    </xf>
    <xf numFmtId="0" fontId="37" fillId="0" borderId="8" xfId="0" applyFont="1" applyFill="1" applyBorder="1" applyAlignment="1">
      <alignment horizontal="left"/>
    </xf>
    <xf numFmtId="0" fontId="38" fillId="0" borderId="2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 wrapText="1"/>
    </xf>
    <xf numFmtId="3" fontId="0" fillId="2" borderId="10" xfId="0" applyNumberFormat="1" applyFill="1" applyBorder="1"/>
    <xf numFmtId="3" fontId="0" fillId="0" borderId="15" xfId="0" applyNumberFormat="1" applyFill="1" applyBorder="1"/>
    <xf numFmtId="0" fontId="37" fillId="0" borderId="0" xfId="0" applyFont="1" applyBorder="1" applyAlignment="1">
      <alignment horizontal="right" wrapText="1"/>
    </xf>
    <xf numFmtId="0" fontId="38" fillId="0" borderId="13" xfId="0" applyFont="1" applyBorder="1" applyAlignment="1">
      <alignment wrapText="1"/>
    </xf>
    <xf numFmtId="0" fontId="38" fillId="0" borderId="13" xfId="0" applyFont="1" applyFill="1" applyBorder="1" applyAlignment="1">
      <alignment wrapText="1"/>
    </xf>
    <xf numFmtId="3" fontId="0" fillId="2" borderId="17" xfId="0" applyNumberFormat="1" applyFill="1" applyBorder="1"/>
    <xf numFmtId="3" fontId="0" fillId="2" borderId="15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5" xfId="0" applyFill="1" applyBorder="1"/>
    <xf numFmtId="3" fontId="18" fillId="2" borderId="1" xfId="0" applyNumberFormat="1" applyFont="1" applyFill="1" applyBorder="1"/>
    <xf numFmtId="0" fontId="42" fillId="0" borderId="1" xfId="0" applyFont="1" applyFill="1" applyBorder="1" applyAlignment="1">
      <alignment wrapText="1"/>
    </xf>
    <xf numFmtId="0" fontId="44" fillId="0" borderId="1" xfId="0" applyFont="1" applyFill="1" applyBorder="1" applyAlignment="1">
      <alignment horizontal="right" wrapText="1"/>
    </xf>
    <xf numFmtId="0" fontId="35" fillId="0" borderId="3" xfId="0" applyFont="1" applyFill="1" applyBorder="1" applyAlignment="1">
      <alignment wrapText="1"/>
    </xf>
    <xf numFmtId="0" fontId="35" fillId="0" borderId="11" xfId="0" applyFont="1" applyBorder="1" applyAlignment="1">
      <alignment horizontal="right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20" xfId="0" applyNumberFormat="1" applyFill="1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52" fillId="0" borderId="0" xfId="0" applyFont="1"/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left"/>
    </xf>
    <xf numFmtId="0" fontId="42" fillId="0" borderId="0" xfId="0" applyFont="1" applyFill="1" applyBorder="1"/>
    <xf numFmtId="0" fontId="52" fillId="0" borderId="0" xfId="0" applyFont="1" applyAlignment="1">
      <alignment horizontal="right"/>
    </xf>
    <xf numFmtId="0" fontId="52" fillId="0" borderId="0" xfId="0" applyFont="1" applyAlignment="1">
      <alignment vertical="center"/>
    </xf>
    <xf numFmtId="0" fontId="42" fillId="0" borderId="0" xfId="0" applyFont="1" applyBorder="1"/>
    <xf numFmtId="1" fontId="18" fillId="0" borderId="13" xfId="0" applyNumberFormat="1" applyFont="1" applyFill="1" applyBorder="1" applyAlignment="1">
      <alignment horizontal="right" wrapText="1"/>
    </xf>
    <xf numFmtId="1" fontId="18" fillId="0" borderId="1" xfId="0" applyNumberFormat="1" applyFont="1" applyFill="1" applyBorder="1" applyAlignment="1">
      <alignment horizontal="right" wrapText="1"/>
    </xf>
    <xf numFmtId="0" fontId="44" fillId="0" borderId="13" xfId="0" applyFont="1" applyFill="1" applyBorder="1" applyAlignment="1">
      <alignment wrapText="1"/>
    </xf>
    <xf numFmtId="0" fontId="47" fillId="0" borderId="13" xfId="0" applyFont="1" applyBorder="1" applyAlignment="1">
      <alignment horizontal="right" wrapText="1"/>
    </xf>
    <xf numFmtId="0" fontId="0" fillId="2" borderId="13" xfId="0" applyFill="1" applyBorder="1"/>
    <xf numFmtId="0" fontId="37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3" xfId="0" applyFont="1" applyFill="1" applyBorder="1"/>
    <xf numFmtId="0" fontId="37" fillId="0" borderId="1" xfId="0" applyFont="1" applyFill="1" applyBorder="1"/>
    <xf numFmtId="0" fontId="37" fillId="0" borderId="1" xfId="0" applyFont="1" applyBorder="1"/>
    <xf numFmtId="3" fontId="14" fillId="0" borderId="13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/>
    </xf>
    <xf numFmtId="0" fontId="15" fillId="2" borderId="13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center" wrapText="1"/>
    </xf>
    <xf numFmtId="0" fontId="40" fillId="0" borderId="13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right"/>
    </xf>
    <xf numFmtId="49" fontId="0" fillId="0" borderId="13" xfId="0" applyNumberFormat="1" applyFill="1" applyBorder="1" applyAlignment="1">
      <alignment horizontal="right" wrapText="1"/>
    </xf>
    <xf numFmtId="0" fontId="41" fillId="0" borderId="13" xfId="0" applyFont="1" applyFill="1" applyBorder="1" applyAlignment="1">
      <alignment horizontal="center"/>
    </xf>
    <xf numFmtId="166" fontId="40" fillId="0" borderId="13" xfId="0" applyNumberFormat="1" applyFont="1" applyFill="1" applyBorder="1" applyAlignment="1">
      <alignment horizontal="center"/>
    </xf>
    <xf numFmtId="3" fontId="42" fillId="2" borderId="13" xfId="0" applyNumberFormat="1" applyFont="1" applyFill="1" applyBorder="1" applyAlignment="1"/>
    <xf numFmtId="3" fontId="40" fillId="0" borderId="13" xfId="0" applyNumberFormat="1" applyFont="1" applyFill="1" applyBorder="1" applyAlignment="1"/>
    <xf numFmtId="3" fontId="42" fillId="0" borderId="13" xfId="0" applyNumberFormat="1" applyFont="1" applyFill="1" applyBorder="1" applyAlignment="1"/>
    <xf numFmtId="49" fontId="0" fillId="0" borderId="13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right" wrapText="1"/>
    </xf>
    <xf numFmtId="0" fontId="42" fillId="2" borderId="13" xfId="0" applyFont="1" applyFill="1" applyBorder="1"/>
    <xf numFmtId="0" fontId="42" fillId="0" borderId="13" xfId="0" applyFont="1" applyFill="1" applyBorder="1" applyAlignment="1">
      <alignment horizontal="center"/>
    </xf>
    <xf numFmtId="0" fontId="0" fillId="0" borderId="13" xfId="0" applyNumberFormat="1" applyFill="1" applyBorder="1" applyAlignment="1">
      <alignment wrapText="1"/>
    </xf>
    <xf numFmtId="3" fontId="40" fillId="0" borderId="13" xfId="0" applyNumberFormat="1" applyFont="1" applyFill="1" applyBorder="1" applyAlignment="1">
      <alignment wrapText="1"/>
    </xf>
    <xf numFmtId="0" fontId="42" fillId="0" borderId="13" xfId="0" applyFont="1" applyFill="1" applyBorder="1"/>
    <xf numFmtId="0" fontId="41" fillId="0" borderId="13" xfId="0" applyFont="1" applyFill="1" applyBorder="1" applyAlignment="1">
      <alignment horizontal="right"/>
    </xf>
    <xf numFmtId="3" fontId="42" fillId="0" borderId="13" xfId="0" applyNumberFormat="1" applyFont="1" applyFill="1" applyBorder="1"/>
    <xf numFmtId="3" fontId="40" fillId="2" borderId="13" xfId="0" applyNumberFormat="1" applyFont="1" applyFill="1" applyBorder="1" applyAlignment="1">
      <alignment horizontal="center"/>
    </xf>
    <xf numFmtId="3" fontId="40" fillId="0" borderId="13" xfId="0" applyNumberFormat="1" applyFont="1" applyFill="1" applyBorder="1" applyAlignment="1">
      <alignment horizontal="right"/>
    </xf>
    <xf numFmtId="3" fontId="40" fillId="2" borderId="13" xfId="0" applyNumberFormat="1" applyFont="1" applyFill="1" applyBorder="1" applyAlignment="1"/>
    <xf numFmtId="49" fontId="42" fillId="0" borderId="13" xfId="0" applyNumberFormat="1" applyFont="1" applyFill="1" applyBorder="1" applyAlignment="1">
      <alignment horizontal="center"/>
    </xf>
    <xf numFmtId="164" fontId="37" fillId="0" borderId="13" xfId="0" applyNumberFormat="1" applyFont="1" applyBorder="1" applyAlignment="1">
      <alignment horizontal="left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right" vertical="center" wrapText="1"/>
    </xf>
    <xf numFmtId="3" fontId="0" fillId="0" borderId="13" xfId="0" applyNumberFormat="1" applyFill="1" applyBorder="1" applyAlignment="1">
      <alignment horizontal="right" vertical="center" wrapText="1"/>
    </xf>
    <xf numFmtId="3" fontId="0" fillId="2" borderId="13" xfId="0" applyNumberFormat="1" applyFill="1" applyBorder="1" applyAlignment="1">
      <alignment horizontal="right" vertical="center" wrapText="1"/>
    </xf>
    <xf numFmtId="0" fontId="0" fillId="0" borderId="13" xfId="0" applyBorder="1" applyAlignment="1"/>
    <xf numFmtId="0" fontId="35" fillId="0" borderId="0" xfId="0" applyFont="1" applyBorder="1" applyAlignment="1">
      <alignment horizontal="right"/>
    </xf>
    <xf numFmtId="0" fontId="37" fillId="0" borderId="13" xfId="0" applyFont="1" applyFill="1" applyBorder="1"/>
    <xf numFmtId="0" fontId="0" fillId="0" borderId="25" xfId="0" applyFont="1" applyBorder="1"/>
    <xf numFmtId="166" fontId="1" fillId="0" borderId="1" xfId="0" applyNumberFormat="1" applyFont="1" applyBorder="1" applyAlignment="1">
      <alignment wrapText="1"/>
    </xf>
    <xf numFmtId="166" fontId="1" fillId="0" borderId="2" xfId="0" applyNumberFormat="1" applyFont="1" applyBorder="1" applyAlignment="1">
      <alignment wrapText="1"/>
    </xf>
    <xf numFmtId="166" fontId="0" fillId="0" borderId="1" xfId="0" applyNumberFormat="1" applyFont="1" applyBorder="1"/>
    <xf numFmtId="166" fontId="0" fillId="0" borderId="0" xfId="0" applyNumberFormat="1"/>
    <xf numFmtId="166" fontId="0" fillId="0" borderId="0" xfId="0" applyNumberFormat="1" applyFont="1"/>
    <xf numFmtId="166" fontId="0" fillId="0" borderId="13" xfId="0" applyNumberFormat="1" applyFont="1" applyBorder="1"/>
    <xf numFmtId="166" fontId="1" fillId="0" borderId="13" xfId="0" applyNumberFormat="1" applyFont="1" applyBorder="1" applyAlignment="1">
      <alignment wrapText="1"/>
    </xf>
    <xf numFmtId="166" fontId="0" fillId="0" borderId="35" xfId="0" applyNumberFormat="1" applyFont="1" applyBorder="1"/>
    <xf numFmtId="0" fontId="21" fillId="0" borderId="1" xfId="0" applyFont="1" applyBorder="1" applyAlignment="1">
      <alignment horizontal="right"/>
    </xf>
    <xf numFmtId="0" fontId="37" fillId="0" borderId="13" xfId="0" applyFont="1" applyBorder="1"/>
    <xf numFmtId="0" fontId="43" fillId="0" borderId="1" xfId="0" applyFont="1" applyFill="1" applyBorder="1" applyAlignment="1">
      <alignment horizontal="right" wrapText="1"/>
    </xf>
    <xf numFmtId="0" fontId="45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37" fillId="0" borderId="13" xfId="0" applyFont="1" applyBorder="1" applyAlignment="1">
      <alignment horizontal="right"/>
    </xf>
    <xf numFmtId="0" fontId="0" fillId="0" borderId="36" xfId="0" applyBorder="1" applyAlignment="1">
      <alignment wrapText="1"/>
    </xf>
    <xf numFmtId="0" fontId="37" fillId="0" borderId="13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42" fillId="0" borderId="14" xfId="0" applyFont="1" applyBorder="1" applyAlignment="1"/>
    <xf numFmtId="0" fontId="42" fillId="0" borderId="0" xfId="0" applyFont="1" applyAlignment="1">
      <alignment wrapText="1"/>
    </xf>
    <xf numFmtId="164" fontId="42" fillId="0" borderId="0" xfId="0" applyNumberFormat="1" applyFont="1" applyAlignment="1">
      <alignment horizontal="center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20" xfId="0" applyNumberFormat="1" applyFill="1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center" vertical="center" wrapText="1"/>
    </xf>
    <xf numFmtId="0" fontId="38" fillId="0" borderId="12" xfId="0" applyFont="1" applyBorder="1"/>
    <xf numFmtId="0" fontId="38" fillId="0" borderId="12" xfId="0" applyFont="1" applyBorder="1" applyAlignment="1">
      <alignment wrapText="1"/>
    </xf>
    <xf numFmtId="0" fontId="50" fillId="3" borderId="1" xfId="0" applyFont="1" applyFill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3" fontId="38" fillId="3" borderId="13" xfId="0" applyNumberFormat="1" applyFont="1" applyFill="1" applyBorder="1"/>
    <xf numFmtId="3" fontId="0" fillId="3" borderId="1" xfId="0" applyNumberFormat="1" applyFill="1" applyBorder="1"/>
    <xf numFmtId="166" fontId="0" fillId="0" borderId="0" xfId="0" applyNumberFormat="1" applyBorder="1"/>
    <xf numFmtId="0" fontId="4" fillId="3" borderId="2" xfId="0" applyFont="1" applyFill="1" applyBorder="1" applyAlignment="1">
      <alignment horizontal="center" vertical="center"/>
    </xf>
    <xf numFmtId="166" fontId="0" fillId="0" borderId="12" xfId="0" applyNumberFormat="1" applyBorder="1"/>
    <xf numFmtId="3" fontId="0" fillId="2" borderId="12" xfId="0" applyNumberFormat="1" applyFill="1" applyBorder="1"/>
    <xf numFmtId="3" fontId="0" fillId="0" borderId="12" xfId="0" applyNumberFormat="1" applyFill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3" borderId="1" xfId="0" applyNumberFormat="1" applyFill="1" applyBorder="1" applyAlignment="1">
      <alignment wrapText="1"/>
    </xf>
    <xf numFmtId="0" fontId="5" fillId="0" borderId="2" xfId="0" applyFont="1" applyFill="1" applyBorder="1" applyAlignment="1">
      <alignment horizontal="right" wrapText="1"/>
    </xf>
    <xf numFmtId="166" fontId="0" fillId="0" borderId="2" xfId="0" applyNumberFormat="1" applyFill="1" applyBorder="1" applyAlignment="1">
      <alignment wrapText="1"/>
    </xf>
    <xf numFmtId="3" fontId="0" fillId="3" borderId="13" xfId="0" applyNumberFormat="1" applyFill="1" applyBorder="1"/>
    <xf numFmtId="3" fontId="6" fillId="3" borderId="1" xfId="0" applyNumberFormat="1" applyFont="1" applyFill="1" applyBorder="1" applyAlignment="1">
      <alignment wrapText="1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20" xfId="0" applyNumberForma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/>
    </xf>
    <xf numFmtId="164" fontId="0" fillId="0" borderId="13" xfId="0" applyNumberFormat="1" applyFill="1" applyBorder="1"/>
    <xf numFmtId="0" fontId="4" fillId="3" borderId="13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37" fillId="0" borderId="0" xfId="0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50" fillId="5" borderId="1" xfId="0" applyFont="1" applyFill="1" applyBorder="1" applyAlignment="1">
      <alignment horizontal="center" vertical="center"/>
    </xf>
    <xf numFmtId="3" fontId="0" fillId="5" borderId="1" xfId="0" applyNumberFormat="1" applyFill="1" applyBorder="1"/>
    <xf numFmtId="0" fontId="38" fillId="0" borderId="2" xfId="0" applyFont="1" applyFill="1" applyBorder="1"/>
    <xf numFmtId="0" fontId="37" fillId="0" borderId="0" xfId="0" applyFont="1" applyFill="1" applyBorder="1" applyAlignment="1">
      <alignment horizontal="left"/>
    </xf>
    <xf numFmtId="166" fontId="42" fillId="0" borderId="13" xfId="0" applyNumberFormat="1" applyFont="1" applyFill="1" applyBorder="1" applyAlignment="1">
      <alignment horizontal="center"/>
    </xf>
    <xf numFmtId="166" fontId="42" fillId="0" borderId="1" xfId="0" applyNumberFormat="1" applyFont="1" applyFill="1" applyBorder="1" applyAlignment="1">
      <alignment horizontal="center"/>
    </xf>
    <xf numFmtId="0" fontId="50" fillId="5" borderId="13" xfId="0" applyFont="1" applyFill="1" applyBorder="1" applyAlignment="1">
      <alignment horizontal="center" vertical="center"/>
    </xf>
    <xf numFmtId="165" fontId="42" fillId="0" borderId="0" xfId="0" applyNumberFormat="1" applyFont="1" applyFill="1"/>
    <xf numFmtId="0" fontId="52" fillId="0" borderId="13" xfId="0" applyFont="1" applyFill="1" applyBorder="1" applyAlignment="1">
      <alignment horizontal="center"/>
    </xf>
    <xf numFmtId="3" fontId="42" fillId="6" borderId="13" xfId="0" applyNumberFormat="1" applyFont="1" applyFill="1" applyBorder="1" applyAlignment="1">
      <alignment horizontal="right"/>
    </xf>
    <xf numFmtId="0" fontId="42" fillId="0" borderId="0" xfId="0" applyFont="1" applyFill="1" applyAlignment="1">
      <alignment horizontal="center"/>
    </xf>
    <xf numFmtId="3" fontId="40" fillId="6" borderId="1" xfId="0" applyNumberFormat="1" applyFont="1" applyFill="1" applyBorder="1" applyAlignment="1"/>
    <xf numFmtId="3" fontId="15" fillId="5" borderId="13" xfId="0" applyNumberFormat="1" applyFont="1" applyFill="1" applyBorder="1"/>
    <xf numFmtId="0" fontId="18" fillId="0" borderId="1" xfId="0" applyFont="1" applyFill="1" applyBorder="1" applyAlignment="1">
      <alignment horizontal="right"/>
    </xf>
    <xf numFmtId="3" fontId="14" fillId="5" borderId="1" xfId="0" applyNumberFormat="1" applyFont="1" applyFill="1" applyBorder="1" applyAlignment="1"/>
    <xf numFmtId="0" fontId="0" fillId="0" borderId="0" xfId="0" applyBorder="1" applyAlignment="1">
      <alignment horizontal="right"/>
    </xf>
    <xf numFmtId="0" fontId="50" fillId="3" borderId="13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0" fontId="44" fillId="0" borderId="1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23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right" wrapText="1"/>
    </xf>
    <xf numFmtId="0" fontId="50" fillId="3" borderId="13" xfId="0" applyFont="1" applyFill="1" applyBorder="1" applyAlignment="1">
      <alignment horizontal="center" vertical="center"/>
    </xf>
    <xf numFmtId="3" fontId="0" fillId="3" borderId="1" xfId="0" applyNumberFormat="1" applyFont="1" applyFill="1" applyBorder="1"/>
    <xf numFmtId="0" fontId="50" fillId="3" borderId="2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right"/>
    </xf>
    <xf numFmtId="0" fontId="35" fillId="0" borderId="1" xfId="0" applyFont="1" applyBorder="1" applyAlignment="1">
      <alignment horizontal="right"/>
    </xf>
    <xf numFmtId="0" fontId="38" fillId="0" borderId="1" xfId="0" applyFont="1" applyBorder="1" applyAlignment="1"/>
    <xf numFmtId="0" fontId="50" fillId="3" borderId="1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0" fillId="3" borderId="13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8" xfId="0" applyFill="1" applyBorder="1"/>
    <xf numFmtId="0" fontId="0" fillId="0" borderId="12" xfId="0" applyFill="1" applyBorder="1" applyAlignment="1">
      <alignment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0" xfId="0" applyBorder="1" applyAlignment="1"/>
    <xf numFmtId="0" fontId="44" fillId="0" borderId="2" xfId="0" applyFont="1" applyBorder="1" applyAlignment="1">
      <alignment horizontal="center" wrapText="1"/>
    </xf>
    <xf numFmtId="0" fontId="44" fillId="0" borderId="6" xfId="0" applyFont="1" applyFill="1" applyBorder="1" applyAlignment="1">
      <alignment horizontal="center" wrapText="1"/>
    </xf>
    <xf numFmtId="3" fontId="37" fillId="3" borderId="34" xfId="0" applyNumberFormat="1" applyFont="1" applyFill="1" applyBorder="1"/>
    <xf numFmtId="3" fontId="44" fillId="2" borderId="1" xfId="0" applyNumberFormat="1" applyFont="1" applyFill="1" applyBorder="1"/>
    <xf numFmtId="0" fontId="0" fillId="0" borderId="0" xfId="0" applyFill="1" applyBorder="1" applyAlignment="1">
      <alignment horizontal="left"/>
    </xf>
    <xf numFmtId="0" fontId="22" fillId="3" borderId="1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22" fillId="3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38" fillId="0" borderId="1" xfId="0" applyFont="1" applyBorder="1" applyAlignment="1">
      <alignment horizontal="left"/>
    </xf>
    <xf numFmtId="0" fontId="50" fillId="3" borderId="14" xfId="0" applyFont="1" applyFill="1" applyBorder="1" applyAlignment="1">
      <alignment horizontal="center" vertical="center"/>
    </xf>
    <xf numFmtId="0" fontId="37" fillId="0" borderId="5" xfId="0" applyFont="1" applyFill="1" applyBorder="1"/>
    <xf numFmtId="0" fontId="0" fillId="0" borderId="9" xfId="0" applyBorder="1" applyAlignment="1">
      <alignment horizontal="center"/>
    </xf>
    <xf numFmtId="0" fontId="47" fillId="0" borderId="1" xfId="0" applyFont="1" applyBorder="1"/>
    <xf numFmtId="0" fontId="35" fillId="0" borderId="1" xfId="0" applyFont="1" applyBorder="1"/>
    <xf numFmtId="0" fontId="44" fillId="0" borderId="2" xfId="0" applyFont="1" applyBorder="1" applyAlignment="1">
      <alignment wrapText="1"/>
    </xf>
    <xf numFmtId="0" fontId="44" fillId="0" borderId="2" xfId="0" applyFont="1" applyBorder="1"/>
    <xf numFmtId="0" fontId="47" fillId="0" borderId="8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3" fontId="4" fillId="3" borderId="34" xfId="0" applyNumberFormat="1" applyFont="1" applyFill="1" applyBorder="1"/>
    <xf numFmtId="0" fontId="38" fillId="0" borderId="1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3" borderId="36" xfId="0" applyFill="1" applyBorder="1"/>
    <xf numFmtId="3" fontId="0" fillId="3" borderId="13" xfId="0" applyNumberFormat="1" applyFill="1" applyBorder="1" applyAlignment="1">
      <alignment wrapText="1"/>
    </xf>
    <xf numFmtId="3" fontId="0" fillId="0" borderId="32" xfId="0" applyNumberFormat="1" applyBorder="1" applyAlignment="1">
      <alignment horizontal="right" wrapText="1"/>
    </xf>
    <xf numFmtId="3" fontId="0" fillId="3" borderId="36" xfId="0" applyNumberFormat="1" applyFill="1" applyBorder="1"/>
    <xf numFmtId="3" fontId="0" fillId="3" borderId="36" xfId="0" applyNumberFormat="1" applyFill="1" applyBorder="1" applyAlignment="1">
      <alignment horizontal="right"/>
    </xf>
    <xf numFmtId="0" fontId="38" fillId="0" borderId="12" xfId="0" applyFont="1" applyBorder="1" applyAlignment="1"/>
    <xf numFmtId="0" fontId="38" fillId="0" borderId="13" xfId="0" applyFont="1" applyBorder="1"/>
    <xf numFmtId="0" fontId="0" fillId="0" borderId="2" xfId="0" applyBorder="1" applyAlignment="1">
      <alignment horizontal="center" vertical="center"/>
    </xf>
    <xf numFmtId="3" fontId="0" fillId="7" borderId="1" xfId="0" applyNumberFormat="1" applyFill="1" applyBorder="1" applyAlignment="1">
      <alignment horizontal="right"/>
    </xf>
    <xf numFmtId="166" fontId="0" fillId="0" borderId="25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3" fontId="4" fillId="3" borderId="34" xfId="0" applyNumberFormat="1" applyFont="1" applyFill="1" applyBorder="1" applyAlignment="1">
      <alignment horizontal="right"/>
    </xf>
    <xf numFmtId="0" fontId="53" fillId="0" borderId="0" xfId="0" applyFont="1" applyAlignment="1">
      <alignment horizontal="left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3" fontId="0" fillId="3" borderId="1" xfId="0" applyNumberFormat="1" applyFill="1" applyBorder="1" applyAlignment="1">
      <alignment horizontal="right" vertical="center" wrapText="1"/>
    </xf>
    <xf numFmtId="3" fontId="0" fillId="0" borderId="13" xfId="0" applyNumberFormat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53" fillId="0" borderId="0" xfId="0" applyFont="1" applyBorder="1"/>
    <xf numFmtId="3" fontId="4" fillId="0" borderId="0" xfId="0" applyNumberFormat="1" applyFont="1" applyBorder="1"/>
    <xf numFmtId="0" fontId="54" fillId="3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right" wrapText="1"/>
    </xf>
    <xf numFmtId="0" fontId="0" fillId="0" borderId="9" xfId="0" applyFill="1" applyBorder="1"/>
    <xf numFmtId="0" fontId="0" fillId="0" borderId="13" xfId="0" applyFill="1" applyBorder="1" applyAlignment="1">
      <alignment vertical="center" wrapText="1"/>
    </xf>
    <xf numFmtId="164" fontId="0" fillId="0" borderId="13" xfId="0" applyNumberFormat="1" applyFill="1" applyBorder="1" applyAlignment="1">
      <alignment horizontal="right" vertical="center" wrapText="1"/>
    </xf>
    <xf numFmtId="0" fontId="0" fillId="2" borderId="13" xfId="0" applyFill="1" applyBorder="1" applyAlignment="1">
      <alignment horizontal="center" vertical="center"/>
    </xf>
    <xf numFmtId="0" fontId="44" fillId="0" borderId="2" xfId="0" applyFont="1" applyBorder="1" applyAlignment="1">
      <alignment horizontal="right" wrapText="1"/>
    </xf>
    <xf numFmtId="3" fontId="0" fillId="0" borderId="32" xfId="0" applyNumberFormat="1" applyFill="1" applyBorder="1"/>
    <xf numFmtId="0" fontId="38" fillId="0" borderId="13" xfId="0" applyFont="1" applyFill="1" applyBorder="1"/>
    <xf numFmtId="0" fontId="18" fillId="0" borderId="13" xfId="0" applyFont="1" applyFill="1" applyBorder="1"/>
    <xf numFmtId="3" fontId="0" fillId="5" borderId="36" xfId="0" applyNumberFormat="1" applyFill="1" applyBorder="1"/>
    <xf numFmtId="3" fontId="4" fillId="5" borderId="34" xfId="0" applyNumberFormat="1" applyFont="1" applyFill="1" applyBorder="1"/>
    <xf numFmtId="0" fontId="0" fillId="3" borderId="1" xfId="0" applyFill="1" applyBorder="1"/>
    <xf numFmtId="0" fontId="38" fillId="3" borderId="1" xfId="0" applyFont="1" applyFill="1" applyBorder="1"/>
    <xf numFmtId="0" fontId="37" fillId="0" borderId="3" xfId="0" applyFont="1" applyBorder="1" applyAlignment="1">
      <alignment horizontal="right"/>
    </xf>
    <xf numFmtId="0" fontId="37" fillId="0" borderId="4" xfId="0" applyFont="1" applyFill="1" applyBorder="1" applyAlignment="1">
      <alignment horizontal="left"/>
    </xf>
    <xf numFmtId="0" fontId="37" fillId="0" borderId="4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7" xfId="0" applyFont="1" applyBorder="1" applyAlignment="1">
      <alignment horizontal="center"/>
    </xf>
    <xf numFmtId="0" fontId="37" fillId="0" borderId="8" xfId="0" applyFont="1" applyBorder="1" applyAlignment="1">
      <alignment horizontal="left"/>
    </xf>
    <xf numFmtId="0" fontId="37" fillId="0" borderId="8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 applyAlignment="1">
      <alignment horizontal="center"/>
    </xf>
    <xf numFmtId="0" fontId="0" fillId="3" borderId="13" xfId="0" applyFill="1" applyBorder="1"/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right"/>
    </xf>
    <xf numFmtId="166" fontId="24" fillId="0" borderId="1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right"/>
    </xf>
    <xf numFmtId="0" fontId="44" fillId="3" borderId="1" xfId="0" applyFont="1" applyFill="1" applyBorder="1"/>
    <xf numFmtId="0" fontId="47" fillId="0" borderId="1" xfId="0" applyFont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right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wrapText="1"/>
    </xf>
    <xf numFmtId="0" fontId="44" fillId="0" borderId="1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38" fillId="0" borderId="13" xfId="0" applyFont="1" applyBorder="1" applyAlignment="1">
      <alignment horizontal="right"/>
    </xf>
    <xf numFmtId="3" fontId="6" fillId="0" borderId="13" xfId="0" applyNumberFormat="1" applyFont="1" applyFill="1" applyBorder="1"/>
    <xf numFmtId="3" fontId="38" fillId="2" borderId="13" xfId="0" applyNumberFormat="1" applyFont="1" applyFill="1" applyBorder="1" applyAlignment="1">
      <alignment wrapText="1"/>
    </xf>
    <xf numFmtId="3" fontId="10" fillId="2" borderId="13" xfId="0" applyNumberFormat="1" applyFont="1" applyFill="1" applyBorder="1" applyAlignment="1">
      <alignment horizontal="center"/>
    </xf>
    <xf numFmtId="3" fontId="38" fillId="0" borderId="13" xfId="0" applyNumberFormat="1" applyFont="1" applyFill="1" applyBorder="1" applyAlignment="1">
      <alignment wrapText="1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wrapText="1"/>
    </xf>
    <xf numFmtId="43" fontId="34" fillId="0" borderId="13" xfId="1" applyFont="1" applyBorder="1"/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37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38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42" fillId="0" borderId="1" xfId="0" applyFont="1" applyBorder="1" applyAlignment="1">
      <alignment horizontal="center"/>
    </xf>
    <xf numFmtId="0" fontId="50" fillId="5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38" fillId="0" borderId="12" xfId="0" applyFont="1" applyFill="1" applyBorder="1"/>
    <xf numFmtId="0" fontId="14" fillId="0" borderId="2" xfId="0" applyFont="1" applyFill="1" applyBorder="1" applyAlignment="1">
      <alignment horizontal="center"/>
    </xf>
    <xf numFmtId="0" fontId="42" fillId="0" borderId="1" xfId="0" applyFont="1" applyBorder="1"/>
    <xf numFmtId="3" fontId="42" fillId="0" borderId="1" xfId="0" applyNumberFormat="1" applyFont="1" applyBorder="1"/>
    <xf numFmtId="3" fontId="42" fillId="5" borderId="1" xfId="0" applyNumberFormat="1" applyFont="1" applyFill="1" applyBorder="1"/>
    <xf numFmtId="0" fontId="42" fillId="0" borderId="1" xfId="0" applyFont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55" fillId="0" borderId="1" xfId="0" applyFont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166" fontId="0" fillId="0" borderId="1" xfId="0" applyNumberFormat="1" applyBorder="1" applyAlignment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0" borderId="0" xfId="0" applyFont="1" applyFill="1"/>
    <xf numFmtId="166" fontId="0" fillId="0" borderId="0" xfId="0" applyNumberFormat="1" applyFont="1" applyFill="1"/>
    <xf numFmtId="3" fontId="0" fillId="0" borderId="0" xfId="0" applyNumberFormat="1" applyFont="1" applyFill="1"/>
    <xf numFmtId="0" fontId="0" fillId="3" borderId="2" xfId="0" applyFont="1" applyFill="1" applyBorder="1"/>
    <xf numFmtId="0" fontId="38" fillId="0" borderId="13" xfId="0" applyFont="1" applyBorder="1" applyAlignment="1"/>
    <xf numFmtId="0" fontId="38" fillId="0" borderId="2" xfId="0" applyFont="1" applyBorder="1" applyAlignment="1"/>
    <xf numFmtId="0" fontId="0" fillId="3" borderId="2" xfId="0" applyFill="1" applyBorder="1"/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0" fillId="0" borderId="17" xfId="0" applyFill="1" applyBorder="1"/>
    <xf numFmtId="3" fontId="0" fillId="0" borderId="17" xfId="0" applyNumberFormat="1" applyBorder="1"/>
    <xf numFmtId="0" fontId="0" fillId="0" borderId="37" xfId="0" applyBorder="1" applyAlignment="1">
      <alignment wrapText="1"/>
    </xf>
    <xf numFmtId="0" fontId="0" fillId="0" borderId="37" xfId="0" applyBorder="1"/>
    <xf numFmtId="49" fontId="0" fillId="3" borderId="1" xfId="0" applyNumberFormat="1" applyFill="1" applyBorder="1" applyAlignment="1">
      <alignment wrapText="1"/>
    </xf>
    <xf numFmtId="49" fontId="0" fillId="3" borderId="13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30" xfId="0" applyNumberForma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3" fontId="0" fillId="4" borderId="1" xfId="0" applyNumberFormat="1" applyFill="1" applyBorder="1"/>
    <xf numFmtId="43" fontId="34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3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/>
    <xf numFmtId="3" fontId="0" fillId="0" borderId="13" xfId="0" applyNumberFormat="1" applyBorder="1" applyAlignment="1"/>
    <xf numFmtId="0" fontId="0" fillId="2" borderId="1" xfId="0" applyFill="1" applyBorder="1" applyAlignment="1"/>
    <xf numFmtId="3" fontId="0" fillId="0" borderId="13" xfId="0" applyNumberFormat="1" applyBorder="1" applyAlignment="1">
      <alignment wrapText="1"/>
    </xf>
    <xf numFmtId="3" fontId="0" fillId="0" borderId="20" xfId="0" applyNumberFormat="1" applyBorder="1" applyAlignment="1">
      <alignment horizontal="right"/>
    </xf>
    <xf numFmtId="0" fontId="37" fillId="0" borderId="13" xfId="0" applyFont="1" applyBorder="1" applyAlignment="1">
      <alignment horizontal="right" wrapText="1"/>
    </xf>
    <xf numFmtId="0" fontId="37" fillId="0" borderId="1" xfId="0" applyFont="1" applyBorder="1" applyAlignment="1">
      <alignment wrapText="1"/>
    </xf>
    <xf numFmtId="3" fontId="0" fillId="5" borderId="36" xfId="0" applyNumberFormat="1" applyFill="1" applyBorder="1" applyAlignment="1">
      <alignment horizontal="right"/>
    </xf>
    <xf numFmtId="3" fontId="0" fillId="0" borderId="15" xfId="0" applyNumberFormat="1" applyBorder="1" applyAlignment="1"/>
    <xf numFmtId="3" fontId="0" fillId="0" borderId="40" xfId="0" applyNumberFormat="1" applyBorder="1" applyAlignment="1"/>
    <xf numFmtId="0" fontId="0" fillId="3" borderId="36" xfId="0" applyFill="1" applyBorder="1" applyAlignment="1"/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8" fillId="0" borderId="13" xfId="0" applyFont="1" applyBorder="1" applyAlignment="1">
      <alignment horizontal="left" wrapText="1"/>
    </xf>
    <xf numFmtId="12" fontId="38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6" fontId="38" fillId="0" borderId="1" xfId="0" applyNumberFormat="1" applyFont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0" fillId="3" borderId="1" xfId="0" applyFill="1" applyBorder="1" applyAlignment="1"/>
    <xf numFmtId="3" fontId="18" fillId="0" borderId="1" xfId="0" applyNumberFormat="1" applyFont="1" applyFill="1" applyBorder="1"/>
    <xf numFmtId="164" fontId="18" fillId="0" borderId="1" xfId="0" applyNumberFormat="1" applyFont="1" applyFill="1" applyBorder="1" applyAlignment="1">
      <alignment horizontal="center"/>
    </xf>
    <xf numFmtId="3" fontId="18" fillId="4" borderId="1" xfId="0" applyNumberFormat="1" applyFont="1" applyFill="1" applyBorder="1"/>
    <xf numFmtId="0" fontId="18" fillId="4" borderId="1" xfId="0" applyFont="1" applyFill="1" applyBorder="1"/>
    <xf numFmtId="0" fontId="18" fillId="0" borderId="2" xfId="0" applyFont="1" applyBorder="1" applyAlignment="1">
      <alignment horizontal="left"/>
    </xf>
    <xf numFmtId="0" fontId="56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66" fontId="0" fillId="0" borderId="0" xfId="0" applyNumberFormat="1" applyFill="1" applyBorder="1" applyAlignment="1">
      <alignment horizontal="center" vertical="center" wrapText="1"/>
    </xf>
    <xf numFmtId="0" fontId="57" fillId="0" borderId="0" xfId="0" applyFont="1" applyBorder="1"/>
    <xf numFmtId="0" fontId="0" fillId="0" borderId="0" xfId="0" applyAlignment="1">
      <alignment horizontal="center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30" xfId="0" applyNumberFormat="1" applyFill="1" applyBorder="1" applyAlignment="1">
      <alignment horizontal="center" vertical="center" wrapText="1"/>
    </xf>
    <xf numFmtId="0" fontId="45" fillId="0" borderId="41" xfId="0" applyFont="1" applyBorder="1" applyAlignment="1">
      <alignment horizontal="center" wrapText="1"/>
    </xf>
    <xf numFmtId="164" fontId="0" fillId="0" borderId="13" xfId="0" applyNumberFormat="1" applyBorder="1"/>
    <xf numFmtId="0" fontId="50" fillId="3" borderId="12" xfId="0" applyFont="1" applyFill="1" applyBorder="1" applyAlignment="1">
      <alignment horizontal="center" vertical="center"/>
    </xf>
    <xf numFmtId="3" fontId="0" fillId="0" borderId="17" xfId="0" applyNumberFormat="1" applyFill="1" applyBorder="1"/>
    <xf numFmtId="166" fontId="0" fillId="0" borderId="1" xfId="0" applyNumberFormat="1" applyFont="1" applyFill="1" applyBorder="1"/>
    <xf numFmtId="166" fontId="1" fillId="0" borderId="1" xfId="0" applyNumberFormat="1" applyFont="1" applyFill="1" applyBorder="1" applyAlignment="1">
      <alignment wrapText="1"/>
    </xf>
    <xf numFmtId="3" fontId="0" fillId="2" borderId="13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/>
    <xf numFmtId="3" fontId="0" fillId="2" borderId="2" xfId="0" applyNumberFormat="1" applyFont="1" applyFill="1" applyBorder="1" applyAlignment="1"/>
    <xf numFmtId="3" fontId="0" fillId="0" borderId="2" xfId="0" applyNumberFormat="1" applyFont="1" applyFill="1" applyBorder="1" applyAlignment="1"/>
    <xf numFmtId="0" fontId="0" fillId="0" borderId="25" xfId="0" applyFont="1" applyBorder="1" applyAlignment="1">
      <alignment wrapText="1"/>
    </xf>
    <xf numFmtId="3" fontId="0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31" fillId="0" borderId="1" xfId="0" applyFont="1" applyBorder="1" applyAlignment="1">
      <alignment horizontal="right"/>
    </xf>
    <xf numFmtId="0" fontId="31" fillId="0" borderId="1" xfId="0" applyFont="1" applyBorder="1" applyAlignment="1">
      <alignment horizontal="left"/>
    </xf>
    <xf numFmtId="3" fontId="4" fillId="3" borderId="36" xfId="0" applyNumberFormat="1" applyFont="1" applyFill="1" applyBorder="1"/>
    <xf numFmtId="0" fontId="58" fillId="0" borderId="1" xfId="0" applyFont="1" applyBorder="1" applyAlignment="1">
      <alignment horizontal="center" wrapText="1"/>
    </xf>
    <xf numFmtId="166" fontId="0" fillId="0" borderId="13" xfId="0" applyNumberFormat="1" applyBorder="1" applyAlignment="1">
      <alignment horizontal="center"/>
    </xf>
    <xf numFmtId="3" fontId="0" fillId="0" borderId="13" xfId="0" applyNumberFormat="1" applyBorder="1" applyAlignment="1">
      <alignment vertical="center"/>
    </xf>
    <xf numFmtId="0" fontId="0" fillId="7" borderId="13" xfId="0" applyFill="1" applyBorder="1" applyAlignment="1">
      <alignment vertical="center"/>
    </xf>
    <xf numFmtId="3" fontId="0" fillId="7" borderId="1" xfId="0" applyNumberFormat="1" applyFill="1" applyBorder="1" applyAlignment="1"/>
    <xf numFmtId="3" fontId="0" fillId="3" borderId="36" xfId="0" applyNumberFormat="1" applyFill="1" applyBorder="1" applyAlignment="1"/>
    <xf numFmtId="164" fontId="0" fillId="0" borderId="14" xfId="0" applyNumberFormat="1" applyFill="1" applyBorder="1" applyAlignment="1">
      <alignment horizontal="right" vertical="center" wrapText="1"/>
    </xf>
    <xf numFmtId="3" fontId="0" fillId="0" borderId="20" xfId="0" applyNumberFormat="1" applyFill="1" applyBorder="1" applyAlignment="1">
      <alignment horizontal="right" vertical="center" wrapText="1"/>
    </xf>
    <xf numFmtId="3" fontId="0" fillId="2" borderId="18" xfId="0" applyNumberFormat="1" applyFill="1" applyBorder="1" applyAlignment="1">
      <alignment horizontal="right" vertical="center" wrapText="1"/>
    </xf>
    <xf numFmtId="3" fontId="0" fillId="0" borderId="21" xfId="0" applyNumberFormat="1" applyFill="1" applyBorder="1" applyAlignment="1">
      <alignment horizontal="right" vertical="center" wrapText="1"/>
    </xf>
    <xf numFmtId="0" fontId="42" fillId="0" borderId="0" xfId="0" applyFont="1" applyBorder="1" applyAlignment="1">
      <alignment horizontal="center" vertical="center"/>
    </xf>
    <xf numFmtId="166" fontId="44" fillId="0" borderId="14" xfId="0" applyNumberFormat="1" applyFont="1" applyBorder="1"/>
    <xf numFmtId="3" fontId="0" fillId="2" borderId="28" xfId="0" applyNumberFormat="1" applyFont="1" applyFill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3" fontId="44" fillId="0" borderId="23" xfId="0" applyNumberFormat="1" applyFont="1" applyBorder="1" applyAlignment="1">
      <alignment horizontal="right" wrapText="1"/>
    </xf>
    <xf numFmtId="3" fontId="37" fillId="3" borderId="36" xfId="0" applyNumberFormat="1" applyFont="1" applyFill="1" applyBorder="1"/>
    <xf numFmtId="3" fontId="37" fillId="0" borderId="28" xfId="0" applyNumberFormat="1" applyFont="1" applyBorder="1"/>
    <xf numFmtId="0" fontId="37" fillId="7" borderId="17" xfId="0" applyFont="1" applyFill="1" applyBorder="1"/>
    <xf numFmtId="0" fontId="37" fillId="7" borderId="23" xfId="0" applyFont="1" applyFill="1" applyBorder="1"/>
    <xf numFmtId="3" fontId="37" fillId="7" borderId="26" xfId="0" applyNumberFormat="1" applyFont="1" applyFill="1" applyBorder="1"/>
    <xf numFmtId="0" fontId="37" fillId="7" borderId="13" xfId="0" applyFont="1" applyFill="1" applyBorder="1"/>
    <xf numFmtId="3" fontId="37" fillId="0" borderId="13" xfId="0" applyNumberFormat="1" applyFont="1" applyFill="1" applyBorder="1"/>
    <xf numFmtId="3" fontId="37" fillId="0" borderId="27" xfId="0" applyNumberFormat="1" applyFont="1" applyFill="1" applyBorder="1"/>
    <xf numFmtId="3" fontId="37" fillId="0" borderId="24" xfId="0" applyNumberFormat="1" applyFont="1" applyBorder="1"/>
    <xf numFmtId="0" fontId="37" fillId="7" borderId="1" xfId="0" applyFont="1" applyFill="1" applyBorder="1"/>
    <xf numFmtId="0" fontId="37" fillId="7" borderId="32" xfId="0" applyFont="1" applyFill="1" applyBorder="1"/>
    <xf numFmtId="0" fontId="37" fillId="7" borderId="24" xfId="0" applyFont="1" applyFill="1" applyBorder="1"/>
    <xf numFmtId="3" fontId="37" fillId="0" borderId="1" xfId="0" applyNumberFormat="1" applyFont="1" applyBorder="1"/>
    <xf numFmtId="3" fontId="37" fillId="0" borderId="1" xfId="0" applyNumberFormat="1" applyFont="1" applyFill="1" applyBorder="1"/>
    <xf numFmtId="3" fontId="37" fillId="0" borderId="32" xfId="0" applyNumberFormat="1" applyFont="1" applyFill="1" applyBorder="1"/>
    <xf numFmtId="3" fontId="37" fillId="0" borderId="24" xfId="0" applyNumberFormat="1" applyFont="1" applyFill="1" applyBorder="1"/>
    <xf numFmtId="3" fontId="37" fillId="7" borderId="1" xfId="0" applyNumberFormat="1" applyFont="1" applyFill="1" applyBorder="1"/>
    <xf numFmtId="3" fontId="37" fillId="7" borderId="32" xfId="0" applyNumberFormat="1" applyFont="1" applyFill="1" applyBorder="1"/>
    <xf numFmtId="3" fontId="37" fillId="0" borderId="31" xfId="0" applyNumberFormat="1" applyFont="1" applyFill="1" applyBorder="1"/>
    <xf numFmtId="0" fontId="37" fillId="7" borderId="2" xfId="0" applyFont="1" applyFill="1" applyBorder="1"/>
    <xf numFmtId="3" fontId="37" fillId="7" borderId="2" xfId="0" applyNumberFormat="1" applyFont="1" applyFill="1" applyBorder="1"/>
    <xf numFmtId="3" fontId="37" fillId="7" borderId="30" xfId="0" applyNumberFormat="1" applyFont="1" applyFill="1" applyBorder="1"/>
    <xf numFmtId="3" fontId="37" fillId="0" borderId="20" xfId="0" applyNumberFormat="1" applyFont="1" applyFill="1" applyBorder="1"/>
    <xf numFmtId="0" fontId="37" fillId="7" borderId="18" xfId="0" applyFont="1" applyFill="1" applyBorder="1"/>
    <xf numFmtId="3" fontId="37" fillId="7" borderId="18" xfId="0" applyNumberFormat="1" applyFont="1" applyFill="1" applyBorder="1"/>
    <xf numFmtId="3" fontId="37" fillId="7" borderId="21" xfId="0" applyNumberFormat="1" applyFont="1" applyFill="1" applyBorder="1"/>
    <xf numFmtId="4" fontId="37" fillId="0" borderId="0" xfId="0" applyNumberFormat="1" applyFont="1"/>
    <xf numFmtId="3" fontId="0" fillId="0" borderId="5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0" borderId="0" xfId="0" applyAlignment="1">
      <alignment horizontal="center"/>
    </xf>
    <xf numFmtId="0" fontId="45" fillId="0" borderId="12" xfId="0" applyFont="1" applyFill="1" applyBorder="1" applyAlignment="1">
      <alignment horizontal="center" wrapText="1"/>
    </xf>
    <xf numFmtId="3" fontId="0" fillId="6" borderId="1" xfId="0" applyNumberFormat="1" applyFill="1" applyBorder="1"/>
    <xf numFmtId="3" fontId="59" fillId="0" borderId="1" xfId="0" applyNumberFormat="1" applyFont="1" applyBorder="1"/>
    <xf numFmtId="0" fontId="0" fillId="4" borderId="0" xfId="0" applyFill="1" applyBorder="1"/>
    <xf numFmtId="0" fontId="0" fillId="0" borderId="0" xfId="0" applyAlignment="1">
      <alignment horizontal="center"/>
    </xf>
    <xf numFmtId="3" fontId="60" fillId="0" borderId="1" xfId="0" applyNumberFormat="1" applyFont="1" applyBorder="1"/>
    <xf numFmtId="164" fontId="0" fillId="0" borderId="0" xfId="0" applyNumberFormat="1" applyBorder="1" applyAlignment="1">
      <alignment horizontal="center"/>
    </xf>
    <xf numFmtId="0" fontId="50" fillId="4" borderId="0" xfId="0" applyFont="1" applyFill="1" applyBorder="1" applyAlignment="1">
      <alignment horizontal="center" vertical="center" wrapText="1"/>
    </xf>
    <xf numFmtId="3" fontId="0" fillId="4" borderId="0" xfId="0" applyNumberFormat="1" applyFill="1" applyBorder="1"/>
    <xf numFmtId="0" fontId="0" fillId="0" borderId="1" xfId="0" applyFill="1" applyBorder="1" applyAlignment="1">
      <alignment horizontal="center" wrapText="1"/>
    </xf>
    <xf numFmtId="0" fontId="37" fillId="0" borderId="1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right" wrapText="1"/>
    </xf>
    <xf numFmtId="0" fontId="42" fillId="3" borderId="1" xfId="0" applyFont="1" applyFill="1" applyBorder="1"/>
    <xf numFmtId="3" fontId="61" fillId="0" borderId="1" xfId="0" applyNumberFormat="1" applyFont="1" applyBorder="1"/>
    <xf numFmtId="49" fontId="18" fillId="3" borderId="13" xfId="0" applyNumberFormat="1" applyFont="1" applyFill="1" applyBorder="1" applyAlignment="1">
      <alignment wrapText="1"/>
    </xf>
    <xf numFmtId="49" fontId="0" fillId="3" borderId="13" xfId="0" applyNumberFormat="1" applyFill="1" applyBorder="1" applyAlignment="1">
      <alignment wrapText="1"/>
    </xf>
    <xf numFmtId="49" fontId="18" fillId="3" borderId="1" xfId="0" applyNumberFormat="1" applyFont="1" applyFill="1" applyBorder="1" applyAlignment="1">
      <alignment wrapText="1"/>
    </xf>
    <xf numFmtId="0" fontId="16" fillId="3" borderId="1" xfId="0" applyFont="1" applyFill="1" applyBorder="1" applyAlignment="1">
      <alignment horizontal="left" wrapText="1"/>
    </xf>
    <xf numFmtId="0" fontId="44" fillId="3" borderId="1" xfId="0" applyFont="1" applyFill="1" applyBorder="1" applyAlignment="1">
      <alignment horizontal="left" wrapText="1"/>
    </xf>
    <xf numFmtId="0" fontId="18" fillId="3" borderId="1" xfId="0" applyFont="1" applyFill="1" applyBorder="1"/>
    <xf numFmtId="49" fontId="0" fillId="3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3" fontId="15" fillId="2" borderId="13" xfId="0" applyNumberFormat="1" applyFont="1" applyFill="1" applyBorder="1"/>
    <xf numFmtId="0" fontId="0" fillId="0" borderId="0" xfId="0" applyAlignment="1">
      <alignment horizontal="center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right"/>
    </xf>
    <xf numFmtId="0" fontId="38" fillId="0" borderId="12" xfId="0" applyFont="1" applyFill="1" applyBorder="1" applyAlignment="1"/>
    <xf numFmtId="3" fontId="62" fillId="0" borderId="1" xfId="0" applyNumberFormat="1" applyFont="1" applyFill="1" applyBorder="1"/>
    <xf numFmtId="0" fontId="8" fillId="0" borderId="8" xfId="0" applyFont="1" applyFill="1" applyBorder="1"/>
    <xf numFmtId="3" fontId="0" fillId="5" borderId="13" xfId="0" applyNumberFormat="1" applyFill="1" applyBorder="1"/>
    <xf numFmtId="0" fontId="38" fillId="0" borderId="12" xfId="0" applyFont="1" applyBorder="1" applyAlignment="1">
      <alignment horizontal="left" wrapText="1"/>
    </xf>
    <xf numFmtId="0" fontId="0" fillId="0" borderId="13" xfId="0" applyBorder="1" applyAlignment="1">
      <alignment horizontal="right"/>
    </xf>
    <xf numFmtId="0" fontId="0" fillId="0" borderId="0" xfId="0" applyAlignment="1">
      <alignment horizontal="center"/>
    </xf>
    <xf numFmtId="0" fontId="44" fillId="3" borderId="1" xfId="0" applyFont="1" applyFill="1" applyBorder="1" applyAlignment="1">
      <alignment wrapText="1"/>
    </xf>
    <xf numFmtId="0" fontId="24" fillId="0" borderId="1" xfId="0" applyFont="1" applyBorder="1" applyAlignment="1">
      <alignment horizontal="left"/>
    </xf>
    <xf numFmtId="0" fontId="0" fillId="3" borderId="13" xfId="0" applyFont="1" applyFill="1" applyBorder="1"/>
    <xf numFmtId="0" fontId="0" fillId="0" borderId="0" xfId="0" applyAlignment="1">
      <alignment horizontal="center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right" wrapText="1"/>
    </xf>
    <xf numFmtId="3" fontId="18" fillId="4" borderId="13" xfId="0" applyNumberFormat="1" applyFont="1" applyFill="1" applyBorder="1"/>
    <xf numFmtId="3" fontId="0" fillId="4" borderId="13" xfId="0" applyNumberFormat="1" applyFill="1" applyBorder="1"/>
    <xf numFmtId="0" fontId="18" fillId="0" borderId="12" xfId="0" applyFont="1" applyBorder="1" applyAlignment="1">
      <alignment horizontal="left"/>
    </xf>
    <xf numFmtId="3" fontId="0" fillId="0" borderId="42" xfId="0" applyNumberFormat="1" applyFill="1" applyBorder="1" applyAlignment="1"/>
    <xf numFmtId="3" fontId="0" fillId="0" borderId="43" xfId="0" applyNumberFormat="1" applyFill="1" applyBorder="1" applyAlignment="1"/>
    <xf numFmtId="3" fontId="0" fillId="0" borderId="29" xfId="0" applyNumberFormat="1" applyFill="1" applyBorder="1" applyAlignment="1"/>
    <xf numFmtId="0" fontId="0" fillId="2" borderId="17" xfId="0" applyFill="1" applyBorder="1" applyAlignment="1"/>
    <xf numFmtId="0" fontId="0" fillId="2" borderId="23" xfId="0" applyFill="1" applyBorder="1" applyAlignment="1"/>
    <xf numFmtId="0" fontId="0" fillId="2" borderId="32" xfId="0" applyFill="1" applyBorder="1" applyAlignment="1"/>
    <xf numFmtId="3" fontId="0" fillId="0" borderId="32" xfId="0" applyNumberFormat="1" applyFill="1" applyBorder="1" applyAlignment="1"/>
    <xf numFmtId="3" fontId="0" fillId="2" borderId="18" xfId="0" applyNumberFormat="1" applyFill="1" applyBorder="1" applyAlignment="1"/>
    <xf numFmtId="3" fontId="0" fillId="2" borderId="21" xfId="0" applyNumberFormat="1" applyFill="1" applyBorder="1" applyAlignment="1"/>
    <xf numFmtId="3" fontId="0" fillId="0" borderId="44" xfId="0" applyNumberFormat="1" applyBorder="1" applyAlignment="1">
      <alignment horizontal="right"/>
    </xf>
    <xf numFmtId="0" fontId="37" fillId="0" borderId="45" xfId="0" applyFont="1" applyBorder="1" applyAlignment="1">
      <alignment horizontal="left" vertical="center" wrapText="1"/>
    </xf>
    <xf numFmtId="3" fontId="0" fillId="2" borderId="17" xfId="0" applyNumberFormat="1" applyFill="1" applyBorder="1" applyAlignment="1">
      <alignment horizontal="center"/>
    </xf>
    <xf numFmtId="3" fontId="0" fillId="2" borderId="23" xfId="0" applyNumberFormat="1" applyFill="1" applyBorder="1" applyAlignment="1">
      <alignment horizontal="center"/>
    </xf>
    <xf numFmtId="3" fontId="0" fillId="2" borderId="32" xfId="0" applyNumberFormat="1" applyFill="1" applyBorder="1" applyAlignment="1">
      <alignment horizontal="center"/>
    </xf>
    <xf numFmtId="3" fontId="0" fillId="0" borderId="39" xfId="0" applyNumberFormat="1" applyBorder="1"/>
    <xf numFmtId="0" fontId="0" fillId="0" borderId="33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3" fontId="0" fillId="0" borderId="38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3" fontId="0" fillId="0" borderId="21" xfId="0" applyNumberFormat="1" applyBorder="1" applyAlignment="1">
      <alignment horizontal="right" wrapText="1"/>
    </xf>
    <xf numFmtId="0" fontId="37" fillId="0" borderId="46" xfId="0" applyFont="1" applyFill="1" applyBorder="1" applyAlignment="1">
      <alignment horizontal="left" vertical="center" wrapText="1"/>
    </xf>
    <xf numFmtId="0" fontId="37" fillId="0" borderId="47" xfId="0" applyFont="1" applyFill="1" applyBorder="1" applyAlignment="1">
      <alignment horizontal="left" vertical="center" wrapText="1"/>
    </xf>
    <xf numFmtId="0" fontId="37" fillId="0" borderId="46" xfId="0" applyFont="1" applyBorder="1" applyAlignment="1">
      <alignment horizontal="left"/>
    </xf>
    <xf numFmtId="0" fontId="37" fillId="0" borderId="48" xfId="0" applyFont="1" applyBorder="1" applyAlignment="1">
      <alignment horizontal="left"/>
    </xf>
    <xf numFmtId="3" fontId="0" fillId="0" borderId="24" xfId="0" applyNumberFormat="1" applyBorder="1" applyAlignment="1">
      <alignment horizontal="right"/>
    </xf>
    <xf numFmtId="3" fontId="0" fillId="0" borderId="28" xfId="0" applyNumberFormat="1" applyBorder="1" applyAlignment="1">
      <alignment horizontal="right" vertical="center"/>
    </xf>
    <xf numFmtId="3" fontId="0" fillId="2" borderId="17" xfId="0" applyNumberFormat="1" applyFill="1" applyBorder="1" applyAlignment="1">
      <alignment horizontal="right"/>
    </xf>
    <xf numFmtId="3" fontId="0" fillId="2" borderId="23" xfId="0" applyNumberFormat="1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3" fontId="0" fillId="0" borderId="49" xfId="0" applyNumberFormat="1" applyBorder="1" applyAlignment="1">
      <alignment horizontal="right" vertical="center"/>
    </xf>
    <xf numFmtId="3" fontId="0" fillId="0" borderId="32" xfId="0" applyNumberFormat="1" applyFill="1" applyBorder="1" applyAlignment="1">
      <alignment horizontal="right"/>
    </xf>
    <xf numFmtId="3" fontId="0" fillId="2" borderId="35" xfId="0" applyNumberFormat="1" applyFill="1" applyBorder="1" applyAlignment="1">
      <alignment horizontal="right"/>
    </xf>
    <xf numFmtId="3" fontId="0" fillId="2" borderId="27" xfId="0" applyNumberFormat="1" applyFill="1" applyBorder="1" applyAlignment="1">
      <alignment horizontal="right"/>
    </xf>
    <xf numFmtId="3" fontId="0" fillId="2" borderId="24" xfId="0" applyNumberFormat="1" applyFill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3" fontId="0" fillId="2" borderId="21" xfId="0" applyNumberFormat="1" applyFill="1" applyBorder="1" applyAlignment="1">
      <alignment horizontal="right"/>
    </xf>
    <xf numFmtId="3" fontId="0" fillId="0" borderId="50" xfId="0" applyNumberFormat="1" applyFill="1" applyBorder="1" applyAlignment="1">
      <alignment horizontal="right"/>
    </xf>
    <xf numFmtId="3" fontId="0" fillId="0" borderId="40" xfId="0" applyNumberFormat="1" applyBorder="1" applyAlignment="1">
      <alignment horizontal="right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left"/>
    </xf>
    <xf numFmtId="0" fontId="0" fillId="0" borderId="38" xfId="0" applyBorder="1" applyAlignment="1">
      <alignment horizontal="left" vertical="center" wrapText="1"/>
    </xf>
    <xf numFmtId="3" fontId="0" fillId="0" borderId="28" xfId="0" applyNumberFormat="1" applyBorder="1" applyAlignment="1"/>
    <xf numFmtId="0" fontId="0" fillId="2" borderId="32" xfId="0" applyFill="1" applyBorder="1" applyAlignment="1">
      <alignment horizontal="right"/>
    </xf>
    <xf numFmtId="3" fontId="0" fillId="2" borderId="31" xfId="0" applyNumberForma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3" fontId="0" fillId="2" borderId="20" xfId="0" applyNumberFormat="1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0" fillId="0" borderId="21" xfId="0" applyNumberFormat="1" applyFill="1" applyBorder="1" applyAlignment="1">
      <alignment horizontal="right"/>
    </xf>
    <xf numFmtId="3" fontId="0" fillId="0" borderId="51" xfId="0" applyNumberFormat="1" applyBorder="1" applyAlignment="1">
      <alignment horizontal="right"/>
    </xf>
    <xf numFmtId="0" fontId="37" fillId="0" borderId="33" xfId="0" applyFont="1" applyBorder="1" applyAlignment="1">
      <alignment horizontal="left" vertical="center" wrapText="1"/>
    </xf>
    <xf numFmtId="0" fontId="37" fillId="0" borderId="38" xfId="0" applyFont="1" applyBorder="1" applyAlignment="1">
      <alignment horizontal="left" vertical="center" wrapText="1"/>
    </xf>
    <xf numFmtId="0" fontId="37" fillId="0" borderId="39" xfId="0" applyFont="1" applyBorder="1"/>
    <xf numFmtId="3" fontId="0" fillId="7" borderId="17" xfId="0" applyNumberFormat="1" applyFill="1" applyBorder="1" applyAlignment="1">
      <alignment horizontal="right" vertical="center"/>
    </xf>
    <xf numFmtId="3" fontId="0" fillId="7" borderId="23" xfId="0" applyNumberFormat="1" applyFill="1" applyBorder="1" applyAlignment="1">
      <alignment horizontal="right" vertical="center"/>
    </xf>
    <xf numFmtId="3" fontId="0" fillId="7" borderId="32" xfId="0" applyNumberFormat="1" applyFill="1" applyBorder="1" applyAlignment="1">
      <alignment horizontal="right"/>
    </xf>
    <xf numFmtId="3" fontId="0" fillId="7" borderId="31" xfId="0" applyNumberFormat="1" applyFill="1" applyBorder="1" applyAlignment="1">
      <alignment horizontal="right"/>
    </xf>
    <xf numFmtId="3" fontId="0" fillId="7" borderId="20" xfId="0" applyNumberFormat="1" applyFill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33" xfId="0" applyNumberFormat="1" applyBorder="1" applyAlignment="1">
      <alignment horizontal="right" vertical="center" wrapText="1"/>
    </xf>
    <xf numFmtId="3" fontId="37" fillId="3" borderId="36" xfId="0" applyNumberFormat="1" applyFont="1" applyFill="1" applyBorder="1" applyAlignment="1">
      <alignment horizontal="right"/>
    </xf>
    <xf numFmtId="0" fontId="37" fillId="0" borderId="25" xfId="0" applyFont="1" applyBorder="1" applyAlignment="1">
      <alignment horizontal="left" wrapText="1"/>
    </xf>
    <xf numFmtId="0" fontId="37" fillId="0" borderId="14" xfId="0" applyFont="1" applyBorder="1" applyAlignment="1">
      <alignment horizontal="left" wrapText="1"/>
    </xf>
    <xf numFmtId="0" fontId="37" fillId="0" borderId="41" xfId="0" applyFont="1" applyBorder="1" applyAlignment="1"/>
    <xf numFmtId="0" fontId="37" fillId="0" borderId="14" xfId="0" applyFont="1" applyBorder="1" applyAlignment="1"/>
    <xf numFmtId="3" fontId="0" fillId="2" borderId="17" xfId="0" applyNumberFormat="1" applyFill="1" applyBorder="1" applyAlignment="1">
      <alignment horizontal="right" vertical="center"/>
    </xf>
    <xf numFmtId="3" fontId="0" fillId="2" borderId="23" xfId="0" applyNumberFormat="1" applyFill="1" applyBorder="1" applyAlignment="1">
      <alignment horizontal="right" vertical="center"/>
    </xf>
    <xf numFmtId="3" fontId="0" fillId="2" borderId="32" xfId="0" applyNumberFormat="1" applyFill="1" applyBorder="1" applyAlignment="1">
      <alignment horizontal="right"/>
    </xf>
    <xf numFmtId="3" fontId="0" fillId="7" borderId="24" xfId="0" applyNumberFormat="1" applyFill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0" fontId="0" fillId="0" borderId="39" xfId="0" applyBorder="1" applyAlignment="1">
      <alignment horizontal="left"/>
    </xf>
    <xf numFmtId="3" fontId="0" fillId="3" borderId="34" xfId="0" applyNumberFormat="1" applyFill="1" applyBorder="1"/>
    <xf numFmtId="3" fontId="0" fillId="0" borderId="42" xfId="0" applyNumberFormat="1" applyFill="1" applyBorder="1" applyAlignment="1">
      <alignment horizontal="right"/>
    </xf>
    <xf numFmtId="3" fontId="0" fillId="0" borderId="43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0" borderId="33" xfId="0" applyFill="1" applyBorder="1" applyAlignment="1">
      <alignment horizontal="left" vertical="center" wrapText="1"/>
    </xf>
    <xf numFmtId="0" fontId="0" fillId="0" borderId="28" xfId="0" applyBorder="1" applyAlignment="1">
      <alignment horizontal="right"/>
    </xf>
    <xf numFmtId="0" fontId="0" fillId="7" borderId="17" xfId="0" applyFill="1" applyBorder="1" applyAlignment="1">
      <alignment horizontal="right"/>
    </xf>
    <xf numFmtId="0" fontId="0" fillId="7" borderId="23" xfId="0" applyFill="1" applyBorder="1" applyAlignment="1">
      <alignment horizontal="right"/>
    </xf>
    <xf numFmtId="0" fontId="0" fillId="7" borderId="32" xfId="0" applyFill="1" applyBorder="1" applyAlignment="1">
      <alignment horizontal="right"/>
    </xf>
    <xf numFmtId="0" fontId="32" fillId="0" borderId="1" xfId="0" applyFont="1" applyBorder="1" applyAlignment="1">
      <alignment horizontal="right" wrapText="1"/>
    </xf>
    <xf numFmtId="3" fontId="59" fillId="0" borderId="1" xfId="0" applyNumberFormat="1" applyFont="1" applyFill="1" applyBorder="1" applyAlignment="1"/>
    <xf numFmtId="0" fontId="18" fillId="3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4" fillId="3" borderId="13" xfId="0" applyFont="1" applyFill="1" applyBorder="1"/>
    <xf numFmtId="0" fontId="44" fillId="3" borderId="2" xfId="0" applyFont="1" applyFill="1" applyBorder="1"/>
    <xf numFmtId="0" fontId="44" fillId="0" borderId="0" xfId="0" applyFont="1" applyFill="1" applyBorder="1" applyAlignment="1">
      <alignment horizontal="right" wrapText="1"/>
    </xf>
    <xf numFmtId="0" fontId="57" fillId="3" borderId="13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 wrapText="1"/>
    </xf>
    <xf numFmtId="0" fontId="44" fillId="0" borderId="13" xfId="0" applyFont="1" applyBorder="1"/>
    <xf numFmtId="0" fontId="44" fillId="0" borderId="13" xfId="0" applyFont="1" applyBorder="1" applyAlignment="1">
      <alignment horizontal="right" wrapText="1"/>
    </xf>
    <xf numFmtId="0" fontId="44" fillId="0" borderId="12" xfId="0" applyFont="1" applyBorder="1" applyAlignment="1">
      <alignment horizontal="center" wrapText="1"/>
    </xf>
    <xf numFmtId="3" fontId="37" fillId="3" borderId="1" xfId="0" applyNumberFormat="1" applyFon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44" fillId="2" borderId="20" xfId="0" applyNumberFormat="1" applyFont="1" applyFill="1" applyBorder="1" applyAlignment="1">
      <alignment horizontal="center" vertical="center" wrapText="1"/>
    </xf>
    <xf numFmtId="3" fontId="44" fillId="2" borderId="18" xfId="0" applyNumberFormat="1" applyFont="1" applyFill="1" applyBorder="1" applyAlignment="1">
      <alignment horizontal="center" vertical="center" wrapText="1"/>
    </xf>
    <xf numFmtId="3" fontId="44" fillId="2" borderId="21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wrapText="1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164" fontId="0" fillId="0" borderId="25" xfId="0" applyNumberFormat="1" applyFill="1" applyBorder="1" applyAlignment="1">
      <alignment horizontal="right" vertical="center" wrapText="1"/>
    </xf>
    <xf numFmtId="0" fontId="37" fillId="0" borderId="13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3" fontId="37" fillId="3" borderId="9" xfId="0" applyNumberFormat="1" applyFont="1" applyFill="1" applyBorder="1"/>
    <xf numFmtId="0" fontId="0" fillId="0" borderId="38" xfId="0" applyBorder="1" applyAlignment="1">
      <alignment horizontal="left"/>
    </xf>
    <xf numFmtId="0" fontId="0" fillId="2" borderId="17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3" fontId="0" fillId="0" borderId="24" xfId="0" applyNumberFormat="1" applyBorder="1" applyAlignment="1"/>
    <xf numFmtId="3" fontId="0" fillId="2" borderId="24" xfId="0" applyNumberFormat="1" applyFill="1" applyBorder="1" applyAlignment="1"/>
    <xf numFmtId="3" fontId="0" fillId="0" borderId="20" xfId="0" applyNumberFormat="1" applyFill="1" applyBorder="1" applyAlignment="1"/>
    <xf numFmtId="3" fontId="0" fillId="0" borderId="35" xfId="0" applyNumberFormat="1" applyBorder="1" applyAlignment="1">
      <alignment horizontal="right" vertical="center"/>
    </xf>
    <xf numFmtId="3" fontId="0" fillId="0" borderId="49" xfId="0" applyNumberFormat="1" applyBorder="1" applyAlignment="1">
      <alignment horizontal="right"/>
    </xf>
    <xf numFmtId="3" fontId="0" fillId="2" borderId="52" xfId="0" applyNumberFormat="1" applyFill="1" applyBorder="1"/>
    <xf numFmtId="164" fontId="0" fillId="0" borderId="0" xfId="0" applyNumberFormat="1" applyAlignment="1">
      <alignment horizontal="center" vertical="center"/>
    </xf>
    <xf numFmtId="0" fontId="0" fillId="3" borderId="0" xfId="0" applyFill="1"/>
    <xf numFmtId="0" fontId="14" fillId="3" borderId="1" xfId="0" applyFont="1" applyFill="1" applyBorder="1" applyAlignment="1">
      <alignment horizontal="left" wrapText="1"/>
    </xf>
    <xf numFmtId="0" fontId="38" fillId="0" borderId="1" xfId="0" applyFont="1" applyBorder="1" applyAlignment="1">
      <alignment horizontal="right"/>
    </xf>
    <xf numFmtId="0" fontId="38" fillId="0" borderId="1" xfId="0" applyFont="1" applyFill="1" applyBorder="1" applyAlignment="1"/>
    <xf numFmtId="0" fontId="0" fillId="0" borderId="7" xfId="0" applyFill="1" applyBorder="1"/>
    <xf numFmtId="0" fontId="1" fillId="0" borderId="12" xfId="0" applyFont="1" applyBorder="1"/>
    <xf numFmtId="0" fontId="36" fillId="0" borderId="0" xfId="0" applyFont="1" applyBorder="1"/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right" wrapText="1"/>
    </xf>
    <xf numFmtId="0" fontId="0" fillId="0" borderId="17" xfId="0" applyBorder="1"/>
    <xf numFmtId="0" fontId="38" fillId="0" borderId="2" xfId="0" applyFont="1" applyBorder="1" applyAlignment="1">
      <alignment horizontal="right"/>
    </xf>
    <xf numFmtId="0" fontId="38" fillId="0" borderId="2" xfId="0" applyFont="1" applyFill="1" applyBorder="1" applyAlignment="1"/>
    <xf numFmtId="0" fontId="37" fillId="0" borderId="0" xfId="0" applyFont="1" applyBorder="1" applyAlignment="1">
      <alignment horizontal="center" wrapText="1"/>
    </xf>
    <xf numFmtId="3" fontId="6" fillId="0" borderId="13" xfId="0" applyNumberFormat="1" applyFont="1" applyBorder="1"/>
    <xf numFmtId="3" fontId="38" fillId="2" borderId="13" xfId="0" applyNumberFormat="1" applyFont="1" applyFill="1" applyBorder="1"/>
    <xf numFmtId="3" fontId="7" fillId="2" borderId="13" xfId="0" applyNumberFormat="1" applyFont="1" applyFill="1" applyBorder="1" applyAlignment="1">
      <alignment horizontal="right" wrapText="1"/>
    </xf>
    <xf numFmtId="0" fontId="37" fillId="0" borderId="5" xfId="0" applyFont="1" applyBorder="1" applyAlignment="1"/>
    <xf numFmtId="0" fontId="0" fillId="0" borderId="6" xfId="0" applyBorder="1" applyAlignment="1">
      <alignment wrapText="1"/>
    </xf>
    <xf numFmtId="0" fontId="37" fillId="0" borderId="7" xfId="0" applyFont="1" applyBorder="1" applyAlignment="1"/>
    <xf numFmtId="0" fontId="37" fillId="0" borderId="7" xfId="0" applyFont="1" applyFill="1" applyBorder="1" applyAlignment="1"/>
    <xf numFmtId="0" fontId="37" fillId="0" borderId="9" xfId="0" applyFont="1" applyFill="1" applyBorder="1" applyAlignment="1"/>
    <xf numFmtId="0" fontId="37" fillId="0" borderId="5" xfId="0" applyFont="1" applyFill="1" applyBorder="1" applyAlignment="1"/>
    <xf numFmtId="0" fontId="37" fillId="0" borderId="9" xfId="0" applyFont="1" applyBorder="1" applyAlignment="1"/>
    <xf numFmtId="0" fontId="0" fillId="3" borderId="12" xfId="0" applyFill="1" applyBorder="1" applyAlignment="1">
      <alignment wrapText="1"/>
    </xf>
    <xf numFmtId="0" fontId="5" fillId="0" borderId="13" xfId="0" applyFont="1" applyBorder="1" applyAlignment="1">
      <alignment horizontal="right" wrapText="1"/>
    </xf>
    <xf numFmtId="166" fontId="0" fillId="0" borderId="13" xfId="0" applyNumberFormat="1" applyBorder="1" applyAlignment="1">
      <alignment wrapText="1"/>
    </xf>
    <xf numFmtId="3" fontId="6" fillId="0" borderId="13" xfId="0" applyNumberFormat="1" applyFont="1" applyBorder="1" applyAlignment="1">
      <alignment wrapText="1"/>
    </xf>
    <xf numFmtId="3" fontId="9" fillId="2" borderId="13" xfId="0" applyNumberFormat="1" applyFont="1" applyFill="1" applyBorder="1" applyAlignment="1">
      <alignment horizontal="right" wrapText="1"/>
    </xf>
    <xf numFmtId="0" fontId="37" fillId="0" borderId="9" xfId="0" applyFont="1" applyFill="1" applyBorder="1" applyAlignment="1">
      <alignment horizontal="left"/>
    </xf>
    <xf numFmtId="0" fontId="37" fillId="0" borderId="2" xfId="0" applyFont="1" applyBorder="1"/>
    <xf numFmtId="0" fontId="0" fillId="3" borderId="12" xfId="0" applyFill="1" applyBorder="1"/>
    <xf numFmtId="0" fontId="37" fillId="0" borderId="12" xfId="0" applyFont="1" applyBorder="1"/>
    <xf numFmtId="0" fontId="38" fillId="0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38" fillId="0" borderId="17" xfId="0" applyFont="1" applyBorder="1"/>
    <xf numFmtId="0" fontId="38" fillId="0" borderId="53" xfId="0" applyFont="1" applyBorder="1" applyAlignment="1">
      <alignment wrapText="1"/>
    </xf>
    <xf numFmtId="0" fontId="0" fillId="0" borderId="17" xfId="0" applyBorder="1" applyAlignment="1"/>
    <xf numFmtId="0" fontId="0" fillId="0" borderId="17" xfId="0" applyBorder="1" applyAlignment="1">
      <alignment horizontal="left"/>
    </xf>
    <xf numFmtId="0" fontId="38" fillId="0" borderId="14" xfId="0" applyFont="1" applyBorder="1"/>
    <xf numFmtId="0" fontId="38" fillId="0" borderId="37" xfId="0" applyFont="1" applyBorder="1" applyAlignment="1">
      <alignment wrapText="1"/>
    </xf>
    <xf numFmtId="0" fontId="37" fillId="0" borderId="12" xfId="0" applyFont="1" applyFill="1" applyBorder="1" applyAlignment="1">
      <alignment horizontal="right"/>
    </xf>
    <xf numFmtId="0" fontId="18" fillId="0" borderId="2" xfId="0" applyFont="1" applyFill="1" applyBorder="1"/>
    <xf numFmtId="0" fontId="30" fillId="0" borderId="2" xfId="0" applyFont="1" applyBorder="1" applyAlignment="1">
      <alignment horizontal="left"/>
    </xf>
    <xf numFmtId="0" fontId="37" fillId="0" borderId="2" xfId="0" applyFont="1" applyBorder="1" applyAlignment="1">
      <alignment horizontal="right"/>
    </xf>
    <xf numFmtId="0" fontId="37" fillId="0" borderId="17" xfId="0" applyFont="1" applyBorder="1" applyAlignment="1">
      <alignment horizontal="center"/>
    </xf>
    <xf numFmtId="0" fontId="0" fillId="3" borderId="37" xfId="0" applyFill="1" applyBorder="1"/>
    <xf numFmtId="0" fontId="37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4" fillId="3" borderId="12" xfId="0" applyFont="1" applyFill="1" applyBorder="1"/>
    <xf numFmtId="0" fontId="0" fillId="0" borderId="6" xfId="0" applyFont="1" applyBorder="1"/>
    <xf numFmtId="0" fontId="0" fillId="0" borderId="11" xfId="0" applyFont="1" applyBorder="1"/>
    <xf numFmtId="0" fontId="37" fillId="0" borderId="8" xfId="0" applyFont="1" applyBorder="1" applyAlignment="1">
      <alignment horizontal="right"/>
    </xf>
    <xf numFmtId="0" fontId="0" fillId="0" borderId="37" xfId="0" applyFill="1" applyBorder="1"/>
    <xf numFmtId="0" fontId="37" fillId="0" borderId="37" xfId="0" applyFon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3" fontId="0" fillId="2" borderId="37" xfId="0" applyNumberFormat="1" applyFill="1" applyBorder="1"/>
    <xf numFmtId="0" fontId="1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/>
    </xf>
    <xf numFmtId="0" fontId="37" fillId="0" borderId="6" xfId="0" applyFont="1" applyBorder="1" applyAlignment="1">
      <alignment horizontal="center"/>
    </xf>
    <xf numFmtId="0" fontId="37" fillId="0" borderId="11" xfId="0" applyFont="1" applyFill="1" applyBorder="1"/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37" fillId="0" borderId="3" xfId="0" applyFont="1" applyFill="1" applyBorder="1" applyAlignment="1">
      <alignment horizontal="right"/>
    </xf>
    <xf numFmtId="0" fontId="37" fillId="0" borderId="2" xfId="0" applyFont="1" applyFill="1" applyBorder="1" applyAlignment="1">
      <alignment horizontal="center" wrapText="1"/>
    </xf>
    <xf numFmtId="166" fontId="0" fillId="0" borderId="2" xfId="0" applyNumberFormat="1" applyFill="1" applyBorder="1" applyAlignment="1">
      <alignment horizontal="center" wrapText="1"/>
    </xf>
    <xf numFmtId="0" fontId="37" fillId="0" borderId="0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19" fillId="0" borderId="5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0" fillId="0" borderId="11" xfId="0" applyFill="1" applyBorder="1"/>
    <xf numFmtId="0" fontId="19" fillId="0" borderId="9" xfId="0" applyFont="1" applyBorder="1" applyAlignment="1">
      <alignment horizontal="right"/>
    </xf>
    <xf numFmtId="0" fontId="0" fillId="0" borderId="6" xfId="0" applyFill="1" applyBorder="1" applyAlignment="1">
      <alignment wrapText="1"/>
    </xf>
    <xf numFmtId="0" fontId="37" fillId="0" borderId="6" xfId="0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11" xfId="0" applyFill="1" applyBorder="1" applyAlignment="1">
      <alignment wrapText="1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50" fillId="3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37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7" xfId="0" applyFont="1" applyBorder="1" applyAlignment="1"/>
    <xf numFmtId="0" fontId="1" fillId="0" borderId="37" xfId="0" applyFont="1" applyBorder="1"/>
    <xf numFmtId="0" fontId="0" fillId="0" borderId="0" xfId="0" applyAlignment="1">
      <alignment horizontal="center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21" fillId="0" borderId="5" xfId="0" applyFont="1" applyFill="1" applyBorder="1" applyAlignment="1"/>
    <xf numFmtId="0" fontId="21" fillId="0" borderId="7" xfId="0" applyFont="1" applyFill="1" applyBorder="1" applyAlignment="1"/>
    <xf numFmtId="0" fontId="21" fillId="0" borderId="9" xfId="0" applyFont="1" applyFill="1" applyBorder="1" applyAlignment="1"/>
    <xf numFmtId="0" fontId="0" fillId="0" borderId="17" xfId="0" applyFill="1" applyBorder="1" applyAlignment="1">
      <alignment horizontal="center"/>
    </xf>
    <xf numFmtId="0" fontId="35" fillId="0" borderId="0" xfId="0" applyFont="1" applyFill="1" applyBorder="1"/>
    <xf numFmtId="49" fontId="0" fillId="0" borderId="37" xfId="0" applyNumberFormat="1" applyFill="1" applyBorder="1" applyAlignment="1">
      <alignment horizontal="left"/>
    </xf>
    <xf numFmtId="0" fontId="0" fillId="3" borderId="37" xfId="0" applyFill="1" applyBorder="1" applyAlignment="1">
      <alignment wrapText="1"/>
    </xf>
    <xf numFmtId="0" fontId="0" fillId="0" borderId="37" xfId="0" applyFill="1" applyBorder="1" applyAlignment="1">
      <alignment horizontal="right"/>
    </xf>
    <xf numFmtId="0" fontId="5" fillId="0" borderId="37" xfId="0" applyFont="1" applyFill="1" applyBorder="1" applyAlignment="1">
      <alignment horizontal="left"/>
    </xf>
    <xf numFmtId="0" fontId="35" fillId="0" borderId="4" xfId="0" applyFont="1" applyFill="1" applyBorder="1" applyAlignment="1"/>
    <xf numFmtId="0" fontId="35" fillId="0" borderId="8" xfId="0" applyFont="1" applyFill="1" applyBorder="1"/>
    <xf numFmtId="0" fontId="0" fillId="0" borderId="37" xfId="0" applyFill="1" applyBorder="1" applyAlignment="1">
      <alignment wrapText="1"/>
    </xf>
    <xf numFmtId="0" fontId="0" fillId="0" borderId="37" xfId="0" applyFill="1" applyBorder="1" applyAlignment="1">
      <alignment horizontal="left"/>
    </xf>
    <xf numFmtId="0" fontId="30" fillId="0" borderId="4" xfId="0" applyFont="1" applyFill="1" applyBorder="1"/>
    <xf numFmtId="0" fontId="30" fillId="0" borderId="4" xfId="0" applyFont="1" applyFill="1" applyBorder="1" applyAlignment="1">
      <alignment wrapText="1"/>
    </xf>
    <xf numFmtId="164" fontId="30" fillId="0" borderId="5" xfId="0" applyNumberFormat="1" applyFont="1" applyFill="1" applyBorder="1" applyAlignment="1">
      <alignment horizontal="center"/>
    </xf>
    <xf numFmtId="0" fontId="30" fillId="0" borderId="6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wrapText="1"/>
    </xf>
    <xf numFmtId="164" fontId="30" fillId="0" borderId="7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8" xfId="0" applyFont="1" applyFill="1" applyBorder="1" applyAlignment="1">
      <alignment wrapText="1"/>
    </xf>
    <xf numFmtId="0" fontId="30" fillId="0" borderId="3" xfId="0" applyFont="1" applyFill="1" applyBorder="1" applyAlignment="1">
      <alignment wrapText="1"/>
    </xf>
    <xf numFmtId="0" fontId="18" fillId="0" borderId="5" xfId="0" applyFont="1" applyFill="1" applyBorder="1"/>
    <xf numFmtId="0" fontId="30" fillId="0" borderId="6" xfId="0" applyFont="1" applyFill="1" applyBorder="1" applyAlignment="1">
      <alignment wrapText="1"/>
    </xf>
    <xf numFmtId="0" fontId="18" fillId="0" borderId="7" xfId="0" applyFont="1" applyFill="1" applyBorder="1"/>
    <xf numFmtId="0" fontId="30" fillId="0" borderId="11" xfId="0" applyFont="1" applyFill="1" applyBorder="1" applyAlignment="1">
      <alignment horizontal="right" wrapText="1"/>
    </xf>
    <xf numFmtId="0" fontId="18" fillId="0" borderId="9" xfId="0" applyFont="1" applyFill="1" applyBorder="1"/>
    <xf numFmtId="0" fontId="18" fillId="0" borderId="0" xfId="0" applyFont="1" applyFill="1" applyBorder="1"/>
    <xf numFmtId="0" fontId="0" fillId="0" borderId="0" xfId="0" applyFill="1" applyAlignment="1">
      <alignment wrapText="1"/>
    </xf>
    <xf numFmtId="0" fontId="51" fillId="0" borderId="0" xfId="0" applyFont="1" applyFill="1" applyBorder="1" applyAlignment="1"/>
    <xf numFmtId="0" fontId="30" fillId="0" borderId="5" xfId="0" applyFont="1" applyFill="1" applyBorder="1"/>
    <xf numFmtId="0" fontId="30" fillId="0" borderId="7" xfId="0" applyFont="1" applyFill="1" applyBorder="1"/>
    <xf numFmtId="0" fontId="30" fillId="0" borderId="11" xfId="0" applyFont="1" applyFill="1" applyBorder="1" applyAlignment="1">
      <alignment horizontal="right"/>
    </xf>
    <xf numFmtId="0" fontId="30" fillId="0" borderId="9" xfId="0" applyFont="1" applyFill="1" applyBorder="1"/>
    <xf numFmtId="164" fontId="30" fillId="0" borderId="4" xfId="0" applyNumberFormat="1" applyFont="1" applyFill="1" applyBorder="1" applyAlignment="1">
      <alignment horizontal="center"/>
    </xf>
    <xf numFmtId="0" fontId="18" fillId="0" borderId="0" xfId="0" applyFont="1" applyFill="1"/>
    <xf numFmtId="164" fontId="18" fillId="0" borderId="5" xfId="0" applyNumberFormat="1" applyFont="1" applyFill="1" applyBorder="1" applyAlignment="1">
      <alignment horizontal="center"/>
    </xf>
    <xf numFmtId="164" fontId="18" fillId="0" borderId="7" xfId="0" applyNumberFormat="1" applyFont="1" applyFill="1" applyBorder="1" applyAlignment="1">
      <alignment horizontal="center"/>
    </xf>
    <xf numFmtId="164" fontId="18" fillId="0" borderId="9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8" fillId="0" borderId="6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5" xfId="0" applyFont="1" applyFill="1" applyBorder="1"/>
    <xf numFmtId="0" fontId="11" fillId="0" borderId="0" xfId="0" applyFont="1" applyFill="1" applyBorder="1"/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/>
    <xf numFmtId="0" fontId="8" fillId="0" borderId="6" xfId="0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wrapText="1"/>
    </xf>
    <xf numFmtId="0" fontId="8" fillId="0" borderId="11" xfId="0" applyFont="1" applyFill="1" applyBorder="1" applyAlignment="1">
      <alignment horizontal="right" wrapText="1"/>
    </xf>
    <xf numFmtId="0" fontId="8" fillId="0" borderId="9" xfId="0" applyFont="1" applyFill="1" applyBorder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30" fillId="0" borderId="6" xfId="0" applyFont="1" applyFill="1" applyBorder="1" applyAlignment="1">
      <alignment horizontal="right" wrapText="1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164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/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3" fontId="18" fillId="0" borderId="0" xfId="0" applyNumberFormat="1" applyFont="1" applyFill="1"/>
    <xf numFmtId="0" fontId="8" fillId="0" borderId="11" xfId="0" applyFont="1" applyFill="1" applyBorder="1"/>
    <xf numFmtId="0" fontId="5" fillId="0" borderId="5" xfId="0" applyFont="1" applyBorder="1"/>
    <xf numFmtId="0" fontId="5" fillId="0" borderId="7" xfId="0" applyFont="1" applyBorder="1"/>
    <xf numFmtId="0" fontId="37" fillId="0" borderId="3" xfId="0" applyFont="1" applyBorder="1" applyAlignment="1">
      <alignment horizontal="left"/>
    </xf>
    <xf numFmtId="0" fontId="0" fillId="0" borderId="17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37" fillId="0" borderId="5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37" fillId="0" borderId="7" xfId="0" applyFont="1" applyBorder="1" applyAlignment="1">
      <alignment horizontal="left"/>
    </xf>
    <xf numFmtId="0" fontId="37" fillId="0" borderId="11" xfId="0" applyFont="1" applyBorder="1" applyAlignment="1">
      <alignment horizontal="center"/>
    </xf>
    <xf numFmtId="166" fontId="0" fillId="0" borderId="54" xfId="0" applyNumberFormat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166" fontId="37" fillId="0" borderId="5" xfId="0" applyNumberFormat="1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166" fontId="37" fillId="0" borderId="7" xfId="0" applyNumberFormat="1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166" fontId="37" fillId="0" borderId="9" xfId="0" applyNumberFormat="1" applyFont="1" applyFill="1" applyBorder="1" applyAlignment="1">
      <alignment horizontal="center"/>
    </xf>
    <xf numFmtId="0" fontId="37" fillId="0" borderId="0" xfId="0" applyFont="1" applyAlignment="1">
      <alignment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 wrapText="1"/>
    </xf>
    <xf numFmtId="0" fontId="37" fillId="0" borderId="12" xfId="0" applyFont="1" applyBorder="1" applyAlignment="1">
      <alignment horizontal="left"/>
    </xf>
    <xf numFmtId="3" fontId="44" fillId="0" borderId="1" xfId="0" applyNumberFormat="1" applyFont="1" applyBorder="1"/>
    <xf numFmtId="0" fontId="47" fillId="0" borderId="0" xfId="0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/>
    </xf>
    <xf numFmtId="3" fontId="44" fillId="0" borderId="1" xfId="0" applyNumberFormat="1" applyFont="1" applyFill="1" applyBorder="1"/>
    <xf numFmtId="0" fontId="0" fillId="0" borderId="1" xfId="0" applyFont="1" applyFill="1" applyBorder="1"/>
    <xf numFmtId="166" fontId="44" fillId="0" borderId="13" xfId="0" applyNumberFormat="1" applyFont="1" applyBorder="1" applyAlignment="1">
      <alignment horizontal="right" wrapText="1"/>
    </xf>
    <xf numFmtId="3" fontId="44" fillId="0" borderId="13" xfId="0" applyNumberFormat="1" applyFont="1" applyFill="1" applyBorder="1" applyAlignment="1">
      <alignment horizontal="right" wrapText="1"/>
    </xf>
    <xf numFmtId="0" fontId="44" fillId="0" borderId="13" xfId="0" applyFont="1" applyFill="1" applyBorder="1" applyAlignment="1">
      <alignment horizontal="right" wrapText="1"/>
    </xf>
    <xf numFmtId="0" fontId="47" fillId="0" borderId="13" xfId="0" applyFont="1" applyFill="1" applyBorder="1" applyAlignment="1">
      <alignment horizontal="center" wrapText="1"/>
    </xf>
    <xf numFmtId="0" fontId="47" fillId="0" borderId="6" xfId="0" applyFont="1" applyFill="1" applyBorder="1" applyAlignment="1">
      <alignment horizontal="right" wrapText="1"/>
    </xf>
    <xf numFmtId="0" fontId="47" fillId="0" borderId="0" xfId="0" applyFont="1" applyFill="1" applyBorder="1" applyAlignment="1">
      <alignment horizontal="left"/>
    </xf>
    <xf numFmtId="0" fontId="35" fillId="0" borderId="7" xfId="0" applyFont="1" applyBorder="1" applyAlignment="1"/>
    <xf numFmtId="0" fontId="35" fillId="0" borderId="0" xfId="0" applyFont="1" applyBorder="1" applyAlignment="1">
      <alignment horizontal="left"/>
    </xf>
    <xf numFmtId="0" fontId="47" fillId="0" borderId="11" xfId="0" applyFont="1" applyFill="1" applyBorder="1" applyAlignment="1">
      <alignment horizontal="right" wrapText="1"/>
    </xf>
    <xf numFmtId="0" fontId="35" fillId="0" borderId="8" xfId="0" applyFont="1" applyBorder="1" applyAlignment="1">
      <alignment horizontal="left"/>
    </xf>
    <xf numFmtId="0" fontId="35" fillId="0" borderId="9" xfId="0" applyFont="1" applyBorder="1" applyAlignment="1"/>
    <xf numFmtId="0" fontId="47" fillId="0" borderId="5" xfId="0" applyFont="1" applyFill="1" applyBorder="1" applyAlignment="1">
      <alignment horizontal="left"/>
    </xf>
    <xf numFmtId="0" fontId="47" fillId="0" borderId="6" xfId="0" applyFont="1" applyFill="1" applyBorder="1" applyAlignment="1">
      <alignment horizontal="left" wrapText="1"/>
    </xf>
    <xf numFmtId="0" fontId="47" fillId="0" borderId="7" xfId="0" applyFont="1" applyFill="1" applyBorder="1" applyAlignment="1">
      <alignment horizontal="left" wrapText="1"/>
    </xf>
    <xf numFmtId="0" fontId="35" fillId="0" borderId="11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47" fillId="0" borderId="4" xfId="0" applyFont="1" applyFill="1" applyBorder="1" applyAlignment="1">
      <alignment horizontal="left"/>
    </xf>
    <xf numFmtId="0" fontId="44" fillId="0" borderId="7" xfId="0" applyFont="1" applyBorder="1"/>
    <xf numFmtId="0" fontId="44" fillId="0" borderId="9" xfId="0" applyFont="1" applyBorder="1"/>
    <xf numFmtId="0" fontId="35" fillId="0" borderId="7" xfId="0" applyFont="1" applyBorder="1" applyAlignment="1">
      <alignment horizontal="left"/>
    </xf>
    <xf numFmtId="0" fontId="47" fillId="0" borderId="3" xfId="0" applyFont="1" applyFill="1" applyBorder="1" applyAlignment="1">
      <alignment horizontal="right" wrapText="1"/>
    </xf>
    <xf numFmtId="0" fontId="35" fillId="0" borderId="5" xfId="0" applyFont="1" applyBorder="1" applyAlignment="1"/>
    <xf numFmtId="0" fontId="44" fillId="0" borderId="13" xfId="0" applyFont="1" applyFill="1" applyBorder="1" applyAlignment="1">
      <alignment horizontal="center" wrapText="1"/>
    </xf>
    <xf numFmtId="166" fontId="0" fillId="0" borderId="2" xfId="0" applyNumberFormat="1" applyBorder="1"/>
    <xf numFmtId="3" fontId="37" fillId="3" borderId="1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right" wrapText="1"/>
    </xf>
    <xf numFmtId="0" fontId="0" fillId="0" borderId="11" xfId="0" applyBorder="1" applyAlignment="1">
      <alignment wrapText="1"/>
    </xf>
    <xf numFmtId="0" fontId="35" fillId="0" borderId="0" xfId="0" applyFont="1" applyFill="1" applyBorder="1" applyAlignment="1">
      <alignment horizontal="left"/>
    </xf>
    <xf numFmtId="0" fontId="35" fillId="0" borderId="6" xfId="0" applyFont="1" applyFill="1" applyBorder="1"/>
    <xf numFmtId="0" fontId="35" fillId="0" borderId="7" xfId="0" applyFont="1" applyFill="1" applyBorder="1" applyAlignment="1">
      <alignment horizontal="left"/>
    </xf>
    <xf numFmtId="0" fontId="35" fillId="0" borderId="11" xfId="0" applyFont="1" applyFill="1" applyBorder="1"/>
    <xf numFmtId="0" fontId="35" fillId="0" borderId="9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44" fillId="0" borderId="12" xfId="0" applyFont="1" applyBorder="1" applyAlignment="1">
      <alignment horizontal="right" wrapText="1"/>
    </xf>
    <xf numFmtId="0" fontId="35" fillId="0" borderId="5" xfId="0" applyFont="1" applyFill="1" applyBorder="1"/>
    <xf numFmtId="0" fontId="35" fillId="0" borderId="7" xfId="0" applyFont="1" applyFill="1" applyBorder="1"/>
    <xf numFmtId="0" fontId="35" fillId="0" borderId="8" xfId="0" applyFont="1" applyFill="1" applyBorder="1" applyAlignment="1">
      <alignment horizontal="left"/>
    </xf>
    <xf numFmtId="0" fontId="35" fillId="0" borderId="9" xfId="0" applyFont="1" applyFill="1" applyBorder="1"/>
    <xf numFmtId="0" fontId="55" fillId="0" borderId="0" xfId="0" applyFont="1"/>
    <xf numFmtId="0" fontId="37" fillId="0" borderId="3" xfId="0" applyFont="1" applyFill="1" applyBorder="1" applyAlignment="1">
      <alignment horizontal="right" wrapText="1"/>
    </xf>
    <xf numFmtId="0" fontId="38" fillId="0" borderId="13" xfId="0" applyFont="1" applyBorder="1" applyAlignment="1">
      <alignment horizontal="left"/>
    </xf>
    <xf numFmtId="0" fontId="38" fillId="0" borderId="13" xfId="0" applyFont="1" applyBorder="1" applyAlignment="1">
      <alignment horizontal="center" wrapText="1"/>
    </xf>
    <xf numFmtId="3" fontId="0" fillId="0" borderId="26" xfId="0" applyNumberFormat="1" applyBorder="1" applyAlignment="1">
      <alignment horizontal="right" wrapText="1"/>
    </xf>
    <xf numFmtId="3" fontId="0" fillId="2" borderId="13" xfId="0" applyNumberFormat="1" applyFill="1" applyBorder="1" applyAlignment="1">
      <alignment horizontal="right" wrapText="1"/>
    </xf>
    <xf numFmtId="3" fontId="0" fillId="0" borderId="27" xfId="0" applyNumberFormat="1" applyBorder="1" applyAlignment="1">
      <alignment horizontal="right" wrapText="1"/>
    </xf>
    <xf numFmtId="164" fontId="0" fillId="0" borderId="13" xfId="0" applyNumberFormat="1" applyFill="1" applyBorder="1" applyAlignment="1">
      <alignment horizontal="center"/>
    </xf>
    <xf numFmtId="0" fontId="37" fillId="0" borderId="2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37" fillId="0" borderId="5" xfId="0" applyNumberFormat="1" applyFont="1" applyBorder="1" applyAlignment="1">
      <alignment horizontal="center"/>
    </xf>
    <xf numFmtId="164" fontId="37" fillId="0" borderId="7" xfId="0" applyNumberFormat="1" applyFont="1" applyBorder="1" applyAlignment="1">
      <alignment horizontal="center"/>
    </xf>
    <xf numFmtId="164" fontId="37" fillId="0" borderId="9" xfId="0" applyNumberFormat="1" applyFont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0" fontId="37" fillId="0" borderId="12" xfId="0" applyFont="1" applyFill="1" applyBorder="1" applyAlignment="1">
      <alignment horizontal="left"/>
    </xf>
    <xf numFmtId="0" fontId="40" fillId="0" borderId="17" xfId="0" applyFont="1" applyFill="1" applyBorder="1" applyAlignment="1">
      <alignment horizontal="center" wrapText="1"/>
    </xf>
    <xf numFmtId="0" fontId="42" fillId="0" borderId="17" xfId="0" applyFont="1" applyFill="1" applyBorder="1"/>
    <xf numFmtId="49" fontId="18" fillId="0" borderId="17" xfId="0" applyNumberFormat="1" applyFont="1" applyFill="1" applyBorder="1"/>
    <xf numFmtId="0" fontId="18" fillId="0" borderId="17" xfId="0" applyNumberFormat="1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49" fontId="0" fillId="0" borderId="17" xfId="0" applyNumberFormat="1" applyFill="1" applyBorder="1"/>
    <xf numFmtId="0" fontId="35" fillId="0" borderId="0" xfId="0" applyFont="1"/>
    <xf numFmtId="0" fontId="47" fillId="0" borderId="5" xfId="0" applyFont="1" applyBorder="1"/>
    <xf numFmtId="0" fontId="47" fillId="0" borderId="7" xfId="0" applyFont="1" applyBorder="1"/>
    <xf numFmtId="0" fontId="15" fillId="0" borderId="12" xfId="0" applyFont="1" applyFill="1" applyBorder="1" applyAlignment="1">
      <alignment horizontal="center"/>
    </xf>
    <xf numFmtId="49" fontId="18" fillId="3" borderId="12" xfId="0" applyNumberFormat="1" applyFont="1" applyFill="1" applyBorder="1" applyAlignment="1">
      <alignment wrapText="1"/>
    </xf>
    <xf numFmtId="49" fontId="18" fillId="0" borderId="12" xfId="0" applyNumberFormat="1" applyFont="1" applyFill="1" applyBorder="1" applyAlignment="1">
      <alignment wrapText="1"/>
    </xf>
    <xf numFmtId="0" fontId="17" fillId="0" borderId="12" xfId="0" applyFont="1" applyFill="1" applyBorder="1" applyAlignment="1">
      <alignment horizontal="left"/>
    </xf>
    <xf numFmtId="166" fontId="14" fillId="0" borderId="1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0" borderId="2" xfId="0" applyFill="1" applyBorder="1" applyAlignment="1">
      <alignment horizontal="right" wrapText="1"/>
    </xf>
    <xf numFmtId="49" fontId="15" fillId="3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horizontal="right" wrapText="1"/>
    </xf>
    <xf numFmtId="0" fontId="17" fillId="0" borderId="6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49" fontId="0" fillId="3" borderId="12" xfId="0" applyNumberFormat="1" applyFill="1" applyBorder="1" applyAlignment="1">
      <alignment wrapText="1"/>
    </xf>
    <xf numFmtId="1" fontId="0" fillId="0" borderId="12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center"/>
    </xf>
    <xf numFmtId="0" fontId="37" fillId="0" borderId="13" xfId="0" applyFont="1" applyFill="1" applyBorder="1" applyAlignment="1">
      <alignment horizontal="center" wrapText="1"/>
    </xf>
    <xf numFmtId="166" fontId="0" fillId="0" borderId="13" xfId="0" applyNumberFormat="1" applyFill="1" applyBorder="1" applyAlignment="1">
      <alignment horizontal="center" wrapText="1"/>
    </xf>
    <xf numFmtId="3" fontId="0" fillId="0" borderId="13" xfId="0" applyNumberFormat="1" applyFill="1" applyBorder="1" applyAlignment="1">
      <alignment horizontal="right" wrapText="1"/>
    </xf>
    <xf numFmtId="0" fontId="0" fillId="0" borderId="28" xfId="0" applyBorder="1" applyAlignment="1">
      <alignment horizontal="left" wrapText="1"/>
    </xf>
    <xf numFmtId="3" fontId="0" fillId="0" borderId="37" xfId="0" applyNumberFormat="1" applyBorder="1" applyAlignment="1">
      <alignment horizontal="right"/>
    </xf>
    <xf numFmtId="0" fontId="0" fillId="2" borderId="37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2" borderId="32" xfId="0" applyFill="1" applyBorder="1" applyAlignment="1">
      <alignment horizontal="center"/>
    </xf>
    <xf numFmtId="0" fontId="0" fillId="0" borderId="20" xfId="0" applyBorder="1" applyAlignment="1"/>
    <xf numFmtId="3" fontId="0" fillId="0" borderId="18" xfId="0" applyNumberFormat="1" applyFill="1" applyBorder="1" applyAlignment="1"/>
    <xf numFmtId="3" fontId="0" fillId="0" borderId="21" xfId="0" applyNumberFormat="1" applyFill="1" applyBorder="1" applyAlignment="1"/>
    <xf numFmtId="0" fontId="0" fillId="0" borderId="39" xfId="0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0" fillId="0" borderId="17" xfId="0" applyFont="1" applyBorder="1" applyAlignment="1">
      <alignment wrapText="1"/>
    </xf>
    <xf numFmtId="0" fontId="1" fillId="0" borderId="17" xfId="0" applyFont="1" applyBorder="1"/>
    <xf numFmtId="0" fontId="1" fillId="0" borderId="17" xfId="0" applyFont="1" applyBorder="1" applyAlignment="1"/>
    <xf numFmtId="0" fontId="35" fillId="0" borderId="3" xfId="0" applyFont="1" applyFill="1" applyBorder="1" applyAlignment="1">
      <alignment horizontal="right" wrapText="1"/>
    </xf>
    <xf numFmtId="0" fontId="0" fillId="0" borderId="17" xfId="0" applyFont="1" applyBorder="1"/>
    <xf numFmtId="0" fontId="1" fillId="0" borderId="17" xfId="0" applyFont="1" applyBorder="1" applyAlignment="1">
      <alignment horizontal="right"/>
    </xf>
    <xf numFmtId="0" fontId="1" fillId="0" borderId="12" xfId="0" applyFont="1" applyBorder="1" applyAlignment="1"/>
    <xf numFmtId="0" fontId="1" fillId="0" borderId="2" xfId="0" applyFont="1" applyFill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0" fillId="0" borderId="3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/>
    </xf>
    <xf numFmtId="3" fontId="0" fillId="0" borderId="42" xfId="0" applyNumberFormat="1" applyFont="1" applyFill="1" applyBorder="1" applyAlignment="1"/>
    <xf numFmtId="3" fontId="0" fillId="0" borderId="43" xfId="0" applyNumberFormat="1" applyFont="1" applyBorder="1" applyAlignment="1"/>
    <xf numFmtId="3" fontId="0" fillId="0" borderId="29" xfId="0" applyNumberFormat="1" applyFont="1" applyBorder="1" applyAlignment="1"/>
    <xf numFmtId="3" fontId="0" fillId="3" borderId="34" xfId="0" applyNumberFormat="1" applyFont="1" applyFill="1" applyBorder="1"/>
    <xf numFmtId="0" fontId="0" fillId="0" borderId="35" xfId="0" applyFont="1" applyBorder="1" applyAlignment="1">
      <alignment horizontal="right" vertical="center"/>
    </xf>
    <xf numFmtId="3" fontId="0" fillId="0" borderId="35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0" fontId="0" fillId="0" borderId="49" xfId="0" applyBorder="1"/>
    <xf numFmtId="0" fontId="0" fillId="0" borderId="28" xfId="0" applyFont="1" applyBorder="1" applyAlignment="1">
      <alignment horizontal="left" vertical="center" wrapText="1"/>
    </xf>
    <xf numFmtId="3" fontId="0" fillId="0" borderId="17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0" borderId="26" xfId="0" applyFont="1" applyBorder="1" applyAlignment="1">
      <alignment horizontal="left" vertical="center" wrapText="1"/>
    </xf>
    <xf numFmtId="3" fontId="0" fillId="0" borderId="27" xfId="0" applyNumberFormat="1" applyFont="1" applyFill="1" applyBorder="1" applyAlignment="1">
      <alignment vertical="center"/>
    </xf>
    <xf numFmtId="3" fontId="0" fillId="2" borderId="27" xfId="0" applyNumberFormat="1" applyFont="1" applyFill="1" applyBorder="1" applyAlignment="1"/>
    <xf numFmtId="3" fontId="0" fillId="0" borderId="30" xfId="0" applyNumberFormat="1" applyFont="1" applyFill="1" applyBorder="1" applyAlignment="1"/>
    <xf numFmtId="0" fontId="0" fillId="0" borderId="49" xfId="0" applyBorder="1" applyAlignment="1">
      <alignment horizontal="right" vertical="center"/>
    </xf>
    <xf numFmtId="3" fontId="0" fillId="0" borderId="52" xfId="0" applyNumberFormat="1" applyBorder="1" applyAlignment="1">
      <alignment horizontal="right"/>
    </xf>
    <xf numFmtId="0" fontId="0" fillId="0" borderId="28" xfId="0" applyBorder="1" applyAlignment="1">
      <alignment horizontal="left" vertical="center" wrapText="1"/>
    </xf>
    <xf numFmtId="3" fontId="0" fillId="0" borderId="17" xfId="0" applyNumberFormat="1" applyBorder="1" applyAlignment="1">
      <alignment horizontal="right" vertical="center"/>
    </xf>
    <xf numFmtId="0" fontId="0" fillId="7" borderId="17" xfId="0" applyFill="1" applyBorder="1" applyAlignment="1">
      <alignment horizontal="right" vertical="center"/>
    </xf>
    <xf numFmtId="0" fontId="0" fillId="7" borderId="23" xfId="0" applyFill="1" applyBorder="1" applyAlignment="1">
      <alignment horizontal="right" vertical="center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3" fontId="0" fillId="7" borderId="18" xfId="0" applyNumberFormat="1" applyFill="1" applyBorder="1" applyAlignment="1">
      <alignment horizontal="right"/>
    </xf>
    <xf numFmtId="3" fontId="0" fillId="7" borderId="21" xfId="0" applyNumberFormat="1" applyFill="1" applyBorder="1" applyAlignment="1">
      <alignment horizontal="right"/>
    </xf>
    <xf numFmtId="0" fontId="47" fillId="0" borderId="3" xfId="0" applyFont="1" applyBorder="1" applyAlignment="1">
      <alignment horizontal="right"/>
    </xf>
    <xf numFmtId="0" fontId="47" fillId="0" borderId="6" xfId="0" applyFont="1" applyBorder="1" applyAlignment="1">
      <alignment horizontal="right"/>
    </xf>
    <xf numFmtId="0" fontId="47" fillId="0" borderId="11" xfId="0" applyFont="1" applyBorder="1" applyAlignment="1">
      <alignment horizontal="right"/>
    </xf>
    <xf numFmtId="0" fontId="48" fillId="0" borderId="2" xfId="0" applyFont="1" applyBorder="1" applyAlignment="1">
      <alignment horizontal="right"/>
    </xf>
    <xf numFmtId="164" fontId="48" fillId="0" borderId="2" xfId="0" applyNumberFormat="1" applyFont="1" applyBorder="1" applyAlignment="1">
      <alignment horizontal="center"/>
    </xf>
    <xf numFmtId="164" fontId="0" fillId="0" borderId="4" xfId="0" applyNumberFormat="1" applyBorder="1"/>
    <xf numFmtId="164" fontId="0" fillId="0" borderId="8" xfId="0" applyNumberFormat="1" applyBorder="1"/>
    <xf numFmtId="0" fontId="45" fillId="0" borderId="2" xfId="0" applyFont="1" applyFill="1" applyBorder="1" applyAlignment="1">
      <alignment horizontal="center" wrapText="1"/>
    </xf>
    <xf numFmtId="0" fontId="43" fillId="0" borderId="2" xfId="0" applyFont="1" applyFill="1" applyBorder="1" applyAlignment="1">
      <alignment horizontal="center" wrapText="1"/>
    </xf>
    <xf numFmtId="3" fontId="0" fillId="3" borderId="2" xfId="0" applyNumberFormat="1" applyFill="1" applyBorder="1"/>
    <xf numFmtId="0" fontId="45" fillId="0" borderId="52" xfId="0" applyFont="1" applyBorder="1" applyAlignment="1">
      <alignment horizontal="center" wrapText="1"/>
    </xf>
    <xf numFmtId="0" fontId="0" fillId="3" borderId="2" xfId="0" applyFill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/>
    <xf numFmtId="3" fontId="0" fillId="0" borderId="52" xfId="0" applyNumberFormat="1" applyBorder="1" applyAlignment="1"/>
    <xf numFmtId="3" fontId="0" fillId="0" borderId="29" xfId="0" applyNumberFormat="1" applyBorder="1" applyAlignment="1"/>
    <xf numFmtId="0" fontId="0" fillId="0" borderId="35" xfId="0" applyBorder="1" applyAlignment="1">
      <alignment vertical="center"/>
    </xf>
    <xf numFmtId="3" fontId="0" fillId="0" borderId="49" xfId="0" applyNumberFormat="1" applyBorder="1" applyAlignment="1"/>
    <xf numFmtId="3" fontId="0" fillId="0" borderId="43" xfId="0" applyNumberFormat="1" applyBorder="1" applyAlignment="1"/>
    <xf numFmtId="0" fontId="0" fillId="0" borderId="28" xfId="0" applyFill="1" applyBorder="1" applyAlignment="1">
      <alignment horizontal="left" vertical="center" wrapText="1"/>
    </xf>
    <xf numFmtId="3" fontId="0" fillId="0" borderId="17" xfId="0" applyNumberFormat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0" borderId="26" xfId="0" applyBorder="1" applyAlignment="1">
      <alignment horizontal="left" vertical="center" wrapText="1"/>
    </xf>
    <xf numFmtId="0" fontId="0" fillId="7" borderId="27" xfId="0" applyFill="1" applyBorder="1" applyAlignment="1">
      <alignment vertical="center"/>
    </xf>
    <xf numFmtId="3" fontId="0" fillId="7" borderId="32" xfId="0" applyNumberFormat="1" applyFill="1" applyBorder="1" applyAlignment="1"/>
    <xf numFmtId="3" fontId="0" fillId="0" borderId="30" xfId="0" applyNumberFormat="1" applyBorder="1" applyAlignment="1"/>
    <xf numFmtId="3" fontId="0" fillId="7" borderId="18" xfId="0" applyNumberFormat="1" applyFill="1" applyBorder="1" applyAlignment="1"/>
    <xf numFmtId="3" fontId="0" fillId="0" borderId="56" xfId="0" applyNumberFormat="1" applyBorder="1" applyAlignment="1"/>
    <xf numFmtId="3" fontId="0" fillId="0" borderId="21" xfId="0" applyNumberFormat="1" applyBorder="1" applyAlignment="1"/>
    <xf numFmtId="0" fontId="63" fillId="0" borderId="0" xfId="0" applyFont="1"/>
    <xf numFmtId="0" fontId="63" fillId="0" borderId="0" xfId="0" applyFont="1" applyBorder="1" applyAlignment="1">
      <alignment horizontal="left"/>
    </xf>
    <xf numFmtId="0" fontId="55" fillId="0" borderId="0" xfId="0" applyFont="1" applyAlignment="1">
      <alignment horizontal="right" vertical="center"/>
    </xf>
    <xf numFmtId="0" fontId="55" fillId="0" borderId="0" xfId="0" applyFont="1" applyAlignment="1"/>
    <xf numFmtId="0" fontId="55" fillId="0" borderId="0" xfId="0" applyFont="1" applyAlignment="1">
      <alignment horizontal="left"/>
    </xf>
    <xf numFmtId="0" fontId="55" fillId="0" borderId="1" xfId="0" applyFont="1" applyBorder="1" applyAlignment="1">
      <alignment horizontal="right" vertical="center"/>
    </xf>
    <xf numFmtId="0" fontId="55" fillId="0" borderId="1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right" vertical="center"/>
    </xf>
    <xf numFmtId="3" fontId="55" fillId="0" borderId="36" xfId="0" applyNumberFormat="1" applyFont="1" applyBorder="1" applyAlignment="1">
      <alignment horizontal="right"/>
    </xf>
    <xf numFmtId="3" fontId="55" fillId="0" borderId="1" xfId="0" applyNumberFormat="1" applyFont="1" applyBorder="1" applyAlignment="1">
      <alignment horizontal="right"/>
    </xf>
    <xf numFmtId="3" fontId="55" fillId="0" borderId="18" xfId="0" applyNumberFormat="1" applyFont="1" applyBorder="1" applyAlignment="1">
      <alignment horizontal="right"/>
    </xf>
    <xf numFmtId="0" fontId="37" fillId="3" borderId="47" xfId="0" applyFont="1" applyFill="1" applyBorder="1" applyAlignment="1">
      <alignment horizontal="center"/>
    </xf>
    <xf numFmtId="0" fontId="37" fillId="3" borderId="45" xfId="0" applyFont="1" applyFill="1" applyBorder="1" applyAlignment="1">
      <alignment horizontal="center"/>
    </xf>
    <xf numFmtId="0" fontId="37" fillId="3" borderId="46" xfId="0" applyFont="1" applyFill="1" applyBorder="1" applyAlignment="1">
      <alignment horizontal="center"/>
    </xf>
    <xf numFmtId="0" fontId="37" fillId="3" borderId="14" xfId="0" applyFont="1" applyFill="1" applyBorder="1" applyAlignment="1">
      <alignment horizontal="center"/>
    </xf>
    <xf numFmtId="0" fontId="37" fillId="3" borderId="41" xfId="0" applyFont="1" applyFill="1" applyBorder="1" applyAlignment="1">
      <alignment horizontal="center"/>
    </xf>
    <xf numFmtId="3" fontId="37" fillId="3" borderId="33" xfId="0" applyNumberFormat="1" applyFont="1" applyFill="1" applyBorder="1"/>
    <xf numFmtId="3" fontId="37" fillId="3" borderId="44" xfId="0" applyNumberFormat="1" applyFont="1" applyFill="1" applyBorder="1"/>
    <xf numFmtId="3" fontId="37" fillId="3" borderId="38" xfId="0" applyNumberFormat="1" applyFont="1" applyFill="1" applyBorder="1"/>
    <xf numFmtId="3" fontId="37" fillId="3" borderId="51" xfId="0" applyNumberFormat="1" applyFont="1" applyFill="1" applyBorder="1"/>
    <xf numFmtId="3" fontId="37" fillId="3" borderId="39" xfId="0" applyNumberFormat="1" applyFont="1" applyFill="1" applyBorder="1"/>
    <xf numFmtId="0" fontId="37" fillId="0" borderId="54" xfId="0" applyFont="1" applyFill="1" applyBorder="1" applyAlignment="1">
      <alignment horizontal="center"/>
    </xf>
    <xf numFmtId="3" fontId="37" fillId="0" borderId="36" xfId="0" applyNumberFormat="1" applyFont="1" applyBorder="1"/>
    <xf numFmtId="0" fontId="37" fillId="0" borderId="5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35" fillId="0" borderId="6" xfId="0" applyFont="1" applyBorder="1" applyAlignment="1">
      <alignment wrapText="1"/>
    </xf>
    <xf numFmtId="0" fontId="35" fillId="0" borderId="11" xfId="0" applyFont="1" applyBorder="1" applyAlignment="1">
      <alignment wrapText="1"/>
    </xf>
    <xf numFmtId="0" fontId="45" fillId="0" borderId="13" xfId="0" applyFont="1" applyBorder="1" applyAlignment="1">
      <alignment horizontal="center" wrapText="1"/>
    </xf>
    <xf numFmtId="0" fontId="48" fillId="0" borderId="43" xfId="0" applyFont="1" applyBorder="1"/>
    <xf numFmtId="0" fontId="45" fillId="0" borderId="1" xfId="0" applyFont="1" applyFill="1" applyBorder="1" applyAlignment="1">
      <alignment horizontal="center" wrapText="1"/>
    </xf>
    <xf numFmtId="164" fontId="0" fillId="0" borderId="2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Fill="1"/>
    <xf numFmtId="0" fontId="44" fillId="0" borderId="0" xfId="0" applyFont="1"/>
    <xf numFmtId="3" fontId="44" fillId="0" borderId="0" xfId="0" applyNumberFormat="1" applyFont="1"/>
    <xf numFmtId="3" fontId="44" fillId="0" borderId="13" xfId="0" applyNumberFormat="1" applyFont="1" applyBorder="1"/>
    <xf numFmtId="3" fontId="47" fillId="3" borderId="13" xfId="0" applyNumberFormat="1" applyFont="1" applyFill="1" applyBorder="1"/>
    <xf numFmtId="0" fontId="45" fillId="0" borderId="13" xfId="0" applyFont="1" applyFill="1" applyBorder="1" applyAlignment="1">
      <alignment horizontal="right" wrapText="1"/>
    </xf>
    <xf numFmtId="164" fontId="45" fillId="0" borderId="13" xfId="0" applyNumberFormat="1" applyFont="1" applyBorder="1" applyAlignment="1">
      <alignment horizontal="center" wrapText="1"/>
    </xf>
    <xf numFmtId="3" fontId="59" fillId="0" borderId="13" xfId="0" applyNumberFormat="1" applyFont="1" applyBorder="1"/>
    <xf numFmtId="0" fontId="0" fillId="4" borderId="0" xfId="0" applyFill="1" applyAlignment="1">
      <alignment horizontal="center"/>
    </xf>
    <xf numFmtId="0" fontId="21" fillId="0" borderId="5" xfId="0" applyFont="1" applyFill="1" applyBorder="1" applyAlignment="1">
      <alignment vertical="center"/>
    </xf>
    <xf numFmtId="0" fontId="21" fillId="0" borderId="7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21" fillId="0" borderId="11" xfId="0" applyFont="1" applyBorder="1"/>
    <xf numFmtId="0" fontId="0" fillId="2" borderId="2" xfId="0" applyFill="1" applyBorder="1"/>
    <xf numFmtId="0" fontId="5" fillId="0" borderId="6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left" wrapText="1"/>
    </xf>
    <xf numFmtId="0" fontId="38" fillId="3" borderId="0" xfId="0" applyFont="1" applyFill="1"/>
    <xf numFmtId="0" fontId="30" fillId="0" borderId="0" xfId="0" applyFont="1" applyFill="1" applyBorder="1" applyAlignment="1">
      <alignment horizontal="right" wrapText="1"/>
    </xf>
    <xf numFmtId="0" fontId="44" fillId="0" borderId="1" xfId="0" applyFont="1" applyFill="1" applyBorder="1"/>
    <xf numFmtId="0" fontId="47" fillId="0" borderId="7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166" fontId="44" fillId="0" borderId="1" xfId="0" applyNumberFormat="1" applyFont="1" applyFill="1" applyBorder="1"/>
    <xf numFmtId="0" fontId="37" fillId="0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right" wrapText="1"/>
    </xf>
    <xf numFmtId="0" fontId="0" fillId="3" borderId="12" xfId="0" applyFill="1" applyBorder="1" applyAlignment="1">
      <alignment horizont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righ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0" fontId="42" fillId="0" borderId="0" xfId="0" applyFont="1" applyAlignment="1"/>
    <xf numFmtId="3" fontId="0" fillId="0" borderId="0" xfId="0" applyNumberFormat="1" applyAlignment="1"/>
    <xf numFmtId="0" fontId="38" fillId="0" borderId="2" xfId="0" applyFont="1" applyBorder="1" applyAlignment="1">
      <alignment horizontal="left" wrapText="1"/>
    </xf>
    <xf numFmtId="0" fontId="38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8" fillId="3" borderId="1" xfId="0" applyFont="1" applyFill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42" fillId="0" borderId="2" xfId="0" applyFont="1" applyFill="1" applyBorder="1" applyAlignment="1">
      <alignment horizontal="center"/>
    </xf>
    <xf numFmtId="0" fontId="42" fillId="0" borderId="2" xfId="0" applyFont="1" applyFill="1" applyBorder="1"/>
    <xf numFmtId="0" fontId="15" fillId="0" borderId="5" xfId="0" applyFont="1" applyFill="1" applyBorder="1"/>
    <xf numFmtId="0" fontId="15" fillId="0" borderId="7" xfId="0" applyFont="1" applyFill="1" applyBorder="1"/>
    <xf numFmtId="0" fontId="15" fillId="0" borderId="9" xfId="0" applyFont="1" applyFill="1" applyBorder="1"/>
    <xf numFmtId="0" fontId="0" fillId="3" borderId="17" xfId="0" applyFill="1" applyBorder="1"/>
    <xf numFmtId="0" fontId="0" fillId="0" borderId="1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right" wrapText="1"/>
    </xf>
    <xf numFmtId="3" fontId="0" fillId="0" borderId="37" xfId="0" applyNumberFormat="1" applyFill="1" applyBorder="1"/>
    <xf numFmtId="3" fontId="0" fillId="0" borderId="37" xfId="0" applyNumberFormat="1" applyBorder="1"/>
    <xf numFmtId="3" fontId="0" fillId="2" borderId="12" xfId="0" applyNumberFormat="1" applyFill="1" applyBorder="1" applyAlignment="1">
      <alignment horizontal="right" wrapText="1"/>
    </xf>
    <xf numFmtId="3" fontId="0" fillId="0" borderId="12" xfId="0" applyNumberFormat="1" applyFill="1" applyBorder="1" applyAlignment="1">
      <alignment horizontal="right" wrapText="1"/>
    </xf>
    <xf numFmtId="164" fontId="0" fillId="0" borderId="12" xfId="0" applyNumberFormat="1" applyBorder="1" applyAlignment="1">
      <alignment horizontal="center"/>
    </xf>
    <xf numFmtId="0" fontId="38" fillId="3" borderId="13" xfId="0" applyFont="1" applyFill="1" applyBorder="1"/>
    <xf numFmtId="0" fontId="38" fillId="3" borderId="12" xfId="0" applyFont="1" applyFill="1" applyBorder="1"/>
    <xf numFmtId="0" fontId="37" fillId="0" borderId="37" xfId="0" applyFont="1" applyBorder="1" applyAlignment="1">
      <alignment horizontal="right"/>
    </xf>
    <xf numFmtId="0" fontId="37" fillId="0" borderId="8" xfId="0" applyFont="1" applyBorder="1" applyAlignment="1">
      <alignment wrapText="1"/>
    </xf>
    <xf numFmtId="0" fontId="38" fillId="0" borderId="17" xfId="0" applyFont="1" applyBorder="1" applyAlignment="1">
      <alignment wrapText="1"/>
    </xf>
    <xf numFmtId="0" fontId="38" fillId="0" borderId="17" xfId="0" applyFont="1" applyBorder="1" applyAlignment="1"/>
    <xf numFmtId="0" fontId="38" fillId="3" borderId="17" xfId="0" applyFont="1" applyFill="1" applyBorder="1"/>
    <xf numFmtId="0" fontId="37" fillId="0" borderId="17" xfId="0" applyFont="1" applyBorder="1"/>
    <xf numFmtId="0" fontId="37" fillId="0" borderId="12" xfId="0" applyFont="1" applyBorder="1" applyAlignment="1">
      <alignment horizontal="right"/>
    </xf>
    <xf numFmtId="0" fontId="58" fillId="0" borderId="13" xfId="0" applyFont="1" applyBorder="1" applyAlignment="1">
      <alignment horizontal="left" wrapText="1"/>
    </xf>
    <xf numFmtId="0" fontId="0" fillId="0" borderId="51" xfId="0" applyBorder="1" applyAlignment="1">
      <alignment horizontal="right"/>
    </xf>
    <xf numFmtId="164" fontId="0" fillId="0" borderId="14" xfId="0" applyNumberFormat="1" applyFill="1" applyBorder="1"/>
    <xf numFmtId="3" fontId="16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/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37" xfId="0" applyFont="1" applyFill="1" applyBorder="1"/>
    <xf numFmtId="0" fontId="0" fillId="0" borderId="2" xfId="0" applyFont="1" applyFill="1" applyBorder="1" applyAlignment="1"/>
    <xf numFmtId="0" fontId="0" fillId="3" borderId="37" xfId="0" applyFont="1" applyFill="1" applyBorder="1"/>
    <xf numFmtId="0" fontId="1" fillId="3" borderId="1" xfId="0" applyFont="1" applyFill="1" applyBorder="1"/>
    <xf numFmtId="0" fontId="64" fillId="4" borderId="0" xfId="0" applyFont="1" applyFill="1"/>
    <xf numFmtId="0" fontId="43" fillId="0" borderId="1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37" fillId="0" borderId="5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3" fontId="0" fillId="0" borderId="1" xfId="0" applyNumberFormat="1" applyFill="1" applyBorder="1"/>
    <xf numFmtId="0" fontId="18" fillId="0" borderId="2" xfId="0" applyFont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3" fontId="18" fillId="2" borderId="20" xfId="0" applyNumberFormat="1" applyFont="1" applyFill="1" applyBorder="1" applyAlignment="1">
      <alignment horizontal="center" vertical="center" wrapText="1"/>
    </xf>
    <xf numFmtId="3" fontId="18" fillId="2" borderId="18" xfId="0" applyNumberFormat="1" applyFont="1" applyFill="1" applyBorder="1" applyAlignment="1">
      <alignment horizontal="center" vertical="center" wrapText="1"/>
    </xf>
    <xf numFmtId="3" fontId="18" fillId="2" borderId="2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/>
    <xf numFmtId="0" fontId="30" fillId="0" borderId="1" xfId="0" applyFont="1" applyBorder="1" applyAlignment="1">
      <alignment horizontal="right"/>
    </xf>
    <xf numFmtId="164" fontId="18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/>
    <xf numFmtId="3" fontId="18" fillId="0" borderId="13" xfId="0" applyNumberFormat="1" applyFont="1" applyBorder="1"/>
    <xf numFmtId="3" fontId="18" fillId="5" borderId="1" xfId="0" applyNumberFormat="1" applyFont="1" applyFill="1" applyBorder="1"/>
    <xf numFmtId="0" fontId="3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wrapText="1"/>
    </xf>
    <xf numFmtId="49" fontId="18" fillId="0" borderId="0" xfId="0" applyNumberFormat="1" applyFont="1" applyFill="1" applyBorder="1"/>
    <xf numFmtId="0" fontId="30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0" fontId="33" fillId="5" borderId="2" xfId="0" applyFont="1" applyFill="1" applyBorder="1" applyAlignment="1">
      <alignment horizontal="center" vertical="center"/>
    </xf>
    <xf numFmtId="0" fontId="18" fillId="0" borderId="2" xfId="0" applyFont="1" applyBorder="1"/>
    <xf numFmtId="49" fontId="18" fillId="3" borderId="2" xfId="0" applyNumberFormat="1" applyFont="1" applyFill="1" applyBorder="1"/>
    <xf numFmtId="0" fontId="30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3" fontId="18" fillId="0" borderId="2" xfId="0" applyNumberFormat="1" applyFont="1" applyBorder="1"/>
    <xf numFmtId="0" fontId="33" fillId="5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wrapText="1"/>
    </xf>
    <xf numFmtId="0" fontId="18" fillId="0" borderId="13" xfId="0" applyFont="1" applyBorder="1"/>
    <xf numFmtId="49" fontId="18" fillId="3" borderId="13" xfId="0" applyNumberFormat="1" applyFont="1" applyFill="1" applyBorder="1"/>
    <xf numFmtId="0" fontId="30" fillId="0" borderId="13" xfId="0" applyFont="1" applyBorder="1" applyAlignment="1">
      <alignment horizontal="left"/>
    </xf>
    <xf numFmtId="164" fontId="18" fillId="0" borderId="13" xfId="0" applyNumberFormat="1" applyFont="1" applyBorder="1" applyAlignment="1">
      <alignment horizontal="center"/>
    </xf>
    <xf numFmtId="3" fontId="18" fillId="2" borderId="13" xfId="0" applyNumberFormat="1" applyFont="1" applyFill="1" applyBorder="1"/>
    <xf numFmtId="3" fontId="0" fillId="2" borderId="18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right" vertical="center" wrapText="1"/>
    </xf>
    <xf numFmtId="0" fontId="37" fillId="0" borderId="4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right" vertical="center" wrapText="1"/>
    </xf>
    <xf numFmtId="0" fontId="37" fillId="0" borderId="5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left" vertical="center"/>
    </xf>
    <xf numFmtId="0" fontId="37" fillId="0" borderId="9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44" fillId="0" borderId="0" xfId="0" applyFont="1" applyFill="1" applyBorder="1"/>
    <xf numFmtId="166" fontId="44" fillId="4" borderId="0" xfId="0" applyNumberFormat="1" applyFont="1" applyFill="1" applyBorder="1"/>
    <xf numFmtId="3" fontId="44" fillId="4" borderId="0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44" fillId="0" borderId="13" xfId="0" applyFont="1" applyFill="1" applyBorder="1" applyAlignment="1">
      <alignment horizontal="center"/>
    </xf>
    <xf numFmtId="0" fontId="44" fillId="0" borderId="13" xfId="0" applyFont="1" applyFill="1" applyBorder="1"/>
    <xf numFmtId="0" fontId="47" fillId="0" borderId="13" xfId="0" applyFont="1" applyBorder="1"/>
    <xf numFmtId="166" fontId="44" fillId="4" borderId="13" xfId="0" applyNumberFormat="1" applyFont="1" applyFill="1" applyBorder="1"/>
    <xf numFmtId="3" fontId="44" fillId="4" borderId="13" xfId="0" applyNumberFormat="1" applyFont="1" applyFill="1" applyBorder="1"/>
    <xf numFmtId="0" fontId="44" fillId="0" borderId="12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/>
    <xf numFmtId="0" fontId="37" fillId="0" borderId="4" xfId="0" applyFont="1" applyFill="1" applyBorder="1" applyAlignment="1">
      <alignment wrapText="1"/>
    </xf>
    <xf numFmtId="0" fontId="37" fillId="0" borderId="5" xfId="0" applyFont="1" applyFill="1" applyBorder="1" applyAlignment="1">
      <alignment wrapText="1"/>
    </xf>
    <xf numFmtId="0" fontId="37" fillId="0" borderId="3" xfId="0" applyFont="1" applyBorder="1" applyAlignment="1">
      <alignment horizontal="center" wrapText="1"/>
    </xf>
    <xf numFmtId="0" fontId="0" fillId="0" borderId="24" xfId="0" applyFont="1" applyBorder="1" applyAlignment="1">
      <alignment horizontal="left"/>
    </xf>
    <xf numFmtId="0" fontId="0" fillId="0" borderId="20" xfId="0" applyBorder="1"/>
    <xf numFmtId="0" fontId="0" fillId="0" borderId="19" xfId="0" applyBorder="1"/>
    <xf numFmtId="0" fontId="45" fillId="0" borderId="17" xfId="0" applyFont="1" applyBorder="1" applyAlignment="1">
      <alignment horizontal="center" wrapText="1"/>
    </xf>
    <xf numFmtId="0" fontId="42" fillId="4" borderId="0" xfId="0" applyFont="1" applyFill="1"/>
    <xf numFmtId="0" fontId="65" fillId="0" borderId="3" xfId="0" applyFont="1" applyBorder="1"/>
    <xf numFmtId="0" fontId="65" fillId="0" borderId="4" xfId="0" applyFont="1" applyFill="1" applyBorder="1"/>
    <xf numFmtId="0" fontId="65" fillId="0" borderId="4" xfId="0" applyFont="1" applyBorder="1"/>
    <xf numFmtId="0" fontId="65" fillId="0" borderId="6" xfId="0" applyFont="1" applyBorder="1"/>
    <xf numFmtId="0" fontId="65" fillId="0" borderId="0" xfId="0" applyFont="1" applyBorder="1"/>
    <xf numFmtId="0" fontId="66" fillId="0" borderId="4" xfId="0" applyFont="1" applyBorder="1"/>
    <xf numFmtId="0" fontId="66" fillId="0" borderId="0" xfId="0" applyFont="1" applyBorder="1"/>
    <xf numFmtId="0" fontId="65" fillId="0" borderId="4" xfId="0" applyFont="1" applyFill="1" applyBorder="1" applyAlignment="1"/>
    <xf numFmtId="0" fontId="65" fillId="0" borderId="0" xfId="0" applyFont="1" applyFill="1" applyBorder="1" applyAlignment="1"/>
    <xf numFmtId="0" fontId="67" fillId="0" borderId="0" xfId="0" applyFont="1" applyBorder="1"/>
    <xf numFmtId="0" fontId="67" fillId="0" borderId="0" xfId="0" applyFont="1" applyFill="1" applyBorder="1"/>
    <xf numFmtId="0" fontId="67" fillId="0" borderId="8" xfId="0" applyFont="1" applyFill="1" applyBorder="1"/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37" fillId="0" borderId="58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55" fillId="0" borderId="0" xfId="0" applyFont="1" applyAlignment="1">
      <alignment horizontal="left"/>
    </xf>
    <xf numFmtId="3" fontId="0" fillId="2" borderId="17" xfId="0" applyNumberForma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6" fontId="0" fillId="2" borderId="17" xfId="0" applyNumberForma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166" fontId="0" fillId="2" borderId="18" xfId="0" applyNumberForma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2" borderId="53" xfId="0" applyNumberFormat="1" applyFont="1" applyFill="1" applyBorder="1" applyAlignment="1">
      <alignment horizontal="center" vertical="center" wrapText="1"/>
    </xf>
    <xf numFmtId="164" fontId="0" fillId="2" borderId="14" xfId="0" applyNumberFormat="1" applyFont="1" applyFill="1" applyBorder="1" applyAlignment="1">
      <alignment horizontal="center" vertical="center" wrapText="1"/>
    </xf>
    <xf numFmtId="164" fontId="0" fillId="2" borderId="56" xfId="0" applyNumberFormat="1" applyFont="1" applyFill="1" applyBorder="1" applyAlignment="1">
      <alignment horizontal="center" vertical="center" wrapText="1"/>
    </xf>
    <xf numFmtId="3" fontId="0" fillId="2" borderId="28" xfId="0" applyNumberFormat="1" applyFill="1" applyBorder="1" applyAlignment="1">
      <alignment horizontal="center" vertical="center" wrapText="1"/>
    </xf>
    <xf numFmtId="3" fontId="0" fillId="2" borderId="23" xfId="0" applyNumberFormat="1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 wrapText="1"/>
    </xf>
    <xf numFmtId="3" fontId="0" fillId="2" borderId="32" xfId="0" applyNumberForma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55" fillId="3" borderId="14" xfId="0" applyFont="1" applyFill="1" applyBorder="1" applyAlignment="1">
      <alignment horizontal="center" vertical="center"/>
    </xf>
    <xf numFmtId="0" fontId="55" fillId="3" borderId="63" xfId="0" applyFont="1" applyFill="1" applyBorder="1" applyAlignment="1">
      <alignment horizontal="center" vertical="center"/>
    </xf>
    <xf numFmtId="0" fontId="55" fillId="3" borderId="49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3" fontId="0" fillId="2" borderId="46" xfId="0" applyNumberFormat="1" applyFill="1" applyBorder="1" applyAlignment="1">
      <alignment horizontal="center" vertical="center" wrapText="1"/>
    </xf>
    <xf numFmtId="3" fontId="0" fillId="2" borderId="63" xfId="0" applyNumberFormat="1" applyFill="1" applyBorder="1" applyAlignment="1">
      <alignment horizontal="center" vertical="center" wrapText="1"/>
    </xf>
    <xf numFmtId="3" fontId="0" fillId="2" borderId="64" xfId="0" applyNumberForma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0" fillId="2" borderId="3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3" fontId="0" fillId="2" borderId="47" xfId="0" applyNumberFormat="1" applyFill="1" applyBorder="1" applyAlignment="1">
      <alignment horizontal="center" vertical="center" wrapText="1"/>
    </xf>
    <xf numFmtId="3" fontId="0" fillId="2" borderId="65" xfId="0" applyNumberFormat="1" applyFill="1" applyBorder="1" applyAlignment="1">
      <alignment horizontal="center" vertical="center" wrapText="1"/>
    </xf>
    <xf numFmtId="3" fontId="0" fillId="2" borderId="66" xfId="0" applyNumberFormat="1" applyFill="1" applyBorder="1" applyAlignment="1">
      <alignment horizontal="center" vertical="center" wrapText="1"/>
    </xf>
    <xf numFmtId="164" fontId="0" fillId="2" borderId="55" xfId="0" applyNumberFormat="1" applyFont="1" applyFill="1" applyBorder="1" applyAlignment="1">
      <alignment horizontal="center" vertical="center" wrapText="1"/>
    </xf>
    <xf numFmtId="164" fontId="0" fillId="2" borderId="60" xfId="0" applyNumberFormat="1" applyFont="1" applyFill="1" applyBorder="1" applyAlignment="1">
      <alignment horizontal="center" vertical="center" wrapText="1"/>
    </xf>
    <xf numFmtId="164" fontId="0" fillId="2" borderId="29" xfId="0" applyNumberFormat="1" applyFont="1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2" borderId="23" xfId="0" applyNumberFormat="1" applyFont="1" applyFill="1" applyBorder="1" applyAlignment="1">
      <alignment horizontal="center" vertical="center" wrapText="1"/>
    </xf>
    <xf numFmtId="164" fontId="0" fillId="2" borderId="32" xfId="0" applyNumberFormat="1" applyFont="1" applyFill="1" applyBorder="1" applyAlignment="1">
      <alignment horizontal="center" vertical="center" wrapText="1"/>
    </xf>
    <xf numFmtId="164" fontId="0" fillId="2" borderId="2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8" xfId="0" applyNumberFormat="1" applyFill="1" applyBorder="1" applyAlignment="1">
      <alignment horizontal="center" vertical="center" wrapText="1"/>
    </xf>
    <xf numFmtId="166" fontId="0" fillId="2" borderId="37" xfId="0" applyNumberFormat="1" applyFill="1" applyBorder="1" applyAlignment="1">
      <alignment horizontal="center" vertical="center" wrapText="1"/>
    </xf>
    <xf numFmtId="166" fontId="0" fillId="2" borderId="12" xfId="0" applyNumberFormat="1" applyFill="1" applyBorder="1" applyAlignment="1">
      <alignment horizontal="center" vertical="center" wrapText="1"/>
    </xf>
    <xf numFmtId="166" fontId="0" fillId="2" borderId="43" xfId="0" applyNumberFormat="1" applyFill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 wrapText="1"/>
    </xf>
    <xf numFmtId="164" fontId="0" fillId="2" borderId="23" xfId="0" applyNumberFormat="1" applyFill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/>
    </xf>
    <xf numFmtId="0" fontId="42" fillId="3" borderId="63" xfId="0" applyFont="1" applyFill="1" applyBorder="1" applyAlignment="1">
      <alignment horizontal="center" vertical="center"/>
    </xf>
    <xf numFmtId="0" fontId="42" fillId="3" borderId="49" xfId="0" applyFont="1" applyFill="1" applyBorder="1" applyAlignment="1">
      <alignment horizontal="center" vertical="center"/>
    </xf>
    <xf numFmtId="3" fontId="0" fillId="2" borderId="53" xfId="0" applyNumberFormat="1" applyFill="1" applyBorder="1" applyAlignment="1">
      <alignment horizontal="center" vertical="center" wrapText="1"/>
    </xf>
    <xf numFmtId="3" fontId="0" fillId="2" borderId="59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43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164" fontId="0" fillId="2" borderId="67" xfId="0" applyNumberFormat="1" applyFill="1" applyBorder="1" applyAlignment="1">
      <alignment horizontal="center" vertical="center" wrapText="1"/>
    </xf>
    <xf numFmtId="164" fontId="0" fillId="2" borderId="54" xfId="0" applyNumberFormat="1" applyFill="1" applyBorder="1" applyAlignment="1">
      <alignment horizontal="center" vertical="center" wrapText="1"/>
    </xf>
    <xf numFmtId="3" fontId="0" fillId="2" borderId="30" xfId="0" applyNumberForma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68" xfId="0" applyNumberFormat="1" applyFill="1" applyBorder="1" applyAlignment="1">
      <alignment horizontal="center" vertical="center" wrapText="1"/>
    </xf>
    <xf numFmtId="0" fontId="50" fillId="0" borderId="69" xfId="0" applyFont="1" applyFill="1" applyBorder="1" applyAlignment="1">
      <alignment horizontal="center" vertical="center"/>
    </xf>
    <xf numFmtId="0" fontId="50" fillId="0" borderId="70" xfId="0" applyFont="1" applyFill="1" applyBorder="1" applyAlignment="1">
      <alignment horizontal="center" vertical="center"/>
    </xf>
    <xf numFmtId="164" fontId="37" fillId="2" borderId="28" xfId="0" applyNumberFormat="1" applyFont="1" applyFill="1" applyBorder="1" applyAlignment="1">
      <alignment horizontal="center" vertical="center" wrapText="1"/>
    </xf>
    <xf numFmtId="164" fontId="37" fillId="2" borderId="17" xfId="0" applyNumberFormat="1" applyFont="1" applyFill="1" applyBorder="1" applyAlignment="1">
      <alignment horizontal="center" vertical="center" wrapText="1"/>
    </xf>
    <xf numFmtId="164" fontId="37" fillId="2" borderId="23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42" fillId="0" borderId="63" xfId="0" applyFont="1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164" fontId="0" fillId="2" borderId="47" xfId="0" applyNumberFormat="1" applyFill="1" applyBorder="1" applyAlignment="1">
      <alignment horizontal="center" vertical="center" wrapText="1"/>
    </xf>
    <xf numFmtId="164" fontId="0" fillId="2" borderId="65" xfId="0" applyNumberFormat="1" applyFill="1" applyBorder="1" applyAlignment="1">
      <alignment horizontal="center" vertical="center" wrapText="1"/>
    </xf>
    <xf numFmtId="164" fontId="0" fillId="2" borderId="66" xfId="0" applyNumberForma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166" fontId="0" fillId="2" borderId="53" xfId="0" applyNumberFormat="1" applyFont="1" applyFill="1" applyBorder="1" applyAlignment="1">
      <alignment horizontal="center" vertical="center" wrapText="1"/>
    </xf>
    <xf numFmtId="166" fontId="0" fillId="2" borderId="14" xfId="0" applyNumberFormat="1" applyFont="1" applyFill="1" applyBorder="1" applyAlignment="1">
      <alignment horizontal="center" vertical="center" wrapText="1"/>
    </xf>
    <xf numFmtId="166" fontId="0" fillId="2" borderId="56" xfId="0" applyNumberFormat="1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6" fontId="0" fillId="2" borderId="55" xfId="0" applyNumberFormat="1" applyFont="1" applyFill="1" applyBorder="1" applyAlignment="1">
      <alignment horizontal="center" vertical="center" wrapText="1"/>
    </xf>
    <xf numFmtId="166" fontId="0" fillId="2" borderId="60" xfId="0" applyNumberFormat="1" applyFont="1" applyFill="1" applyBorder="1" applyAlignment="1">
      <alignment horizontal="center" vertical="center" wrapText="1"/>
    </xf>
    <xf numFmtId="166" fontId="0" fillId="2" borderId="29" xfId="0" applyNumberFormat="1" applyFont="1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8" fillId="2" borderId="28" xfId="0" applyNumberFormat="1" applyFont="1" applyFill="1" applyBorder="1" applyAlignment="1">
      <alignment horizontal="center" vertical="center" wrapText="1"/>
    </xf>
    <xf numFmtId="3" fontId="18" fillId="2" borderId="17" xfId="0" applyNumberFormat="1" applyFont="1" applyFill="1" applyBorder="1" applyAlignment="1">
      <alignment horizontal="center" vertical="center" wrapText="1"/>
    </xf>
    <xf numFmtId="3" fontId="18" fillId="2" borderId="23" xfId="0" applyNumberFormat="1" applyFont="1" applyFill="1" applyBorder="1" applyAlignment="1">
      <alignment horizontal="center" vertical="center" wrapText="1"/>
    </xf>
    <xf numFmtId="3" fontId="18" fillId="2" borderId="24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32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0" fillId="2" borderId="23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164" fontId="0" fillId="2" borderId="17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18" xfId="0" applyNumberFormat="1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/>
    </xf>
    <xf numFmtId="0" fontId="42" fillId="0" borderId="49" xfId="0" applyFont="1" applyBorder="1" applyAlignment="1">
      <alignment horizontal="center"/>
    </xf>
    <xf numFmtId="3" fontId="0" fillId="2" borderId="31" xfId="0" applyNumberFormat="1" applyFill="1" applyBorder="1" applyAlignment="1">
      <alignment horizontal="center" vertical="center" wrapText="1"/>
    </xf>
    <xf numFmtId="3" fontId="0" fillId="2" borderId="42" xfId="0" applyNumberFormat="1" applyFill="1" applyBorder="1" applyAlignment="1">
      <alignment horizontal="center" vertical="center" wrapText="1"/>
    </xf>
    <xf numFmtId="3" fontId="0" fillId="2" borderId="29" xfId="0" applyNumberForma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18" xfId="0" applyFont="1" applyFill="1" applyBorder="1" applyAlignment="1">
      <alignment horizontal="center" vertical="center"/>
    </xf>
    <xf numFmtId="0" fontId="44" fillId="2" borderId="37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164" fontId="44" fillId="2" borderId="55" xfId="0" applyNumberFormat="1" applyFont="1" applyFill="1" applyBorder="1" applyAlignment="1">
      <alignment horizontal="center" vertical="center" wrapText="1"/>
    </xf>
    <xf numFmtId="164" fontId="44" fillId="2" borderId="60" xfId="0" applyNumberFormat="1" applyFont="1" applyFill="1" applyBorder="1" applyAlignment="1">
      <alignment horizontal="center" vertical="center" wrapText="1"/>
    </xf>
    <xf numFmtId="164" fontId="44" fillId="2" borderId="29" xfId="0" applyNumberFormat="1" applyFont="1" applyFill="1" applyBorder="1" applyAlignment="1">
      <alignment horizontal="center" vertical="center" wrapText="1"/>
    </xf>
    <xf numFmtId="164" fontId="44" fillId="2" borderId="47" xfId="0" applyNumberFormat="1" applyFont="1" applyFill="1" applyBorder="1" applyAlignment="1">
      <alignment horizontal="center" vertical="center" wrapText="1"/>
    </xf>
    <xf numFmtId="164" fontId="44" fillId="2" borderId="65" xfId="0" applyNumberFormat="1" applyFont="1" applyFill="1" applyBorder="1" applyAlignment="1">
      <alignment horizontal="center" vertical="center" wrapText="1"/>
    </xf>
    <xf numFmtId="164" fontId="44" fillId="2" borderId="66" xfId="0" applyNumberFormat="1" applyFont="1" applyFill="1" applyBorder="1" applyAlignment="1">
      <alignment horizontal="center" vertical="center" wrapText="1"/>
    </xf>
    <xf numFmtId="3" fontId="44" fillId="2" borderId="46" xfId="0" applyNumberFormat="1" applyFont="1" applyFill="1" applyBorder="1" applyAlignment="1">
      <alignment horizontal="center" vertical="center" wrapText="1"/>
    </xf>
    <xf numFmtId="3" fontId="44" fillId="2" borderId="63" xfId="0" applyNumberFormat="1" applyFont="1" applyFill="1" applyBorder="1" applyAlignment="1">
      <alignment horizontal="center" vertical="center" wrapText="1"/>
    </xf>
    <xf numFmtId="3" fontId="44" fillId="2" borderId="64" xfId="0" applyNumberFormat="1" applyFont="1" applyFill="1" applyBorder="1" applyAlignment="1">
      <alignment horizontal="center" vertical="center" wrapText="1"/>
    </xf>
    <xf numFmtId="0" fontId="44" fillId="2" borderId="61" xfId="0" applyFont="1" applyFill="1" applyBorder="1" applyAlignment="1">
      <alignment horizontal="center" vertical="center" wrapText="1"/>
    </xf>
    <xf numFmtId="0" fontId="44" fillId="2" borderId="62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2"/>
    <cellStyle name="Dziesiętny 2 2" xf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43" workbookViewId="0">
      <selection activeCell="E17" sqref="E17"/>
    </sheetView>
  </sheetViews>
  <sheetFormatPr defaultRowHeight="14.25"/>
  <cols>
    <col min="1" max="1" width="27.625" customWidth="1"/>
    <col min="2" max="2" width="20.875" customWidth="1"/>
    <col min="3" max="3" width="13.75" customWidth="1"/>
    <col min="4" max="4" width="12.75" customWidth="1"/>
    <col min="5" max="5" width="12.125" customWidth="1"/>
    <col min="6" max="6" width="12.5" customWidth="1"/>
    <col min="7" max="7" width="17.75" customWidth="1"/>
  </cols>
  <sheetData>
    <row r="1" spans="1:12" s="1" customFormat="1" ht="15.75">
      <c r="A1" s="1640" t="s">
        <v>1719</v>
      </c>
      <c r="B1" s="1640"/>
      <c r="C1" s="1640"/>
      <c r="D1" s="1640"/>
      <c r="E1" s="1640"/>
      <c r="F1" s="1640"/>
      <c r="G1" s="1640"/>
      <c r="H1" s="1640"/>
      <c r="I1" s="1640"/>
      <c r="J1" s="1640"/>
      <c r="K1" s="1640"/>
      <c r="L1" s="1640"/>
    </row>
    <row r="2" spans="1:12" s="1" customFormat="1" ht="15">
      <c r="A2" s="1437"/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</row>
    <row r="3" spans="1:12" s="1" customFormat="1" ht="15.75">
      <c r="A3" s="1307" t="s">
        <v>1923</v>
      </c>
      <c r="B3" s="1307"/>
      <c r="C3" s="1307"/>
      <c r="D3" s="1437"/>
      <c r="E3" s="1437"/>
      <c r="F3" s="1437"/>
      <c r="G3" s="1437"/>
      <c r="H3" s="1437"/>
      <c r="I3" s="1437"/>
      <c r="J3" s="1437"/>
      <c r="K3" s="1437"/>
      <c r="L3" s="1437"/>
    </row>
    <row r="4" spans="1:12" s="1" customFormat="1" ht="15.75">
      <c r="A4" s="1307"/>
      <c r="B4" s="1641"/>
      <c r="C4" s="1641"/>
      <c r="D4" s="1641"/>
      <c r="E4" s="1641"/>
      <c r="F4" s="1437"/>
      <c r="G4" s="1437"/>
      <c r="H4" s="1437"/>
      <c r="I4" s="1437"/>
      <c r="J4" s="1437"/>
      <c r="K4" s="1437"/>
      <c r="L4" s="1437"/>
    </row>
    <row r="5" spans="1:12" s="1" customFormat="1" ht="15.75">
      <c r="A5" s="470" t="s">
        <v>1</v>
      </c>
      <c r="B5" s="1307"/>
      <c r="C5" s="1307"/>
      <c r="D5" s="1437"/>
      <c r="E5" s="1437"/>
      <c r="F5" s="1437"/>
      <c r="G5" s="1437"/>
      <c r="H5" s="1437"/>
      <c r="I5" s="1437"/>
      <c r="J5" s="1437"/>
      <c r="K5" s="1437"/>
      <c r="L5" s="1437"/>
    </row>
    <row r="6" spans="1:12" s="1" customFormat="1" ht="15.75">
      <c r="A6" s="1307" t="s">
        <v>1921</v>
      </c>
      <c r="B6" s="1307"/>
      <c r="C6" s="1307"/>
      <c r="D6" s="1437"/>
      <c r="E6" s="1437"/>
      <c r="F6" s="1437"/>
      <c r="G6" s="1437"/>
      <c r="H6" s="1437"/>
      <c r="I6" s="1437"/>
      <c r="J6" s="1437"/>
      <c r="K6" s="1437"/>
      <c r="L6" s="1437"/>
    </row>
    <row r="7" spans="1:12" s="1" customFormat="1" ht="15.75">
      <c r="A7" s="1438" t="s">
        <v>1924</v>
      </c>
      <c r="B7" s="1307"/>
      <c r="C7" s="1307"/>
      <c r="D7" s="1437"/>
      <c r="E7" s="1437"/>
      <c r="F7" s="1437"/>
      <c r="G7" s="1437"/>
      <c r="H7" s="1437"/>
      <c r="I7" s="1437"/>
      <c r="J7" s="1437"/>
      <c r="K7" s="1437"/>
      <c r="L7" s="1437"/>
    </row>
    <row r="8" spans="1:12" s="1" customFormat="1" ht="15.75">
      <c r="A8" s="1438" t="s">
        <v>1715</v>
      </c>
      <c r="B8" s="1307"/>
      <c r="C8" s="1307"/>
      <c r="D8" s="1437"/>
      <c r="E8" s="1437"/>
      <c r="F8" s="1437"/>
      <c r="G8" s="1437"/>
      <c r="H8" s="1437"/>
      <c r="I8" s="1437"/>
      <c r="J8" s="1437"/>
      <c r="K8" s="1437"/>
      <c r="L8" s="1437"/>
    </row>
    <row r="9" spans="1:12" s="1" customFormat="1" ht="15.75">
      <c r="A9" s="1437" t="s">
        <v>1713</v>
      </c>
      <c r="B9" s="1307"/>
      <c r="C9" s="1307"/>
      <c r="D9" s="1437"/>
      <c r="E9" s="1437"/>
      <c r="F9" s="1437"/>
      <c r="G9" s="1437"/>
      <c r="H9" s="1437"/>
      <c r="I9" s="1437"/>
      <c r="J9" s="1437"/>
      <c r="K9" s="1437"/>
      <c r="L9" s="1437"/>
    </row>
    <row r="10" spans="1:12" s="1" customFormat="1" ht="15.75">
      <c r="A10" s="1437"/>
      <c r="B10" s="1307"/>
      <c r="C10" s="1307"/>
      <c r="D10" s="1437"/>
      <c r="E10" s="1437"/>
      <c r="F10" s="1437"/>
      <c r="G10" s="1437"/>
      <c r="H10" s="1437"/>
      <c r="I10" s="1437"/>
      <c r="J10" s="1437"/>
      <c r="K10" s="1437"/>
      <c r="L10" s="1437"/>
    </row>
    <row r="11" spans="1:12" s="1" customFormat="1" ht="15.75">
      <c r="A11" s="1439" t="s">
        <v>1716</v>
      </c>
      <c r="B11" s="1649" t="s">
        <v>1714</v>
      </c>
      <c r="C11" s="1649"/>
      <c r="D11" s="1649"/>
      <c r="E11" s="1649"/>
      <c r="F11" s="1649"/>
      <c r="G11" s="1649"/>
      <c r="H11" s="1649"/>
      <c r="I11" s="1649"/>
      <c r="J11" s="1649"/>
      <c r="K11" s="1440"/>
      <c r="L11" s="1440"/>
    </row>
    <row r="12" spans="1:12" s="1" customFormat="1" ht="15.75">
      <c r="A12" s="1439"/>
      <c r="B12" s="1441"/>
      <c r="C12" s="1441"/>
      <c r="D12" s="1441"/>
      <c r="E12" s="1441"/>
      <c r="F12" s="1441"/>
      <c r="G12" s="1441"/>
      <c r="H12" s="1441"/>
      <c r="I12" s="1441"/>
      <c r="J12" s="1441"/>
      <c r="K12" s="1440"/>
      <c r="L12" s="1440"/>
    </row>
    <row r="13" spans="1:12" s="1" customFormat="1" ht="78" customHeight="1">
      <c r="A13" s="1443" t="s">
        <v>1717</v>
      </c>
      <c r="B13" s="1443" t="s">
        <v>1925</v>
      </c>
      <c r="C13" s="1443" t="s">
        <v>1718</v>
      </c>
      <c r="D13" s="1441"/>
      <c r="E13" s="1441"/>
      <c r="F13" s="1441"/>
      <c r="G13" s="1441"/>
      <c r="H13" s="1441"/>
      <c r="I13" s="1441"/>
      <c r="J13" s="1441"/>
      <c r="K13" s="1440"/>
      <c r="L13" s="1440"/>
    </row>
    <row r="14" spans="1:12" s="1" customFormat="1" ht="15.75">
      <c r="A14" s="1442" t="s">
        <v>136</v>
      </c>
      <c r="B14" s="1446">
        <f>'+Miasto Mińsk'!M303</f>
        <v>3161314.35</v>
      </c>
      <c r="C14" s="1446">
        <f>'+Miasto Mińsk'!O302</f>
        <v>65</v>
      </c>
      <c r="D14" s="1441"/>
      <c r="E14" s="1441"/>
      <c r="F14" s="1441"/>
      <c r="G14" s="1441"/>
      <c r="H14" s="1441"/>
      <c r="I14" s="1441"/>
      <c r="J14" s="1441"/>
      <c r="K14" s="1440"/>
      <c r="L14" s="1440"/>
    </row>
    <row r="15" spans="1:12" s="1" customFormat="1" ht="15.75">
      <c r="A15" s="1442" t="s">
        <v>805</v>
      </c>
      <c r="B15" s="1446">
        <f>'+Powiat Miński'!M156</f>
        <v>1599109.0999999999</v>
      </c>
      <c r="C15" s="1446">
        <f>'+Powiat Miński'!O155</f>
        <v>20</v>
      </c>
      <c r="D15" s="1441"/>
      <c r="E15" s="1441"/>
      <c r="F15" s="1441"/>
      <c r="G15" s="1441"/>
      <c r="H15" s="1441"/>
      <c r="I15" s="1441"/>
      <c r="J15" s="1441"/>
      <c r="K15" s="1440"/>
      <c r="L15" s="1440"/>
    </row>
    <row r="16" spans="1:12" s="1" customFormat="1" ht="15.75">
      <c r="A16" s="1442" t="s">
        <v>1050</v>
      </c>
      <c r="B16" s="1446">
        <f>'+Gmina Halinów'!M195</f>
        <v>1761275.7999999998</v>
      </c>
      <c r="C16" s="1446">
        <f>'+Gmina Halinów'!O194</f>
        <v>51</v>
      </c>
      <c r="D16" s="1441"/>
      <c r="E16" s="1441"/>
      <c r="F16" s="1441"/>
      <c r="G16" s="1441"/>
      <c r="H16" s="1441"/>
      <c r="I16" s="1441"/>
      <c r="J16" s="1441"/>
      <c r="K16" s="1440"/>
      <c r="L16" s="1440"/>
    </row>
    <row r="17" spans="1:12" s="1" customFormat="1" ht="15.75">
      <c r="A17" s="1442" t="s">
        <v>706</v>
      </c>
      <c r="B17" s="1446">
        <f>'+Gmina Mrozy'!L223</f>
        <v>1245936.1499999999</v>
      </c>
      <c r="C17" s="1446">
        <f>'+Gmina Mrozy'!N222</f>
        <v>54</v>
      </c>
      <c r="D17" s="1441"/>
      <c r="E17" s="1441"/>
      <c r="F17" s="1441"/>
      <c r="G17" s="1441"/>
      <c r="H17" s="1441"/>
      <c r="I17" s="1441"/>
      <c r="J17" s="1441"/>
      <c r="K17" s="1440"/>
      <c r="L17" s="1440"/>
    </row>
    <row r="18" spans="1:12" s="1" customFormat="1" ht="15.75">
      <c r="A18" s="1442" t="s">
        <v>271</v>
      </c>
      <c r="B18" s="1446">
        <f>'+Gmina Mińsk Mazowiecki'!M261</f>
        <v>845149.27500000002</v>
      </c>
      <c r="C18" s="1446">
        <f>'+Gmina Mińsk Mazowiecki'!O260</f>
        <v>61</v>
      </c>
      <c r="D18" s="1441"/>
      <c r="E18" s="1441"/>
      <c r="F18" s="1441"/>
      <c r="G18" s="1441"/>
      <c r="H18" s="1441"/>
      <c r="I18" s="1441"/>
      <c r="J18" s="1441"/>
      <c r="K18" s="1440"/>
      <c r="L18" s="1440"/>
    </row>
    <row r="19" spans="1:12" s="1" customFormat="1" ht="15.75">
      <c r="A19" s="1442" t="s">
        <v>363</v>
      </c>
      <c r="B19" s="1446">
        <f>'+Gmina Dębe Wielkie'!M136</f>
        <v>699236.52</v>
      </c>
      <c r="C19" s="1446">
        <f>'+Gmina Dębe Wielkie'!O135</f>
        <v>34</v>
      </c>
      <c r="D19" s="1441"/>
      <c r="E19" s="1441"/>
      <c r="F19" s="1441"/>
      <c r="G19" s="1441"/>
      <c r="H19" s="1441"/>
      <c r="I19" s="1441"/>
      <c r="J19" s="1441"/>
      <c r="K19" s="1440"/>
      <c r="L19" s="1440"/>
    </row>
    <row r="20" spans="1:12" s="1" customFormat="1" ht="15.75">
      <c r="A20" s="1442" t="s">
        <v>435</v>
      </c>
      <c r="B20" s="1446">
        <f>'+Gmina Siennica'!M207</f>
        <v>662225.35000000009</v>
      </c>
      <c r="C20" s="1446">
        <f>'+Gmina Siennica'!O206</f>
        <v>37</v>
      </c>
      <c r="D20" s="1441"/>
      <c r="E20" s="1441"/>
      <c r="F20" s="1441"/>
      <c r="G20" s="1441"/>
      <c r="H20" s="1441"/>
      <c r="I20" s="1441"/>
      <c r="J20" s="1441"/>
      <c r="K20" s="1440"/>
      <c r="L20" s="1440"/>
    </row>
    <row r="21" spans="1:12" s="1" customFormat="1" ht="15.75">
      <c r="A21" s="1442" t="s">
        <v>462</v>
      </c>
      <c r="B21" s="1446">
        <f>'+Gmina Latowicz'!M124</f>
        <v>320401.65000000002</v>
      </c>
      <c r="C21" s="1446">
        <f>'+Gmina Latowicz'!O123</f>
        <v>40</v>
      </c>
      <c r="D21" s="1441"/>
      <c r="E21" s="1441"/>
      <c r="F21" s="1441"/>
      <c r="G21" s="1441"/>
      <c r="H21" s="1441"/>
      <c r="I21" s="1441"/>
      <c r="J21" s="1441"/>
      <c r="K21" s="1440"/>
      <c r="L21" s="1440"/>
    </row>
    <row r="22" spans="1:12" s="1" customFormat="1" ht="15.75">
      <c r="A22" s="1442" t="s">
        <v>501</v>
      </c>
      <c r="B22" s="1446">
        <f>'+Gmina Cegłów'!M141</f>
        <v>444933.80000000005</v>
      </c>
      <c r="C22" s="1446">
        <f>'+Gmina Cegłów'!O140</f>
        <v>36</v>
      </c>
      <c r="D22" s="1441"/>
      <c r="E22" s="1441"/>
      <c r="F22" s="1441"/>
      <c r="G22" s="1441"/>
      <c r="H22" s="1441"/>
      <c r="I22" s="1441"/>
      <c r="J22" s="1441"/>
      <c r="K22" s="1440"/>
      <c r="L22" s="1440"/>
    </row>
    <row r="23" spans="1:12" s="1" customFormat="1" ht="15.75">
      <c r="A23" s="1442" t="s">
        <v>586</v>
      </c>
      <c r="B23" s="1446">
        <f>'+Miasto Sulejówek'!M241</f>
        <v>2475793.7999999993</v>
      </c>
      <c r="C23" s="1446">
        <f>'+Miasto Sulejówek'!O240</f>
        <v>69</v>
      </c>
      <c r="D23" s="1441"/>
      <c r="E23" s="1441"/>
      <c r="F23" s="1441"/>
      <c r="G23" s="1441"/>
      <c r="H23" s="1441"/>
      <c r="I23" s="1441"/>
      <c r="J23" s="1441"/>
      <c r="K23" s="1440"/>
      <c r="L23" s="1440"/>
    </row>
    <row r="24" spans="1:12" s="1" customFormat="1" ht="15.75">
      <c r="A24" s="1442" t="s">
        <v>861</v>
      </c>
      <c r="B24" s="1446">
        <f>'+Gmina Dobre'!M85</f>
        <v>574930.35</v>
      </c>
      <c r="C24" s="1446">
        <f>'+Gmina Dobre'!O84</f>
        <v>34</v>
      </c>
      <c r="D24" s="1441"/>
      <c r="E24" s="1441"/>
      <c r="F24" s="1441"/>
      <c r="G24" s="1441"/>
      <c r="H24" s="1441"/>
      <c r="I24" s="1441"/>
      <c r="J24" s="1441"/>
      <c r="K24" s="1440"/>
      <c r="L24" s="1440"/>
    </row>
    <row r="25" spans="1:12" s="1" customFormat="1" ht="15.75">
      <c r="A25" s="1442" t="s">
        <v>850</v>
      </c>
      <c r="B25" s="1446">
        <f>'+Gmina Jakubów'!M108</f>
        <v>385179.6</v>
      </c>
      <c r="C25" s="1446">
        <f>'+Gmina Jakubów'!O107</f>
        <v>29</v>
      </c>
      <c r="D25" s="1441"/>
      <c r="E25" s="1441"/>
      <c r="F25" s="1441"/>
      <c r="G25" s="1441"/>
      <c r="H25" s="1441"/>
      <c r="I25" s="1441"/>
      <c r="J25" s="1441"/>
      <c r="K25" s="1440"/>
      <c r="L25" s="1440"/>
    </row>
    <row r="26" spans="1:12" s="1" customFormat="1" ht="15.75">
      <c r="A26" s="1442" t="s">
        <v>1492</v>
      </c>
      <c r="B26" s="1446">
        <f>'+Gmina Kałuszyn'!M174</f>
        <v>551306.89999999991</v>
      </c>
      <c r="C26" s="1446">
        <f>'+Gmina Kałuszyn'!O173</f>
        <v>41</v>
      </c>
      <c r="D26" s="1441"/>
      <c r="E26" s="1441"/>
      <c r="F26" s="1441"/>
      <c r="G26" s="1441"/>
      <c r="H26" s="1441"/>
      <c r="I26" s="1441"/>
      <c r="J26" s="1441"/>
      <c r="K26" s="1440"/>
      <c r="L26" s="1440"/>
    </row>
    <row r="27" spans="1:12" s="1" customFormat="1" ht="15.75">
      <c r="A27" s="1442" t="s">
        <v>708</v>
      </c>
      <c r="B27" s="1446">
        <f>'+Gmina Stanisławów'!M98</f>
        <v>682581.2</v>
      </c>
      <c r="C27" s="1446">
        <f>'+Gmina Stanisławów'!O97</f>
        <v>25</v>
      </c>
      <c r="D27" s="1441"/>
      <c r="E27" s="1441"/>
      <c r="F27" s="1441"/>
      <c r="G27" s="1441"/>
      <c r="H27" s="1441"/>
      <c r="I27" s="1441"/>
      <c r="J27" s="1441"/>
      <c r="K27" s="1440"/>
      <c r="L27" s="1440"/>
    </row>
    <row r="28" spans="1:12" s="1" customFormat="1" ht="16.5" thickBot="1">
      <c r="A28" s="1444" t="s">
        <v>1519</v>
      </c>
      <c r="B28" s="1447">
        <f>'Gmina Kotuń'!M154</f>
        <v>725314.9</v>
      </c>
      <c r="C28" s="1447">
        <f>'Gmina Kotuń'!O153</f>
        <v>73</v>
      </c>
      <c r="D28" s="1441"/>
      <c r="E28" s="1441"/>
      <c r="F28" s="1441"/>
      <c r="G28" s="1441"/>
      <c r="H28" s="1441"/>
      <c r="I28" s="1441"/>
      <c r="J28" s="1441"/>
      <c r="K28" s="1440"/>
      <c r="L28" s="1440"/>
    </row>
    <row r="29" spans="1:12" s="1" customFormat="1" ht="16.5" thickBot="1">
      <c r="A29" s="1439" t="s">
        <v>730</v>
      </c>
      <c r="B29" s="1445">
        <f>SUM(B14:B28)</f>
        <v>16134688.744999999</v>
      </c>
      <c r="C29" s="1445">
        <f>SUM(C14:C28)</f>
        <v>669</v>
      </c>
      <c r="D29" s="1441"/>
      <c r="E29" s="1441"/>
      <c r="F29" s="1441"/>
      <c r="G29" s="1441"/>
      <c r="H29" s="1441"/>
      <c r="I29" s="1441"/>
      <c r="J29" s="1441"/>
      <c r="K29" s="1440"/>
      <c r="L29" s="1440"/>
    </row>
    <row r="30" spans="1:12" s="1" customFormat="1" ht="15.75">
      <c r="A30" s="1439"/>
      <c r="B30" s="1441"/>
      <c r="C30" s="1441"/>
      <c r="D30" s="1441"/>
      <c r="E30" s="1441"/>
      <c r="F30" s="1441"/>
      <c r="G30" s="1441"/>
      <c r="H30" s="1441"/>
      <c r="I30" s="1441"/>
      <c r="J30" s="1441"/>
      <c r="K30" s="1440"/>
      <c r="L30" s="1440"/>
    </row>
    <row r="31" spans="1:12" ht="15">
      <c r="A31" s="1"/>
      <c r="B31" s="1"/>
      <c r="C31" s="1"/>
      <c r="D31" s="1"/>
      <c r="E31" s="1"/>
      <c r="F31" s="1"/>
      <c r="G31" s="886"/>
      <c r="H31" s="1"/>
    </row>
    <row r="32" spans="1:12" ht="15.75">
      <c r="A32" s="1641" t="s">
        <v>1720</v>
      </c>
      <c r="B32" s="1641"/>
      <c r="C32" s="1641"/>
      <c r="D32" s="1641"/>
      <c r="E32" s="1641"/>
      <c r="F32" s="1641"/>
      <c r="G32" s="1641"/>
      <c r="H32" s="1"/>
    </row>
    <row r="33" spans="1:8" ht="15" thickBot="1">
      <c r="A33" s="1"/>
      <c r="B33" s="1"/>
      <c r="C33" s="1"/>
      <c r="D33" s="1"/>
      <c r="E33" s="1"/>
      <c r="F33" s="1"/>
      <c r="G33" s="1"/>
      <c r="H33" s="1"/>
    </row>
    <row r="34" spans="1:8" ht="21" customHeight="1">
      <c r="A34" s="1642" t="s">
        <v>59</v>
      </c>
      <c r="B34" s="1644" t="s">
        <v>1187</v>
      </c>
      <c r="C34" s="1645"/>
      <c r="D34" s="1645"/>
      <c r="E34" s="1645"/>
      <c r="F34" s="1646"/>
      <c r="G34" s="1647" t="s">
        <v>1193</v>
      </c>
      <c r="H34" s="1"/>
    </row>
    <row r="35" spans="1:8" ht="36" customHeight="1" thickBot="1">
      <c r="A35" s="1643"/>
      <c r="B35" s="1460" t="s">
        <v>1188</v>
      </c>
      <c r="C35" s="1461" t="s">
        <v>1189</v>
      </c>
      <c r="D35" s="1461" t="s">
        <v>1190</v>
      </c>
      <c r="E35" s="1461" t="s">
        <v>1191</v>
      </c>
      <c r="F35" s="1462" t="s">
        <v>1192</v>
      </c>
      <c r="G35" s="1648"/>
      <c r="H35" s="1"/>
    </row>
    <row r="36" spans="1:8" ht="15">
      <c r="A36" s="1448" t="s">
        <v>716</v>
      </c>
      <c r="B36" s="861">
        <f>'+Miasto Mińsk'!L297+'+Powiat Miński'!L151+'+Gmina Halinów'!L189+'+Gmina Siennica'!L201+'+Gmina Latowicz'!L117+'+Gmina Cegłów'!L135+'+Gmina Dobre'!L80+'+Gmina Jakubów'!L102+'+Gmina Kałuszyn'!L169+'+Gmina Stanisławów'!L92+'Gmina Kotuń'!L148</f>
        <v>191576</v>
      </c>
      <c r="C36" s="862"/>
      <c r="D36" s="862"/>
      <c r="E36" s="862"/>
      <c r="F36" s="863"/>
      <c r="G36" s="1453">
        <f>'+Miasto Mińsk'!O297+'+Powiat Miński'!O151+'+Gmina Halinów'!O189+'+Gmina Siennica'!O201+'+Gmina Latowicz'!O117+'+Gmina Cegłów'!O135+'+Gmina Dobre'!O80+'+Gmina Jakubów'!O102+'+Gmina Kałuszyn'!O169+'+Gmina Stanisławów'!O92+'Gmina Kotuń'!O148</f>
        <v>40</v>
      </c>
      <c r="H36" s="1"/>
    </row>
    <row r="37" spans="1:8" s="1" customFormat="1" ht="15">
      <c r="A37" s="1449" t="s">
        <v>1099</v>
      </c>
      <c r="B37" s="864"/>
      <c r="C37" s="865"/>
      <c r="D37" s="865"/>
      <c r="E37" s="866">
        <f>'+Powiat Miński'!M152+'+Gmina Halinów'!M190+'+Gmina Siennica'!M202</f>
        <v>240518.00000000003</v>
      </c>
      <c r="F37" s="867">
        <f>'+Powiat Miński'!N152+'+Gmina Halinów'!N190+'+Gmina Siennica'!N202</f>
        <v>94698</v>
      </c>
      <c r="G37" s="1454">
        <f>'+Powiat Miński'!O152+'+Gmina Halinów'!O190+'+Gmina Siennica'!O202</f>
        <v>8</v>
      </c>
    </row>
    <row r="38" spans="1:8" s="1" customFormat="1" ht="15">
      <c r="A38" s="1449" t="s">
        <v>1331</v>
      </c>
      <c r="B38" s="864"/>
      <c r="C38" s="865"/>
      <c r="D38" s="865"/>
      <c r="E38" s="866">
        <f>'+Powiat Miński'!M153</f>
        <v>81232.2</v>
      </c>
      <c r="F38" s="867">
        <f>'+Powiat Miński'!N153</f>
        <v>71169</v>
      </c>
      <c r="G38" s="1454">
        <f>'+Powiat Miński'!O153</f>
        <v>1</v>
      </c>
    </row>
    <row r="39" spans="1:8" ht="15">
      <c r="A39" s="1450" t="s">
        <v>28</v>
      </c>
      <c r="B39" s="868">
        <f>'+Miasto Mińsk'!L296+'+Powiat Miński'!L150+'+Gmina Halinów'!L191+'+Gmina Mrozy'!K217+'+Gmina Mińsk Mazowiecki'!L256+'+Gmina Dębe Wielkie'!L131+'+Gmina Siennica'!L203+'+Gmina Latowicz'!L118+'+Gmina Cegłów'!L136+'+Miasto Sulejówek'!L237+'+Gmina Dobre'!L81+'+Gmina Jakubów'!L103+'+Gmina Kałuszyn'!L170+'+Gmina Stanisławów'!L94+'Gmina Kotuń'!L149</f>
        <v>2480542.1</v>
      </c>
      <c r="C39" s="869"/>
      <c r="D39" s="869"/>
      <c r="E39" s="869"/>
      <c r="F39" s="870"/>
      <c r="G39" s="1454">
        <f>'+Miasto Mińsk'!O296+'+Powiat Miński'!O150+'+Gmina Halinów'!O191+'+Gmina Mrozy'!N217+'+Gmina Mińsk Mazowiecki'!O256+'+Gmina Dębe Wielkie'!O131+'+Gmina Siennica'!O203+'+Gmina Latowicz'!O118+'+Gmina Cegłów'!O136+'+Miasto Sulejówek'!O237+'+Gmina Dobre'!O81+'+Gmina Jakubów'!O103+'+Gmina Kałuszyn'!O170+'+Gmina Stanisławów'!O94+'Gmina Kotuń'!O149</f>
        <v>297</v>
      </c>
      <c r="H39" s="1"/>
    </row>
    <row r="40" spans="1:8" ht="15">
      <c r="A40" s="1451" t="s">
        <v>65</v>
      </c>
      <c r="B40" s="871"/>
      <c r="C40" s="872">
        <f>'+Miasto Mińsk'!M299+'+Gmina Halinów'!M192+'+Gmina Mrozy'!L221+'+Gmina Mińsk Mazowiecki'!M258+'+Gmina Dębe Wielkie'!M134+'+Gmina Siennica'!M204+'+Gmina Latowicz'!M120+'+Gmina Cegłów'!M138+'+Miasto Sulejówek'!M239+'+Gmina Dobre'!M83+'+Gmina Jakubów'!M105+'+Gmina Kałuszyn'!M172+'+Gmina Stanisławów'!M95+'Gmina Kotuń'!M150</f>
        <v>668336.33333333326</v>
      </c>
      <c r="D40" s="872">
        <f>'+Miasto Mińsk'!N299+'+Gmina Halinów'!N192+'+Gmina Mrozy'!M221+'+Gmina Mińsk Mazowiecki'!N258+'+Gmina Dębe Wielkie'!N134+'+Gmina Siennica'!N204+'+Gmina Latowicz'!N120+'+Gmina Cegłów'!N138+'+Miasto Sulejówek'!N239+'+Gmina Dobre'!N83+'+Gmina Jakubów'!N105+'+Gmina Kałuszyn'!N172+'+Gmina Stanisławów'!N95+'Gmina Kotuń'!N150</f>
        <v>1656655.5999999999</v>
      </c>
      <c r="E40" s="869"/>
      <c r="F40" s="870"/>
      <c r="G40" s="1455">
        <f>'+Miasto Mińsk'!O299+'+Gmina Halinów'!O192+'+Gmina Mrozy'!N221+'+Gmina Mińsk Mazowiecki'!O258+'+Gmina Dębe Wielkie'!O134+'+Gmina Siennica'!O204+'+Gmina Latowicz'!O120+'+Gmina Cegłów'!O138+'+Miasto Sulejówek'!O239+'+Gmina Dobre'!O83+'+Gmina Jakubów'!O105+'+Gmina Kałuszyn'!O172+'+Gmina Stanisławów'!O95+'Gmina Kotuń'!O150</f>
        <v>241</v>
      </c>
      <c r="H40" s="1"/>
    </row>
    <row r="41" spans="1:8" ht="15">
      <c r="A41" s="1451" t="s">
        <v>442</v>
      </c>
      <c r="B41" s="871"/>
      <c r="C41" s="869"/>
      <c r="D41" s="869"/>
      <c r="E41" s="873">
        <f>'+Gmina Latowicz'!M121+'+Gmina Cegłów'!M139+'+Gmina Jakubów'!M106+'Gmina Kotuń'!M151</f>
        <v>13787</v>
      </c>
      <c r="F41" s="874">
        <f>'+Gmina Latowicz'!N121+'+Gmina Cegłów'!N139+'+Gmina Jakubów'!N106+'Gmina Kotuń'!N151</f>
        <v>11213</v>
      </c>
      <c r="G41" s="1455">
        <f>'+Gmina Latowicz'!O121+'+Gmina Cegłów'!O139+'+Gmina Jakubów'!O106+'Gmina Kotuń'!O151</f>
        <v>5</v>
      </c>
      <c r="H41" s="1"/>
    </row>
    <row r="42" spans="1:8" s="1" customFormat="1" ht="15">
      <c r="A42" s="1451" t="s">
        <v>21</v>
      </c>
      <c r="B42" s="875">
        <f>'+Miasto Mińsk'!L298+'+Powiat Miński'!L154+'+Gmina Halinów'!L193+'+Gmina Mrozy'!K218+'+Gmina Mińsk Mazowiecki'!L257+'+Gmina Dębe Wielkie'!L132+'+Gmina Latowicz'!L119+'+Gmina Cegłów'!L137+'+Miasto Sulejówek'!L238+'+Gmina Dobre'!L82+'+Gmina Jakubów'!L104+'+Gmina Kałuszyn'!L171+'Gmina Kotuń'!L152</f>
        <v>6959504.379999999</v>
      </c>
      <c r="C42" s="869"/>
      <c r="D42" s="869"/>
      <c r="E42" s="876"/>
      <c r="F42" s="877"/>
      <c r="G42" s="1455">
        <f>'+Miasto Mińsk'!O298+'+Powiat Miński'!O154+'+Gmina Halinów'!O193+'+Gmina Mrozy'!N218+'+Gmina Mińsk Mazowiecki'!O257+'+Gmina Dębe Wielkie'!O132+'+Gmina Latowicz'!O119+'+Gmina Cegłów'!O137+'+Miasto Sulejówek'!O238+'+Gmina Dobre'!O82+'+Gmina Jakubów'!O104+'+Gmina Kałuszyn'!O171+'Gmina Kotuń'!O152</f>
        <v>55</v>
      </c>
    </row>
    <row r="43" spans="1:8" s="1" customFormat="1" ht="15">
      <c r="A43" s="1451" t="s">
        <v>70</v>
      </c>
      <c r="B43" s="871"/>
      <c r="C43" s="873">
        <f>'+Miasto Mińsk'!M300+'+Gmina Mrozy'!L219+'+Gmina Mińsk Mazowiecki'!M259+'+Gmina Dębe Wielkie'!M133+'+Gmina Siennica'!M205+'+Gmina Stanisławów'!M96</f>
        <v>962006.2216666668</v>
      </c>
      <c r="D43" s="873">
        <f>'+Miasto Mińsk'!N300+'+Gmina Mrozy'!M219+'+Gmina Mińsk Mazowiecki'!N259+'+Gmina Dębe Wielkie'!N133+'+Gmina Siennica'!N205+'+Gmina Stanisławów'!N96</f>
        <v>2235009.0100000002</v>
      </c>
      <c r="E43" s="876"/>
      <c r="F43" s="877"/>
      <c r="G43" s="1455">
        <f>'+Miasto Mińsk'!O300+'+Gmina Mrozy'!N219+'+Gmina Mińsk Mazowiecki'!O259+'+Gmina Dębe Wielkie'!O133+'+Gmina Siennica'!O205+'+Gmina Stanisławów'!O96</f>
        <v>18</v>
      </c>
    </row>
    <row r="44" spans="1:8" s="1" customFormat="1" ht="15">
      <c r="A44" s="1451" t="s">
        <v>259</v>
      </c>
      <c r="B44" s="871"/>
      <c r="C44" s="869"/>
      <c r="D44" s="869"/>
      <c r="E44" s="873">
        <f>'+Gmina Mrozy'!L220</f>
        <v>115957.35</v>
      </c>
      <c r="F44" s="874">
        <f>'+Gmina Mrozy'!M220</f>
        <v>78397.2</v>
      </c>
      <c r="G44" s="1455">
        <f>'+Gmina Mrozy'!N220</f>
        <v>1</v>
      </c>
    </row>
    <row r="45" spans="1:8" s="1" customFormat="1" ht="15">
      <c r="A45" s="1452" t="s">
        <v>1143</v>
      </c>
      <c r="B45" s="878">
        <f>'+Gmina Latowicz'!L122</f>
        <v>55471.349999999991</v>
      </c>
      <c r="C45" s="879"/>
      <c r="D45" s="879"/>
      <c r="E45" s="880"/>
      <c r="F45" s="881"/>
      <c r="G45" s="1456">
        <f>'+Gmina Latowicz'!O122</f>
        <v>1</v>
      </c>
    </row>
    <row r="46" spans="1:8" s="1" customFormat="1" ht="15">
      <c r="A46" s="1452" t="s">
        <v>719</v>
      </c>
      <c r="B46" s="878">
        <f>'+Gmina Stanisławów'!L93</f>
        <v>213432</v>
      </c>
      <c r="C46" s="879"/>
      <c r="D46" s="879"/>
      <c r="E46" s="880"/>
      <c r="F46" s="881"/>
      <c r="G46" s="1456">
        <f>'+Gmina Stanisławów'!O93</f>
        <v>1</v>
      </c>
    </row>
    <row r="47" spans="1:8" s="1" customFormat="1" ht="15.75" thickBot="1">
      <c r="A47" s="1451" t="s">
        <v>151</v>
      </c>
      <c r="B47" s="882">
        <f>'+Miasto Mińsk'!L301</f>
        <v>5184</v>
      </c>
      <c r="C47" s="883"/>
      <c r="D47" s="883"/>
      <c r="E47" s="884"/>
      <c r="F47" s="885"/>
      <c r="G47" s="1457">
        <f>'+Miasto Mińsk'!O301</f>
        <v>1</v>
      </c>
    </row>
    <row r="48" spans="1:8" ht="15.75" thickBot="1">
      <c r="A48" s="1458" t="s">
        <v>1721</v>
      </c>
      <c r="B48" s="1459">
        <f t="shared" ref="B48:G48" si="0">SUM(B36:B47)</f>
        <v>9905709.8299999982</v>
      </c>
      <c r="C48" s="1459">
        <f t="shared" si="0"/>
        <v>1630342.5550000002</v>
      </c>
      <c r="D48" s="1459">
        <f t="shared" si="0"/>
        <v>3891664.6100000003</v>
      </c>
      <c r="E48" s="1459">
        <f t="shared" si="0"/>
        <v>451494.55000000005</v>
      </c>
      <c r="F48" s="1459">
        <f t="shared" si="0"/>
        <v>255477.2</v>
      </c>
      <c r="G48" s="860">
        <f t="shared" si="0"/>
        <v>669</v>
      </c>
      <c r="H48" s="1"/>
    </row>
    <row r="49" spans="1:8" ht="15.75" thickBot="1">
      <c r="A49" s="1"/>
      <c r="B49" s="1"/>
      <c r="C49" s="1"/>
      <c r="D49" s="1"/>
      <c r="E49" s="1" t="s">
        <v>730</v>
      </c>
      <c r="F49" s="636">
        <f>SUM(B36:F47)</f>
        <v>16134688.744999997</v>
      </c>
      <c r="G49" s="1"/>
      <c r="H49" s="1"/>
    </row>
    <row r="50" spans="1:8">
      <c r="A50" s="1"/>
      <c r="B50" s="1"/>
      <c r="C50" s="1"/>
      <c r="D50" s="1"/>
      <c r="E50" s="1"/>
      <c r="F50" s="31"/>
      <c r="G50" s="1"/>
      <c r="H50" s="1"/>
    </row>
  </sheetData>
  <mergeCells count="7">
    <mergeCell ref="A1:L1"/>
    <mergeCell ref="B4:E4"/>
    <mergeCell ref="A32:G32"/>
    <mergeCell ref="A34:A35"/>
    <mergeCell ref="B34:F34"/>
    <mergeCell ref="G34:G35"/>
    <mergeCell ref="B11:J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opLeftCell="A124" zoomScale="80" zoomScaleNormal="80" workbookViewId="0">
      <selection activeCell="N151" sqref="N151"/>
    </sheetView>
  </sheetViews>
  <sheetFormatPr defaultRowHeight="14.25"/>
  <cols>
    <col min="1" max="1" width="14" style="1" customWidth="1"/>
    <col min="2" max="2" width="16.25" style="1" customWidth="1"/>
    <col min="3" max="3" width="14.125" style="1" customWidth="1"/>
    <col min="4" max="4" width="15.125" style="1" customWidth="1"/>
    <col min="5" max="5" width="10.125" style="1" customWidth="1"/>
    <col min="6" max="6" width="11.125" style="1" customWidth="1"/>
    <col min="7" max="7" width="14.5" style="1" customWidth="1"/>
    <col min="8" max="8" width="25.75" style="1" customWidth="1"/>
    <col min="9" max="9" width="15.125" style="1" customWidth="1"/>
    <col min="10" max="10" width="9.875" style="1" customWidth="1"/>
    <col min="11" max="11" width="12" style="109" customWidth="1"/>
    <col min="12" max="12" width="14.375" style="1" customWidth="1"/>
    <col min="13" max="13" width="15.625" style="1" customWidth="1"/>
    <col min="14" max="14" width="17.125" style="1" customWidth="1"/>
    <col min="15" max="15" width="16.125" style="1" customWidth="1"/>
    <col min="16" max="16" width="12.75" style="1" customWidth="1"/>
    <col min="17" max="17" width="13.375" style="1" customWidth="1"/>
    <col min="18" max="18" width="14.625" style="1" customWidth="1"/>
    <col min="19" max="19" width="12" style="1" customWidth="1"/>
    <col min="20" max="20" width="21.5" style="1" customWidth="1"/>
    <col min="21" max="16384" width="9" style="1"/>
  </cols>
  <sheetData>
    <row r="1" spans="1:9" ht="18">
      <c r="B1" s="1691" t="s">
        <v>1174</v>
      </c>
      <c r="C1" s="1691"/>
      <c r="D1" s="1691"/>
      <c r="E1" s="1691"/>
      <c r="F1" s="1691"/>
      <c r="G1" s="1691"/>
      <c r="H1" s="1691"/>
      <c r="I1" s="1691"/>
    </row>
    <row r="3" spans="1:9" ht="28.5" customHeight="1">
      <c r="B3" s="1727" t="s">
        <v>700</v>
      </c>
      <c r="C3" s="1728"/>
      <c r="D3" s="1728"/>
      <c r="E3" s="1728"/>
      <c r="F3" s="1728"/>
      <c r="G3" s="1728"/>
      <c r="H3" s="1728"/>
      <c r="I3" s="1729"/>
    </row>
    <row r="4" spans="1:9" ht="15">
      <c r="B4" s="469"/>
      <c r="C4" s="469"/>
      <c r="D4" s="469"/>
      <c r="E4" s="469"/>
      <c r="F4" s="469"/>
      <c r="G4" s="469"/>
      <c r="H4" s="469"/>
      <c r="I4" s="469"/>
    </row>
    <row r="5" spans="1:9" ht="15">
      <c r="B5" s="544"/>
      <c r="C5" s="1749" t="s">
        <v>1054</v>
      </c>
      <c r="D5" s="1749"/>
      <c r="E5" s="1749"/>
      <c r="F5" s="1749"/>
      <c r="G5" s="1749"/>
      <c r="H5" s="1749"/>
      <c r="I5" s="1749"/>
    </row>
    <row r="6" spans="1:9" ht="15">
      <c r="B6" s="469"/>
      <c r="C6" s="469"/>
      <c r="D6" s="469"/>
      <c r="E6" s="469"/>
      <c r="F6" s="469"/>
      <c r="G6" s="469"/>
      <c r="H6" s="1687" t="s">
        <v>1055</v>
      </c>
      <c r="I6" s="1687"/>
    </row>
    <row r="7" spans="1:9" ht="15">
      <c r="B7" s="469"/>
      <c r="C7" s="469"/>
      <c r="D7" s="469"/>
      <c r="E7" s="469"/>
      <c r="F7" s="469"/>
      <c r="G7" s="469"/>
      <c r="H7" s="1687" t="s">
        <v>1056</v>
      </c>
      <c r="I7" s="1687"/>
    </row>
    <row r="8" spans="1:9" ht="15">
      <c r="B8" s="469"/>
      <c r="C8" s="469"/>
      <c r="D8" s="469"/>
      <c r="E8" s="469"/>
      <c r="F8" s="469"/>
      <c r="G8" s="469"/>
      <c r="H8" s="472"/>
      <c r="I8" s="471"/>
    </row>
    <row r="9" spans="1:9" ht="15.75">
      <c r="B9" s="470" t="s">
        <v>1</v>
      </c>
      <c r="C9" s="471"/>
      <c r="D9" s="469"/>
      <c r="E9" s="469"/>
      <c r="F9" s="469"/>
      <c r="G9" s="471"/>
      <c r="H9" s="472"/>
      <c r="I9" s="471"/>
    </row>
    <row r="10" spans="1:9" ht="15.75">
      <c r="B10" s="1307" t="s">
        <v>1921</v>
      </c>
      <c r="C10" s="471"/>
      <c r="D10" s="469"/>
      <c r="E10" s="469"/>
      <c r="F10" s="469"/>
      <c r="G10" s="471"/>
      <c r="H10" s="472"/>
      <c r="I10" s="471"/>
    </row>
    <row r="11" spans="1:9" ht="15.75">
      <c r="B11" s="473" t="s">
        <v>1872</v>
      </c>
      <c r="C11" s="471"/>
      <c r="D11" s="474"/>
      <c r="E11" s="469"/>
      <c r="F11" s="469"/>
      <c r="G11" s="471"/>
      <c r="H11" s="472"/>
      <c r="I11" s="471"/>
    </row>
    <row r="12" spans="1:9" ht="15.75">
      <c r="B12" s="473" t="s">
        <v>1045</v>
      </c>
      <c r="C12" s="471"/>
      <c r="D12" s="474"/>
      <c r="E12" s="469"/>
      <c r="F12" s="469"/>
      <c r="G12" s="471"/>
      <c r="H12" s="472"/>
      <c r="I12" s="471"/>
    </row>
    <row r="13" spans="1:9" ht="15">
      <c r="B13" s="471" t="s">
        <v>696</v>
      </c>
      <c r="C13" s="471"/>
      <c r="D13" s="471"/>
      <c r="E13" s="471"/>
      <c r="F13" s="471"/>
      <c r="G13" s="471"/>
      <c r="H13" s="472"/>
      <c r="I13" s="471"/>
    </row>
    <row r="14" spans="1:9" ht="15.75">
      <c r="B14" s="475"/>
      <c r="C14" s="476"/>
      <c r="D14" s="474"/>
      <c r="E14" s="474"/>
      <c r="F14" s="474"/>
      <c r="G14" s="474"/>
      <c r="H14" s="471"/>
      <c r="I14" s="471"/>
    </row>
    <row r="15" spans="1:9" ht="15.75">
      <c r="B15" s="475" t="s">
        <v>4</v>
      </c>
      <c r="C15" s="470" t="s">
        <v>5</v>
      </c>
      <c r="D15" s="474"/>
      <c r="E15" s="474"/>
      <c r="F15" s="474"/>
      <c r="G15" s="474"/>
      <c r="H15" s="1481"/>
      <c r="I15" s="471"/>
    </row>
    <row r="16" spans="1:9" ht="15" thickBot="1">
      <c r="A16" s="54"/>
      <c r="B16" s="55"/>
      <c r="C16" s="54"/>
      <c r="D16" s="54"/>
      <c r="E16" s="54"/>
      <c r="F16" s="54"/>
      <c r="G16" s="54"/>
      <c r="H16" s="54"/>
      <c r="I16" s="54"/>
    </row>
    <row r="17" spans="1:15" ht="49.5" customHeight="1">
      <c r="A17" s="1670" t="s">
        <v>6</v>
      </c>
      <c r="B17" s="1673" t="s">
        <v>633</v>
      </c>
      <c r="C17" s="1676" t="s">
        <v>8</v>
      </c>
      <c r="D17" s="1676" t="s">
        <v>9</v>
      </c>
      <c r="E17" s="1656" t="s">
        <v>884</v>
      </c>
      <c r="F17" s="1656" t="s">
        <v>11</v>
      </c>
      <c r="G17" s="1676" t="s">
        <v>12</v>
      </c>
      <c r="H17" s="1656" t="s">
        <v>13</v>
      </c>
      <c r="I17" s="1656" t="s">
        <v>269</v>
      </c>
      <c r="J17" s="1656" t="s">
        <v>59</v>
      </c>
      <c r="K17" s="1665" t="s">
        <v>635</v>
      </c>
      <c r="L17" s="1725" t="s">
        <v>636</v>
      </c>
      <c r="M17" s="1719"/>
      <c r="N17" s="1719"/>
      <c r="O17" s="1726"/>
    </row>
    <row r="18" spans="1:15" ht="40.5" customHeight="1">
      <c r="A18" s="1671"/>
      <c r="B18" s="1674"/>
      <c r="C18" s="1677"/>
      <c r="D18" s="1677"/>
      <c r="E18" s="1657"/>
      <c r="F18" s="1657"/>
      <c r="G18" s="1677"/>
      <c r="H18" s="1657"/>
      <c r="I18" s="1698"/>
      <c r="J18" s="1657"/>
      <c r="K18" s="1666"/>
      <c r="L18" s="1679" t="s">
        <v>637</v>
      </c>
      <c r="M18" s="1654"/>
      <c r="N18" s="1654"/>
      <c r="O18" s="1680"/>
    </row>
    <row r="19" spans="1:15" ht="35.25" customHeight="1" thickBot="1">
      <c r="A19" s="1672"/>
      <c r="B19" s="1675"/>
      <c r="C19" s="1678"/>
      <c r="D19" s="1678"/>
      <c r="E19" s="1658"/>
      <c r="F19" s="1658"/>
      <c r="G19" s="1678"/>
      <c r="H19" s="1658"/>
      <c r="I19" s="1699"/>
      <c r="J19" s="1658"/>
      <c r="K19" s="1667"/>
      <c r="L19" s="263" t="s">
        <v>638</v>
      </c>
      <c r="M19" s="270" t="s">
        <v>639</v>
      </c>
      <c r="N19" s="270" t="s">
        <v>640</v>
      </c>
      <c r="O19" s="265" t="s">
        <v>16</v>
      </c>
    </row>
    <row r="20" spans="1:15" ht="26.25">
      <c r="A20" s="552" t="s">
        <v>26</v>
      </c>
      <c r="B20" s="236" t="s">
        <v>490</v>
      </c>
      <c r="C20" s="236" t="s">
        <v>254</v>
      </c>
      <c r="D20" s="236" t="s">
        <v>29</v>
      </c>
      <c r="E20" s="236">
        <v>4</v>
      </c>
      <c r="F20" s="236" t="s">
        <v>253</v>
      </c>
      <c r="G20" s="233" t="s">
        <v>254</v>
      </c>
      <c r="H20" s="695" t="s">
        <v>893</v>
      </c>
      <c r="I20" s="536">
        <v>39879</v>
      </c>
      <c r="J20" s="845" t="s">
        <v>65</v>
      </c>
      <c r="K20" s="237">
        <v>20</v>
      </c>
      <c r="L20" s="33"/>
      <c r="M20" s="32">
        <f>57354-48307</f>
        <v>9047</v>
      </c>
      <c r="N20" s="32">
        <f>148721-123635</f>
        <v>25086</v>
      </c>
      <c r="O20" s="238">
        <f t="shared" ref="O20:O31" si="0">SUM(M20:N20)</f>
        <v>34133</v>
      </c>
    </row>
    <row r="21" spans="1:15" ht="18">
      <c r="A21" s="552" t="s">
        <v>26</v>
      </c>
      <c r="B21" s="236" t="s">
        <v>493</v>
      </c>
      <c r="C21" s="236" t="s">
        <v>252</v>
      </c>
      <c r="D21" s="4"/>
      <c r="E21" s="236">
        <v>93</v>
      </c>
      <c r="F21" s="236" t="s">
        <v>253</v>
      </c>
      <c r="G21" s="233" t="s">
        <v>254</v>
      </c>
      <c r="H21" s="695" t="s">
        <v>891</v>
      </c>
      <c r="I21" s="536">
        <v>39875</v>
      </c>
      <c r="J21" s="845" t="s">
        <v>65</v>
      </c>
      <c r="K21" s="237">
        <v>3</v>
      </c>
      <c r="L21" s="33"/>
      <c r="M21" s="32">
        <f>2152-1948</f>
        <v>204</v>
      </c>
      <c r="N21" s="32">
        <f>7208-5987</f>
        <v>1221</v>
      </c>
      <c r="O21" s="238">
        <f t="shared" si="0"/>
        <v>1425</v>
      </c>
    </row>
    <row r="22" spans="1:15" ht="18">
      <c r="A22" s="552" t="s">
        <v>26</v>
      </c>
      <c r="B22" s="236" t="s">
        <v>347</v>
      </c>
      <c r="C22" s="236" t="s">
        <v>494</v>
      </c>
      <c r="D22" s="4"/>
      <c r="E22" s="236">
        <v>17</v>
      </c>
      <c r="F22" s="236" t="s">
        <v>253</v>
      </c>
      <c r="G22" s="233" t="s">
        <v>254</v>
      </c>
      <c r="H22" s="695" t="s">
        <v>897</v>
      </c>
      <c r="I22" s="536">
        <v>39136</v>
      </c>
      <c r="J22" s="845" t="s">
        <v>65</v>
      </c>
      <c r="K22" s="237">
        <v>4</v>
      </c>
      <c r="L22" s="33"/>
      <c r="M22" s="32">
        <f>2217-767</f>
        <v>1450</v>
      </c>
      <c r="N22" s="32">
        <f>5956-2018</f>
        <v>3938</v>
      </c>
      <c r="O22" s="238">
        <f t="shared" si="0"/>
        <v>5388</v>
      </c>
    </row>
    <row r="23" spans="1:15" ht="18">
      <c r="A23" s="552" t="s">
        <v>26</v>
      </c>
      <c r="B23" s="236" t="s">
        <v>1729</v>
      </c>
      <c r="C23" s="236" t="s">
        <v>495</v>
      </c>
      <c r="D23" s="4"/>
      <c r="E23" s="236">
        <v>78</v>
      </c>
      <c r="F23" s="236" t="s">
        <v>253</v>
      </c>
      <c r="G23" s="233" t="s">
        <v>254</v>
      </c>
      <c r="H23" s="695" t="s">
        <v>889</v>
      </c>
      <c r="I23" s="536">
        <v>39876</v>
      </c>
      <c r="J23" s="845" t="s">
        <v>65</v>
      </c>
      <c r="K23" s="237">
        <v>5.5</v>
      </c>
      <c r="L23" s="33"/>
      <c r="M23" s="32">
        <f>6300-3495</f>
        <v>2805</v>
      </c>
      <c r="N23" s="32">
        <f>15533-8770</f>
        <v>6763</v>
      </c>
      <c r="O23" s="238">
        <f t="shared" si="0"/>
        <v>9568</v>
      </c>
    </row>
    <row r="24" spans="1:15" ht="18">
      <c r="A24" s="552" t="s">
        <v>26</v>
      </c>
      <c r="B24" s="236" t="s">
        <v>184</v>
      </c>
      <c r="C24" s="236" t="s">
        <v>254</v>
      </c>
      <c r="D24" s="236" t="s">
        <v>1730</v>
      </c>
      <c r="E24" s="236"/>
      <c r="F24" s="236" t="s">
        <v>253</v>
      </c>
      <c r="G24" s="233" t="s">
        <v>254</v>
      </c>
      <c r="H24" s="695" t="s">
        <v>894</v>
      </c>
      <c r="I24" s="536">
        <v>37111</v>
      </c>
      <c r="J24" s="845" t="s">
        <v>65</v>
      </c>
      <c r="K24" s="237">
        <v>10</v>
      </c>
      <c r="L24" s="33"/>
      <c r="M24" s="32">
        <f>28590-22762</f>
        <v>5828</v>
      </c>
      <c r="N24" s="32">
        <f>72223-58112</f>
        <v>14111</v>
      </c>
      <c r="O24" s="238">
        <f t="shared" si="0"/>
        <v>19939</v>
      </c>
    </row>
    <row r="25" spans="1:15" ht="18">
      <c r="A25" s="552" t="s">
        <v>26</v>
      </c>
      <c r="B25" s="236" t="s">
        <v>496</v>
      </c>
      <c r="C25" s="236" t="s">
        <v>497</v>
      </c>
      <c r="D25" s="4"/>
      <c r="E25" s="236">
        <v>2</v>
      </c>
      <c r="F25" s="236" t="s">
        <v>253</v>
      </c>
      <c r="G25" s="233" t="s">
        <v>254</v>
      </c>
      <c r="H25" s="695" t="s">
        <v>892</v>
      </c>
      <c r="I25" s="536">
        <v>37107</v>
      </c>
      <c r="J25" s="845" t="s">
        <v>65</v>
      </c>
      <c r="K25" s="237">
        <v>6.6</v>
      </c>
      <c r="L25" s="33"/>
      <c r="M25" s="32">
        <f>1312-1233</f>
        <v>79</v>
      </c>
      <c r="N25" s="32">
        <f>3198-3001</f>
        <v>197</v>
      </c>
      <c r="O25" s="238">
        <f t="shared" si="0"/>
        <v>276</v>
      </c>
    </row>
    <row r="26" spans="1:15" ht="32.25" customHeight="1">
      <c r="A26" s="552" t="s">
        <v>26</v>
      </c>
      <c r="B26" s="236" t="s">
        <v>1369</v>
      </c>
      <c r="C26" s="891" t="s">
        <v>498</v>
      </c>
      <c r="D26" s="4"/>
      <c r="E26" s="236">
        <v>131</v>
      </c>
      <c r="F26" s="236" t="s">
        <v>253</v>
      </c>
      <c r="G26" s="233" t="s">
        <v>254</v>
      </c>
      <c r="H26" s="695" t="s">
        <v>888</v>
      </c>
      <c r="I26" s="536">
        <v>39139</v>
      </c>
      <c r="J26" s="845" t="s">
        <v>65</v>
      </c>
      <c r="K26" s="237">
        <v>5.5</v>
      </c>
      <c r="L26" s="33"/>
      <c r="M26" s="32">
        <f>271-18</f>
        <v>253</v>
      </c>
      <c r="N26" s="32">
        <f>625-89</f>
        <v>536</v>
      </c>
      <c r="O26" s="238">
        <f t="shared" si="0"/>
        <v>789</v>
      </c>
    </row>
    <row r="27" spans="1:15" ht="26.25">
      <c r="A27" s="552" t="s">
        <v>26</v>
      </c>
      <c r="B27" s="236"/>
      <c r="C27" s="236" t="s">
        <v>254</v>
      </c>
      <c r="D27" s="236" t="s">
        <v>886</v>
      </c>
      <c r="E27" s="236">
        <v>39</v>
      </c>
      <c r="F27" s="236" t="s">
        <v>253</v>
      </c>
      <c r="G27" s="233" t="s">
        <v>254</v>
      </c>
      <c r="H27" s="695" t="s">
        <v>896</v>
      </c>
      <c r="I27" s="536">
        <v>39881</v>
      </c>
      <c r="J27" s="845" t="s">
        <v>65</v>
      </c>
      <c r="K27" s="237">
        <v>6.6</v>
      </c>
      <c r="L27" s="33"/>
      <c r="M27" s="32">
        <f>13218-10804</f>
        <v>2414</v>
      </c>
      <c r="N27" s="32">
        <f>31327-25849</f>
        <v>5478</v>
      </c>
      <c r="O27" s="238">
        <f t="shared" si="0"/>
        <v>7892</v>
      </c>
    </row>
    <row r="28" spans="1:15" ht="18">
      <c r="A28" s="552" t="s">
        <v>26</v>
      </c>
      <c r="B28" s="236" t="s">
        <v>228</v>
      </c>
      <c r="C28" s="236" t="s">
        <v>499</v>
      </c>
      <c r="D28" s="4"/>
      <c r="E28" s="236">
        <v>16</v>
      </c>
      <c r="F28" s="236" t="s">
        <v>253</v>
      </c>
      <c r="G28" s="233" t="s">
        <v>254</v>
      </c>
      <c r="H28" s="695" t="s">
        <v>898</v>
      </c>
      <c r="I28" s="536">
        <v>1000641</v>
      </c>
      <c r="J28" s="845" t="s">
        <v>65</v>
      </c>
      <c r="K28" s="237">
        <v>5</v>
      </c>
      <c r="L28" s="33"/>
      <c r="M28" s="32">
        <f>252-252</f>
        <v>0</v>
      </c>
      <c r="N28" s="32">
        <f>455-455</f>
        <v>0</v>
      </c>
      <c r="O28" s="238">
        <f t="shared" si="0"/>
        <v>0</v>
      </c>
    </row>
    <row r="29" spans="1:15" ht="18">
      <c r="A29" s="552" t="s">
        <v>26</v>
      </c>
      <c r="B29" s="236" t="s">
        <v>228</v>
      </c>
      <c r="C29" s="236" t="s">
        <v>495</v>
      </c>
      <c r="D29" s="4"/>
      <c r="E29" s="236">
        <v>52</v>
      </c>
      <c r="F29" s="236" t="s">
        <v>253</v>
      </c>
      <c r="G29" s="233" t="s">
        <v>254</v>
      </c>
      <c r="H29" s="695" t="s">
        <v>890</v>
      </c>
      <c r="I29" s="536">
        <v>39877</v>
      </c>
      <c r="J29" s="845" t="s">
        <v>65</v>
      </c>
      <c r="K29" s="237">
        <v>7</v>
      </c>
      <c r="L29" s="33"/>
      <c r="M29" s="32">
        <f>2090-2068</f>
        <v>22</v>
      </c>
      <c r="N29" s="32">
        <f>6123-6060</f>
        <v>63</v>
      </c>
      <c r="O29" s="238">
        <f t="shared" si="0"/>
        <v>85</v>
      </c>
    </row>
    <row r="30" spans="1:15" ht="18">
      <c r="A30" s="552" t="s">
        <v>26</v>
      </c>
      <c r="B30" s="239" t="s">
        <v>1370</v>
      </c>
      <c r="C30" s="239" t="s">
        <v>254</v>
      </c>
      <c r="D30" s="236" t="s">
        <v>1730</v>
      </c>
      <c r="E30" s="236"/>
      <c r="F30" s="236" t="s">
        <v>253</v>
      </c>
      <c r="G30" s="233" t="s">
        <v>254</v>
      </c>
      <c r="H30" s="695" t="s">
        <v>895</v>
      </c>
      <c r="I30" s="536">
        <v>37202</v>
      </c>
      <c r="J30" s="845" t="s">
        <v>65</v>
      </c>
      <c r="K30" s="237">
        <v>10</v>
      </c>
      <c r="L30" s="33"/>
      <c r="M30" s="32">
        <f>4468-3777</f>
        <v>691</v>
      </c>
      <c r="N30" s="32">
        <f>13089-10845</f>
        <v>2244</v>
      </c>
      <c r="O30" s="238">
        <f t="shared" si="0"/>
        <v>2935</v>
      </c>
    </row>
    <row r="31" spans="1:15" ht="18">
      <c r="A31" s="552" t="s">
        <v>26</v>
      </c>
      <c r="B31" s="650"/>
      <c r="C31" s="439" t="s">
        <v>510</v>
      </c>
      <c r="D31" s="651"/>
      <c r="E31" s="46">
        <v>85</v>
      </c>
      <c r="F31" s="4" t="s">
        <v>253</v>
      </c>
      <c r="G31" s="4" t="s">
        <v>254</v>
      </c>
      <c r="H31" s="695" t="s">
        <v>1319</v>
      </c>
      <c r="I31" s="4">
        <v>341543</v>
      </c>
      <c r="J31" s="29" t="s">
        <v>65</v>
      </c>
      <c r="K31" s="8">
        <v>38</v>
      </c>
      <c r="L31" s="33"/>
      <c r="M31" s="32">
        <f>4256-2742</f>
        <v>1514</v>
      </c>
      <c r="N31" s="4">
        <f>10593-6829</f>
        <v>3764</v>
      </c>
      <c r="O31" s="238">
        <f t="shared" si="0"/>
        <v>5278</v>
      </c>
    </row>
    <row r="32" spans="1:15" ht="18">
      <c r="A32" s="552" t="s">
        <v>26</v>
      </c>
      <c r="B32" s="650"/>
      <c r="C32" s="439" t="s">
        <v>254</v>
      </c>
      <c r="D32" s="46" t="s">
        <v>325</v>
      </c>
      <c r="E32" s="46" t="s">
        <v>1367</v>
      </c>
      <c r="F32" s="1469" t="s">
        <v>253</v>
      </c>
      <c r="G32" s="233" t="s">
        <v>254</v>
      </c>
      <c r="H32" s="695" t="s">
        <v>1368</v>
      </c>
      <c r="I32" s="536">
        <v>219105</v>
      </c>
      <c r="J32" s="386" t="s">
        <v>28</v>
      </c>
      <c r="K32" s="8">
        <v>7</v>
      </c>
      <c r="L32" s="34">
        <f>3400-3168</f>
        <v>232</v>
      </c>
      <c r="M32" s="33"/>
      <c r="N32" s="30"/>
      <c r="O32" s="238">
        <f>L32</f>
        <v>232</v>
      </c>
    </row>
    <row r="33" spans="1:20" ht="18.75" thickBot="1">
      <c r="A33" s="595" t="s">
        <v>26</v>
      </c>
      <c r="B33" s="182" t="s">
        <v>169</v>
      </c>
      <c r="C33" s="182" t="s">
        <v>883</v>
      </c>
      <c r="D33" s="182"/>
      <c r="E33" s="182">
        <v>72</v>
      </c>
      <c r="F33" s="4" t="s">
        <v>253</v>
      </c>
      <c r="G33" s="360" t="s">
        <v>254</v>
      </c>
      <c r="H33" s="1089" t="s">
        <v>1172</v>
      </c>
      <c r="I33" s="104">
        <v>116460</v>
      </c>
      <c r="J33" s="534" t="s">
        <v>28</v>
      </c>
      <c r="K33" s="1470">
        <v>18</v>
      </c>
      <c r="L33" s="34">
        <f>50717-33997</f>
        <v>16720</v>
      </c>
      <c r="M33" s="33"/>
      <c r="N33" s="33"/>
      <c r="O33" s="32">
        <f>L33</f>
        <v>16720</v>
      </c>
      <c r="P33" s="59"/>
      <c r="Q33" s="59"/>
      <c r="R33" s="59"/>
      <c r="S33" s="59"/>
      <c r="T33" s="57"/>
    </row>
    <row r="34" spans="1:20" ht="48.75" customHeight="1">
      <c r="B34" s="697" t="s">
        <v>22</v>
      </c>
      <c r="C34" s="11" t="s">
        <v>501</v>
      </c>
      <c r="D34" s="12"/>
      <c r="E34" s="246"/>
      <c r="F34" s="54"/>
      <c r="G34" s="1622" t="s">
        <v>1920</v>
      </c>
      <c r="H34" s="12" t="s">
        <v>1726</v>
      </c>
      <c r="L34" s="31"/>
      <c r="M34" s="31"/>
      <c r="N34" s="268" t="s">
        <v>23</v>
      </c>
      <c r="O34" s="567">
        <f>SUM(O20:O33)</f>
        <v>104660</v>
      </c>
    </row>
    <row r="35" spans="1:20" ht="15">
      <c r="B35" s="553"/>
      <c r="C35" s="14" t="s">
        <v>1727</v>
      </c>
      <c r="D35" s="15"/>
      <c r="E35" s="54"/>
      <c r="F35" s="54"/>
      <c r="G35" s="185"/>
      <c r="H35" s="15" t="s">
        <v>1728</v>
      </c>
      <c r="L35" s="31"/>
      <c r="M35" s="31"/>
      <c r="N35" s="31"/>
      <c r="O35" s="31"/>
    </row>
    <row r="36" spans="1:20" ht="15.75" thickBot="1">
      <c r="B36" s="553"/>
      <c r="C36" s="14" t="s">
        <v>512</v>
      </c>
      <c r="D36" s="15"/>
      <c r="E36" s="246"/>
      <c r="F36" s="54"/>
      <c r="G36" s="188"/>
      <c r="H36" s="18" t="s">
        <v>512</v>
      </c>
      <c r="L36" s="31"/>
      <c r="M36" s="31"/>
      <c r="N36" s="31"/>
      <c r="O36" s="31"/>
    </row>
    <row r="37" spans="1:20" ht="15">
      <c r="B37" s="553" t="s">
        <v>160</v>
      </c>
      <c r="C37" s="14" t="s">
        <v>1712</v>
      </c>
      <c r="D37" s="15"/>
      <c r="E37" s="246"/>
      <c r="L37" s="31"/>
      <c r="M37" s="31"/>
      <c r="N37" s="31"/>
      <c r="O37" s="31"/>
    </row>
    <row r="38" spans="1:20" ht="15.75" thickBot="1">
      <c r="B38" s="433" t="s">
        <v>1061</v>
      </c>
      <c r="C38" s="17" t="s">
        <v>1173</v>
      </c>
      <c r="D38" s="18"/>
      <c r="E38" s="54"/>
      <c r="H38" s="109"/>
      <c r="L38" s="31"/>
      <c r="M38" s="31"/>
      <c r="N38" s="31"/>
      <c r="O38" s="31"/>
    </row>
    <row r="39" spans="1:20" ht="15">
      <c r="B39" s="245"/>
      <c r="C39" s="14"/>
      <c r="D39" s="54"/>
      <c r="E39" s="54"/>
      <c r="H39" s="109"/>
      <c r="L39" s="31"/>
      <c r="M39" s="31"/>
      <c r="N39" s="31"/>
      <c r="O39" s="31"/>
    </row>
    <row r="40" spans="1:20" ht="15" thickBot="1">
      <c r="L40" s="31"/>
      <c r="M40" s="31"/>
      <c r="N40" s="31"/>
      <c r="O40" s="31"/>
    </row>
    <row r="41" spans="1:20" ht="48.75" customHeight="1">
      <c r="A41" s="1670" t="s">
        <v>6</v>
      </c>
      <c r="B41" s="1673" t="s">
        <v>633</v>
      </c>
      <c r="C41" s="1676" t="s">
        <v>8</v>
      </c>
      <c r="D41" s="1676" t="s">
        <v>9</v>
      </c>
      <c r="E41" s="1656" t="s">
        <v>884</v>
      </c>
      <c r="F41" s="1656" t="s">
        <v>11</v>
      </c>
      <c r="G41" s="1676" t="s">
        <v>12</v>
      </c>
      <c r="H41" s="1656" t="s">
        <v>13</v>
      </c>
      <c r="I41" s="1656" t="s">
        <v>269</v>
      </c>
      <c r="J41" s="1656" t="s">
        <v>59</v>
      </c>
      <c r="K41" s="1665" t="s">
        <v>635</v>
      </c>
      <c r="L41" s="1725" t="s">
        <v>636</v>
      </c>
      <c r="M41" s="1719"/>
      <c r="N41" s="1719"/>
      <c r="O41" s="1726"/>
    </row>
    <row r="42" spans="1:20" ht="40.5" customHeight="1">
      <c r="A42" s="1671"/>
      <c r="B42" s="1674"/>
      <c r="C42" s="1677"/>
      <c r="D42" s="1677"/>
      <c r="E42" s="1657"/>
      <c r="F42" s="1657"/>
      <c r="G42" s="1677"/>
      <c r="H42" s="1657"/>
      <c r="I42" s="1698"/>
      <c r="J42" s="1657"/>
      <c r="K42" s="1666"/>
      <c r="L42" s="1679" t="s">
        <v>637</v>
      </c>
      <c r="M42" s="1654"/>
      <c r="N42" s="1654"/>
      <c r="O42" s="1680"/>
    </row>
    <row r="43" spans="1:20" ht="35.25" customHeight="1" thickBot="1">
      <c r="A43" s="1672"/>
      <c r="B43" s="1675"/>
      <c r="C43" s="1678"/>
      <c r="D43" s="1678"/>
      <c r="E43" s="1658"/>
      <c r="F43" s="1658"/>
      <c r="G43" s="1678"/>
      <c r="H43" s="1658"/>
      <c r="I43" s="1699"/>
      <c r="J43" s="1658"/>
      <c r="K43" s="1667"/>
      <c r="L43" s="263" t="s">
        <v>638</v>
      </c>
      <c r="M43" s="270" t="s">
        <v>639</v>
      </c>
      <c r="N43" s="270" t="s">
        <v>640</v>
      </c>
      <c r="O43" s="265" t="s">
        <v>16</v>
      </c>
    </row>
    <row r="44" spans="1:20" ht="18">
      <c r="A44" s="552" t="s">
        <v>26</v>
      </c>
      <c r="B44" s="232" t="s">
        <v>336</v>
      </c>
      <c r="C44" s="232" t="s">
        <v>254</v>
      </c>
      <c r="D44" s="232" t="s">
        <v>325</v>
      </c>
      <c r="E44" s="232" t="s">
        <v>901</v>
      </c>
      <c r="F44" s="232" t="s">
        <v>253</v>
      </c>
      <c r="G44" s="233" t="s">
        <v>254</v>
      </c>
      <c r="H44" s="695" t="s">
        <v>502</v>
      </c>
      <c r="I44" s="535">
        <v>1002311</v>
      </c>
      <c r="J44" s="845" t="s">
        <v>65</v>
      </c>
      <c r="K44" s="234">
        <v>4</v>
      </c>
      <c r="L44" s="33"/>
      <c r="M44" s="32">
        <f>998-836</f>
        <v>162</v>
      </c>
      <c r="N44" s="32">
        <f>1713-1429</f>
        <v>284</v>
      </c>
      <c r="O44" s="252">
        <f>SUM(M44:N44)</f>
        <v>446</v>
      </c>
    </row>
    <row r="45" spans="1:20" ht="18">
      <c r="A45" s="552" t="s">
        <v>26</v>
      </c>
      <c r="B45" s="232" t="s">
        <v>336</v>
      </c>
      <c r="C45" s="232" t="s">
        <v>254</v>
      </c>
      <c r="D45" s="232" t="s">
        <v>325</v>
      </c>
      <c r="E45" s="232" t="s">
        <v>900</v>
      </c>
      <c r="F45" s="232" t="s">
        <v>253</v>
      </c>
      <c r="G45" s="233" t="s">
        <v>254</v>
      </c>
      <c r="H45" s="556" t="s">
        <v>503</v>
      </c>
      <c r="I45" s="535">
        <v>39883</v>
      </c>
      <c r="J45" s="845" t="s">
        <v>65</v>
      </c>
      <c r="K45" s="234">
        <v>27</v>
      </c>
      <c r="L45" s="33"/>
      <c r="M45" s="32">
        <f>97189-82980</f>
        <v>14209</v>
      </c>
      <c r="N45" s="32">
        <f>210239-178741</f>
        <v>31498</v>
      </c>
      <c r="O45" s="235">
        <f>SUM(M45:N45)</f>
        <v>45707</v>
      </c>
    </row>
    <row r="46" spans="1:20" ht="18">
      <c r="A46" s="552" t="s">
        <v>26</v>
      </c>
      <c r="B46" s="232" t="s">
        <v>504</v>
      </c>
      <c r="C46" s="232" t="s">
        <v>254</v>
      </c>
      <c r="D46" s="232" t="s">
        <v>505</v>
      </c>
      <c r="E46" s="232">
        <v>6</v>
      </c>
      <c r="F46" s="232" t="s">
        <v>253</v>
      </c>
      <c r="G46" s="233" t="s">
        <v>254</v>
      </c>
      <c r="H46" s="815" t="s">
        <v>506</v>
      </c>
      <c r="I46" s="535">
        <v>39880</v>
      </c>
      <c r="J46" s="845" t="s">
        <v>65</v>
      </c>
      <c r="K46" s="234">
        <v>7</v>
      </c>
      <c r="L46" s="33"/>
      <c r="M46" s="32">
        <f>13248-11278</f>
        <v>1970</v>
      </c>
      <c r="N46" s="32">
        <f>30453-26234</f>
        <v>4219</v>
      </c>
      <c r="O46" s="235">
        <f>SUM(M46:N46)</f>
        <v>6189</v>
      </c>
    </row>
    <row r="47" spans="1:20" ht="18">
      <c r="A47" s="552" t="s">
        <v>26</v>
      </c>
      <c r="B47" s="254" t="s">
        <v>336</v>
      </c>
      <c r="C47" s="254" t="s">
        <v>254</v>
      </c>
      <c r="D47" s="254" t="s">
        <v>325</v>
      </c>
      <c r="E47" s="232">
        <v>27</v>
      </c>
      <c r="F47" s="254" t="s">
        <v>253</v>
      </c>
      <c r="G47" s="1414" t="s">
        <v>254</v>
      </c>
      <c r="H47" s="1415" t="s">
        <v>507</v>
      </c>
      <c r="I47" s="535">
        <v>1000898</v>
      </c>
      <c r="J47" s="845" t="s">
        <v>65</v>
      </c>
      <c r="K47" s="234">
        <v>4</v>
      </c>
      <c r="L47" s="33"/>
      <c r="M47" s="32">
        <f>3663-3346</f>
        <v>317</v>
      </c>
      <c r="N47" s="32">
        <f>4798-4225</f>
        <v>573</v>
      </c>
      <c r="O47" s="235">
        <f>SUM(M47:N47)</f>
        <v>890</v>
      </c>
    </row>
    <row r="48" spans="1:20" ht="18.75" thickBot="1">
      <c r="A48" s="552" t="s">
        <v>26</v>
      </c>
      <c r="B48" s="239" t="s">
        <v>336</v>
      </c>
      <c r="C48" s="239" t="s">
        <v>252</v>
      </c>
      <c r="D48" s="6"/>
      <c r="E48" s="1467">
        <v>152</v>
      </c>
      <c r="F48" s="236" t="s">
        <v>253</v>
      </c>
      <c r="G48" s="1413" t="s">
        <v>254</v>
      </c>
      <c r="H48" s="771" t="s">
        <v>509</v>
      </c>
      <c r="I48" s="536">
        <v>37109</v>
      </c>
      <c r="J48" s="845" t="s">
        <v>65</v>
      </c>
      <c r="K48" s="237">
        <v>6.6</v>
      </c>
      <c r="L48" s="33"/>
      <c r="M48" s="32">
        <f>19980-17677</f>
        <v>2303</v>
      </c>
      <c r="N48" s="32">
        <f>37292-32260</f>
        <v>5032</v>
      </c>
      <c r="O48" s="238">
        <f>SUM(M48:N48)</f>
        <v>7335</v>
      </c>
    </row>
    <row r="49" spans="1:15" ht="45">
      <c r="B49" s="697" t="s">
        <v>22</v>
      </c>
      <c r="C49" s="11" t="s">
        <v>501</v>
      </c>
      <c r="D49" s="12"/>
      <c r="E49" s="70"/>
      <c r="F49" s="54"/>
      <c r="G49" s="1622" t="s">
        <v>1920</v>
      </c>
      <c r="H49" s="12" t="s">
        <v>508</v>
      </c>
      <c r="M49" s="31"/>
      <c r="N49" s="115" t="s">
        <v>23</v>
      </c>
      <c r="O49" s="556">
        <f>SUM(O44:O48)</f>
        <v>60567</v>
      </c>
    </row>
    <row r="50" spans="1:15" ht="15">
      <c r="B50" s="553"/>
      <c r="C50" s="14" t="s">
        <v>523</v>
      </c>
      <c r="D50" s="15"/>
      <c r="E50" s="70"/>
      <c r="F50" s="54"/>
      <c r="G50" s="185"/>
      <c r="H50" s="15" t="s">
        <v>1659</v>
      </c>
      <c r="M50" s="31"/>
      <c r="N50" s="255"/>
      <c r="O50" s="31"/>
    </row>
    <row r="51" spans="1:15" ht="15.75" thickBot="1">
      <c r="B51" s="553"/>
      <c r="C51" s="14" t="s">
        <v>512</v>
      </c>
      <c r="D51" s="15"/>
      <c r="E51" s="70"/>
      <c r="F51" s="54"/>
      <c r="G51" s="188"/>
      <c r="H51" s="18" t="s">
        <v>512</v>
      </c>
      <c r="M51" s="31"/>
      <c r="N51" s="31"/>
      <c r="O51" s="31"/>
    </row>
    <row r="52" spans="1:15" ht="15">
      <c r="B52" s="553" t="s">
        <v>160</v>
      </c>
      <c r="C52" s="14" t="s">
        <v>1712</v>
      </c>
      <c r="D52" s="15"/>
      <c r="E52" s="70"/>
      <c r="M52" s="31"/>
      <c r="N52" s="31"/>
      <c r="O52" s="31"/>
    </row>
    <row r="53" spans="1:15" ht="15.75" thickBot="1">
      <c r="B53" s="433" t="s">
        <v>1061</v>
      </c>
      <c r="C53" s="17" t="s">
        <v>1173</v>
      </c>
      <c r="D53" s="18"/>
      <c r="E53" s="70"/>
      <c r="M53" s="31"/>
      <c r="N53" s="31"/>
      <c r="O53" s="31"/>
    </row>
    <row r="54" spans="1:15">
      <c r="L54" s="31"/>
      <c r="M54" s="31"/>
      <c r="N54" s="31"/>
      <c r="O54" s="31"/>
    </row>
    <row r="55" spans="1:15" ht="15" thickBot="1">
      <c r="L55" s="31"/>
      <c r="M55" s="31"/>
      <c r="N55" s="31"/>
      <c r="O55" s="31"/>
    </row>
    <row r="56" spans="1:15" ht="46.5" customHeight="1">
      <c r="A56" s="1670" t="s">
        <v>6</v>
      </c>
      <c r="B56" s="1673" t="s">
        <v>633</v>
      </c>
      <c r="C56" s="1676" t="s">
        <v>8</v>
      </c>
      <c r="D56" s="1676" t="s">
        <v>9</v>
      </c>
      <c r="E56" s="1656" t="s">
        <v>884</v>
      </c>
      <c r="F56" s="1656" t="s">
        <v>11</v>
      </c>
      <c r="G56" s="1676" t="s">
        <v>12</v>
      </c>
      <c r="H56" s="1656" t="s">
        <v>13</v>
      </c>
      <c r="I56" s="1656" t="s">
        <v>269</v>
      </c>
      <c r="J56" s="1656" t="s">
        <v>59</v>
      </c>
      <c r="K56" s="1665" t="s">
        <v>635</v>
      </c>
      <c r="L56" s="1725" t="s">
        <v>636</v>
      </c>
      <c r="M56" s="1719"/>
      <c r="N56" s="1719"/>
      <c r="O56" s="1726"/>
    </row>
    <row r="57" spans="1:15" ht="40.5" customHeight="1">
      <c r="A57" s="1671"/>
      <c r="B57" s="1674"/>
      <c r="C57" s="1677"/>
      <c r="D57" s="1677"/>
      <c r="E57" s="1657"/>
      <c r="F57" s="1657"/>
      <c r="G57" s="1677"/>
      <c r="H57" s="1657"/>
      <c r="I57" s="1698"/>
      <c r="J57" s="1657"/>
      <c r="K57" s="1666"/>
      <c r="L57" s="1679" t="s">
        <v>637</v>
      </c>
      <c r="M57" s="1654"/>
      <c r="N57" s="1654"/>
      <c r="O57" s="1680"/>
    </row>
    <row r="58" spans="1:15" ht="37.5" customHeight="1" thickBot="1">
      <c r="A58" s="1672"/>
      <c r="B58" s="1675"/>
      <c r="C58" s="1678"/>
      <c r="D58" s="1678"/>
      <c r="E58" s="1658"/>
      <c r="F58" s="1658"/>
      <c r="G58" s="1678"/>
      <c r="H58" s="1658"/>
      <c r="I58" s="1699"/>
      <c r="J58" s="1658"/>
      <c r="K58" s="1667"/>
      <c r="L58" s="263" t="s">
        <v>638</v>
      </c>
      <c r="M58" s="270" t="s">
        <v>639</v>
      </c>
      <c r="N58" s="270" t="s">
        <v>640</v>
      </c>
      <c r="O58" s="265" t="s">
        <v>16</v>
      </c>
    </row>
    <row r="59" spans="1:15" ht="31.5" customHeight="1" thickBot="1">
      <c r="A59" s="552" t="s">
        <v>26</v>
      </c>
      <c r="B59" s="256" t="s">
        <v>331</v>
      </c>
      <c r="C59" s="6" t="s">
        <v>254</v>
      </c>
      <c r="D59" s="257" t="s">
        <v>1371</v>
      </c>
      <c r="E59" s="258">
        <v>13</v>
      </c>
      <c r="F59" s="256" t="s">
        <v>253</v>
      </c>
      <c r="G59" s="1468" t="s">
        <v>254</v>
      </c>
      <c r="H59" s="771" t="s">
        <v>511</v>
      </c>
      <c r="I59" s="1409">
        <v>4137759</v>
      </c>
      <c r="J59" s="1023" t="s">
        <v>65</v>
      </c>
      <c r="K59" s="1410">
        <v>8</v>
      </c>
      <c r="L59" s="37"/>
      <c r="M59" s="788">
        <f>2697-44</f>
        <v>2653</v>
      </c>
      <c r="N59" s="788">
        <f>6083-128</f>
        <v>5955</v>
      </c>
      <c r="O59" s="259">
        <f>SUM(M59:N59)</f>
        <v>8608</v>
      </c>
    </row>
    <row r="60" spans="1:15" ht="15">
      <c r="B60" s="191" t="s">
        <v>22</v>
      </c>
      <c r="C60" s="241" t="s">
        <v>333</v>
      </c>
      <c r="D60" s="242"/>
      <c r="E60" s="242"/>
      <c r="F60" s="243"/>
      <c r="H60" s="1622" t="s">
        <v>1920</v>
      </c>
      <c r="I60" s="241" t="s">
        <v>333</v>
      </c>
      <c r="J60" s="261"/>
      <c r="K60" s="1411"/>
      <c r="L60" s="887"/>
      <c r="M60" s="31"/>
      <c r="N60" s="32" t="s">
        <v>23</v>
      </c>
      <c r="O60" s="556">
        <f>SUM(O59)</f>
        <v>8608</v>
      </c>
    </row>
    <row r="61" spans="1:15" ht="15">
      <c r="B61" s="192"/>
      <c r="C61" s="245" t="s">
        <v>1660</v>
      </c>
      <c r="D61" s="246"/>
      <c r="E61" s="246"/>
      <c r="F61" s="247"/>
      <c r="H61" s="244"/>
      <c r="I61" s="245" t="s">
        <v>1660</v>
      </c>
      <c r="J61" s="54"/>
      <c r="K61" s="88"/>
      <c r="L61" s="888"/>
      <c r="M61" s="31"/>
      <c r="N61" s="70"/>
      <c r="O61" s="59"/>
    </row>
    <row r="62" spans="1:15" ht="15.75" thickBot="1">
      <c r="B62" s="192"/>
      <c r="C62" s="245" t="s">
        <v>512</v>
      </c>
      <c r="D62" s="246"/>
      <c r="E62" s="246"/>
      <c r="F62" s="247"/>
      <c r="H62" s="248"/>
      <c r="I62" s="249" t="s">
        <v>512</v>
      </c>
      <c r="J62" s="226"/>
      <c r="K62" s="1412"/>
      <c r="L62" s="889"/>
      <c r="M62" s="31"/>
      <c r="N62" s="31"/>
      <c r="O62" s="31"/>
    </row>
    <row r="63" spans="1:15" ht="15">
      <c r="B63" s="192"/>
      <c r="C63" s="245" t="s">
        <v>513</v>
      </c>
      <c r="D63" s="246"/>
      <c r="E63" s="246"/>
      <c r="F63" s="247"/>
      <c r="G63" s="245"/>
      <c r="L63" s="31"/>
      <c r="M63" s="31"/>
      <c r="N63" s="31"/>
      <c r="O63" s="31"/>
    </row>
    <row r="64" spans="1:15" ht="15.75" thickBot="1">
      <c r="B64" s="193" t="s">
        <v>1061</v>
      </c>
      <c r="C64" s="249" t="s">
        <v>1361</v>
      </c>
      <c r="D64" s="250"/>
      <c r="E64" s="250"/>
      <c r="F64" s="251"/>
      <c r="G64" s="245"/>
      <c r="L64" s="31"/>
      <c r="M64" s="31"/>
      <c r="N64" s="31"/>
      <c r="O64" s="31"/>
    </row>
    <row r="65" spans="1:20">
      <c r="L65" s="31"/>
      <c r="M65" s="31"/>
      <c r="N65" s="31"/>
      <c r="O65" s="31"/>
    </row>
    <row r="66" spans="1:20" ht="15" thickBot="1">
      <c r="L66" s="31"/>
      <c r="M66" s="31"/>
      <c r="N66" s="31"/>
      <c r="O66" s="31"/>
    </row>
    <row r="67" spans="1:20" ht="46.5" customHeight="1">
      <c r="A67" s="1670" t="s">
        <v>6</v>
      </c>
      <c r="B67" s="1673" t="s">
        <v>633</v>
      </c>
      <c r="C67" s="1676" t="s">
        <v>8</v>
      </c>
      <c r="D67" s="1676" t="s">
        <v>9</v>
      </c>
      <c r="E67" s="1656" t="s">
        <v>884</v>
      </c>
      <c r="F67" s="1656" t="s">
        <v>11</v>
      </c>
      <c r="G67" s="1676" t="s">
        <v>12</v>
      </c>
      <c r="H67" s="1656" t="s">
        <v>13</v>
      </c>
      <c r="I67" s="1656" t="s">
        <v>269</v>
      </c>
      <c r="J67" s="1656" t="s">
        <v>59</v>
      </c>
      <c r="K67" s="1665" t="s">
        <v>635</v>
      </c>
      <c r="L67" s="1725" t="s">
        <v>636</v>
      </c>
      <c r="M67" s="1719"/>
      <c r="N67" s="1719"/>
      <c r="O67" s="1726"/>
    </row>
    <row r="68" spans="1:20" ht="40.5" customHeight="1">
      <c r="A68" s="1671"/>
      <c r="B68" s="1674"/>
      <c r="C68" s="1677"/>
      <c r="D68" s="1677"/>
      <c r="E68" s="1657"/>
      <c r="F68" s="1657"/>
      <c r="G68" s="1677"/>
      <c r="H68" s="1657"/>
      <c r="I68" s="1698"/>
      <c r="J68" s="1657"/>
      <c r="K68" s="1666"/>
      <c r="L68" s="1679" t="s">
        <v>637</v>
      </c>
      <c r="M68" s="1654"/>
      <c r="N68" s="1654"/>
      <c r="O68" s="1680"/>
    </row>
    <row r="69" spans="1:20" ht="36.75" customHeight="1" thickBot="1">
      <c r="A69" s="1672"/>
      <c r="B69" s="1675"/>
      <c r="C69" s="1678"/>
      <c r="D69" s="1678"/>
      <c r="E69" s="1658"/>
      <c r="F69" s="1658"/>
      <c r="G69" s="1678"/>
      <c r="H69" s="1658"/>
      <c r="I69" s="1699"/>
      <c r="J69" s="1658"/>
      <c r="K69" s="1667"/>
      <c r="L69" s="263" t="s">
        <v>638</v>
      </c>
      <c r="M69" s="270" t="s">
        <v>639</v>
      </c>
      <c r="N69" s="270" t="s">
        <v>640</v>
      </c>
      <c r="O69" s="265" t="s">
        <v>16</v>
      </c>
    </row>
    <row r="70" spans="1:20" ht="26.25">
      <c r="A70" s="552" t="s">
        <v>26</v>
      </c>
      <c r="B70" s="232" t="s">
        <v>280</v>
      </c>
      <c r="C70" s="232" t="s">
        <v>254</v>
      </c>
      <c r="D70" s="232" t="s">
        <v>885</v>
      </c>
      <c r="E70" s="4">
        <v>37</v>
      </c>
      <c r="F70" s="232" t="s">
        <v>253</v>
      </c>
      <c r="G70" s="232" t="s">
        <v>254</v>
      </c>
      <c r="H70" s="695" t="s">
        <v>514</v>
      </c>
      <c r="I70" s="535">
        <v>880197</v>
      </c>
      <c r="J70" s="718" t="s">
        <v>21</v>
      </c>
      <c r="K70" s="234">
        <v>40</v>
      </c>
      <c r="L70" s="32">
        <f>(24658.9-20377.89)*30</f>
        <v>128430.30000000006</v>
      </c>
      <c r="M70" s="33"/>
      <c r="N70" s="33"/>
      <c r="O70" s="235">
        <f>L70</f>
        <v>128430.30000000006</v>
      </c>
    </row>
    <row r="71" spans="1:20" ht="26.25">
      <c r="A71" s="552" t="s">
        <v>26</v>
      </c>
      <c r="B71" s="236" t="s">
        <v>138</v>
      </c>
      <c r="C71" s="236" t="s">
        <v>254</v>
      </c>
      <c r="D71" s="232" t="s">
        <v>885</v>
      </c>
      <c r="E71" s="4"/>
      <c r="F71" s="236" t="s">
        <v>253</v>
      </c>
      <c r="G71" s="236" t="s">
        <v>254</v>
      </c>
      <c r="H71" s="695" t="s">
        <v>515</v>
      </c>
      <c r="I71" s="536">
        <v>4139108</v>
      </c>
      <c r="J71" s="845" t="s">
        <v>65</v>
      </c>
      <c r="K71" s="237">
        <v>4</v>
      </c>
      <c r="L71" s="892"/>
      <c r="M71" s="788">
        <f>1460-102</f>
        <v>1358</v>
      </c>
      <c r="N71" s="788">
        <f>3697-297</f>
        <v>3400</v>
      </c>
      <c r="O71" s="1542">
        <f t="shared" ref="O71:O76" si="1">SUM(M71:N71)</f>
        <v>4758</v>
      </c>
    </row>
    <row r="72" spans="1:20" ht="26.25">
      <c r="A72" s="552" t="s">
        <v>26</v>
      </c>
      <c r="B72" s="236" t="s">
        <v>138</v>
      </c>
      <c r="C72" s="236" t="s">
        <v>254</v>
      </c>
      <c r="D72" s="236" t="s">
        <v>886</v>
      </c>
      <c r="E72" s="4">
        <v>108</v>
      </c>
      <c r="F72" s="236" t="s">
        <v>253</v>
      </c>
      <c r="G72" s="236" t="s">
        <v>254</v>
      </c>
      <c r="H72" s="695" t="s">
        <v>517</v>
      </c>
      <c r="I72" s="536">
        <v>4139107</v>
      </c>
      <c r="J72" s="845" t="s">
        <v>65</v>
      </c>
      <c r="K72" s="237">
        <v>2</v>
      </c>
      <c r="L72" s="33"/>
      <c r="M72" s="788">
        <f>25-2</f>
        <v>23</v>
      </c>
      <c r="N72" s="788">
        <f>86-7</f>
        <v>79</v>
      </c>
      <c r="O72" s="1542">
        <f t="shared" si="1"/>
        <v>102</v>
      </c>
    </row>
    <row r="73" spans="1:20" ht="26.25">
      <c r="A73" s="552" t="s">
        <v>26</v>
      </c>
      <c r="B73" s="236" t="s">
        <v>138</v>
      </c>
      <c r="C73" s="236" t="s">
        <v>254</v>
      </c>
      <c r="D73" s="236" t="s">
        <v>886</v>
      </c>
      <c r="E73" s="20"/>
      <c r="F73" s="236" t="s">
        <v>253</v>
      </c>
      <c r="G73" s="236" t="s">
        <v>254</v>
      </c>
      <c r="H73" s="695" t="s">
        <v>518</v>
      </c>
      <c r="I73" s="536">
        <v>4139115</v>
      </c>
      <c r="J73" s="845" t="s">
        <v>65</v>
      </c>
      <c r="K73" s="237">
        <v>6</v>
      </c>
      <c r="L73" s="33"/>
      <c r="M73" s="788">
        <f>585-121</f>
        <v>464</v>
      </c>
      <c r="N73" s="788">
        <f>1557-326</f>
        <v>1231</v>
      </c>
      <c r="O73" s="1542">
        <f t="shared" si="1"/>
        <v>1695</v>
      </c>
    </row>
    <row r="74" spans="1:20" ht="26.25">
      <c r="A74" s="552" t="s">
        <v>26</v>
      </c>
      <c r="B74" s="239" t="s">
        <v>519</v>
      </c>
      <c r="C74" s="239" t="s">
        <v>254</v>
      </c>
      <c r="D74" s="828" t="s">
        <v>520</v>
      </c>
      <c r="E74" s="4">
        <v>19</v>
      </c>
      <c r="F74" s="1416" t="s">
        <v>253</v>
      </c>
      <c r="G74" s="239" t="s">
        <v>254</v>
      </c>
      <c r="H74" s="771" t="s">
        <v>521</v>
      </c>
      <c r="I74" s="536">
        <v>4137777</v>
      </c>
      <c r="J74" s="845" t="s">
        <v>65</v>
      </c>
      <c r="K74" s="237">
        <v>2</v>
      </c>
      <c r="L74" s="33"/>
      <c r="M74" s="788">
        <f>344-21</f>
        <v>323</v>
      </c>
      <c r="N74" s="788">
        <f>1154-85</f>
        <v>1069</v>
      </c>
      <c r="O74" s="1542">
        <f t="shared" si="1"/>
        <v>1392</v>
      </c>
    </row>
    <row r="75" spans="1:20" ht="18">
      <c r="A75" s="552" t="s">
        <v>26</v>
      </c>
      <c r="B75" s="4" t="s">
        <v>870</v>
      </c>
      <c r="C75" s="112" t="s">
        <v>944</v>
      </c>
      <c r="D75" s="4"/>
      <c r="E75" s="22" t="s">
        <v>945</v>
      </c>
      <c r="F75" s="4" t="s">
        <v>253</v>
      </c>
      <c r="G75" s="4" t="s">
        <v>254</v>
      </c>
      <c r="H75" s="695" t="s">
        <v>1171</v>
      </c>
      <c r="I75" s="4">
        <v>4139110</v>
      </c>
      <c r="J75" s="541" t="s">
        <v>65</v>
      </c>
      <c r="K75" s="1471">
        <v>6</v>
      </c>
      <c r="L75" s="33"/>
      <c r="M75" s="788">
        <f>502-38</f>
        <v>464</v>
      </c>
      <c r="N75" s="788">
        <f>1423-127</f>
        <v>1296</v>
      </c>
      <c r="O75" s="1543">
        <f t="shared" si="1"/>
        <v>1760</v>
      </c>
      <c r="P75" s="59"/>
      <c r="Q75" s="59"/>
      <c r="R75" s="59"/>
      <c r="S75" s="59"/>
      <c r="T75" s="57"/>
    </row>
    <row r="76" spans="1:20" ht="18">
      <c r="A76" s="552" t="s">
        <v>26</v>
      </c>
      <c r="B76" s="4" t="s">
        <v>946</v>
      </c>
      <c r="C76" s="112" t="s">
        <v>944</v>
      </c>
      <c r="D76" s="4"/>
      <c r="E76" s="22" t="s">
        <v>947</v>
      </c>
      <c r="F76" s="6" t="s">
        <v>253</v>
      </c>
      <c r="G76" s="6" t="s">
        <v>254</v>
      </c>
      <c r="H76" s="771" t="s">
        <v>1170</v>
      </c>
      <c r="I76" s="4">
        <v>4139111</v>
      </c>
      <c r="J76" s="541" t="s">
        <v>65</v>
      </c>
      <c r="K76" s="1471">
        <v>9</v>
      </c>
      <c r="L76" s="33"/>
      <c r="M76" s="788">
        <f>836-61</f>
        <v>775</v>
      </c>
      <c r="N76" s="788">
        <f>2330-216</f>
        <v>2114</v>
      </c>
      <c r="O76" s="1543">
        <f t="shared" si="1"/>
        <v>2889</v>
      </c>
      <c r="P76" s="59"/>
      <c r="Q76" s="59"/>
      <c r="R76" s="59"/>
      <c r="S76" s="59"/>
      <c r="T76" s="57"/>
    </row>
    <row r="77" spans="1:20" ht="18">
      <c r="A77" s="575" t="s">
        <v>26</v>
      </c>
      <c r="B77" s="236" t="s">
        <v>491</v>
      </c>
      <c r="C77" s="236" t="s">
        <v>492</v>
      </c>
      <c r="D77" s="4"/>
      <c r="E77" s="236"/>
      <c r="F77" s="236" t="s">
        <v>253</v>
      </c>
      <c r="G77" s="233" t="s">
        <v>254</v>
      </c>
      <c r="H77" s="695" t="s">
        <v>1876</v>
      </c>
      <c r="I77" s="536">
        <v>39138</v>
      </c>
      <c r="J77" s="845" t="s">
        <v>65</v>
      </c>
      <c r="K77" s="237">
        <v>3</v>
      </c>
      <c r="L77" s="33"/>
      <c r="M77" s="32">
        <f>12-4</f>
        <v>8</v>
      </c>
      <c r="N77" s="32">
        <f>18-8</f>
        <v>10</v>
      </c>
      <c r="O77" s="238">
        <f>SUM(M77:N77)</f>
        <v>18</v>
      </c>
      <c r="P77" s="59"/>
      <c r="Q77" s="59"/>
      <c r="R77" s="59"/>
      <c r="S77" s="59"/>
      <c r="T77" s="57"/>
    </row>
    <row r="78" spans="1:20" ht="18.75" thickBot="1">
      <c r="A78" s="575" t="s">
        <v>26</v>
      </c>
      <c r="B78" s="236"/>
      <c r="C78" s="236" t="s">
        <v>1875</v>
      </c>
      <c r="D78" s="4"/>
      <c r="E78" s="236">
        <v>58</v>
      </c>
      <c r="F78" s="239" t="s">
        <v>253</v>
      </c>
      <c r="G78" s="233" t="s">
        <v>254</v>
      </c>
      <c r="H78" s="695" t="s">
        <v>1874</v>
      </c>
      <c r="I78" s="536">
        <v>39143</v>
      </c>
      <c r="J78" s="845" t="s">
        <v>65</v>
      </c>
      <c r="K78" s="237">
        <v>4</v>
      </c>
      <c r="L78" s="33"/>
      <c r="M78" s="32">
        <f>2.23-2.23</f>
        <v>0</v>
      </c>
      <c r="N78" s="32">
        <f>0-0</f>
        <v>0</v>
      </c>
      <c r="O78" s="238">
        <f>SUM(M78:N78)</f>
        <v>0</v>
      </c>
      <c r="P78" s="59"/>
      <c r="Q78" s="59"/>
      <c r="R78" s="59"/>
      <c r="S78" s="59"/>
      <c r="T78" s="57"/>
    </row>
    <row r="79" spans="1:20" ht="45">
      <c r="B79" s="697" t="s">
        <v>22</v>
      </c>
      <c r="C79" s="11" t="s">
        <v>501</v>
      </c>
      <c r="D79" s="12"/>
      <c r="E79" s="246"/>
      <c r="F79" s="1625"/>
      <c r="G79" s="1622" t="s">
        <v>1920</v>
      </c>
      <c r="H79" s="12" t="s">
        <v>1726</v>
      </c>
      <c r="L79" s="31"/>
      <c r="M79" s="31"/>
      <c r="N79" s="32" t="s">
        <v>23</v>
      </c>
      <c r="O79" s="556">
        <f>SUM(O70:O78)</f>
        <v>141044.30000000005</v>
      </c>
    </row>
    <row r="80" spans="1:20" ht="15">
      <c r="B80" s="553"/>
      <c r="C80" s="14" t="s">
        <v>1727</v>
      </c>
      <c r="D80" s="15"/>
      <c r="E80" s="246"/>
      <c r="F80" s="54"/>
      <c r="G80" s="185"/>
      <c r="H80" s="15" t="s">
        <v>1727</v>
      </c>
      <c r="I80" s="246"/>
      <c r="L80" s="31"/>
      <c r="M80" s="31"/>
      <c r="N80" s="31"/>
      <c r="O80" s="31"/>
    </row>
    <row r="81" spans="1:15" ht="15.75" thickBot="1">
      <c r="B81" s="553"/>
      <c r="C81" s="14" t="s">
        <v>512</v>
      </c>
      <c r="D81" s="15"/>
      <c r="E81" s="246"/>
      <c r="F81" s="54"/>
      <c r="G81" s="188"/>
      <c r="H81" s="18" t="s">
        <v>512</v>
      </c>
      <c r="I81" s="246"/>
      <c r="L81" s="31"/>
      <c r="M81" s="31"/>
      <c r="N81" s="31"/>
      <c r="O81" s="31"/>
    </row>
    <row r="82" spans="1:15" ht="15">
      <c r="B82" s="553" t="s">
        <v>160</v>
      </c>
      <c r="C82" s="14" t="s">
        <v>1712</v>
      </c>
      <c r="D82" s="15"/>
      <c r="E82" s="246"/>
      <c r="I82" s="246"/>
      <c r="L82" s="31"/>
      <c r="M82" s="31"/>
      <c r="N82" s="31"/>
      <c r="O82" s="31"/>
    </row>
    <row r="83" spans="1:15" ht="15.75" thickBot="1">
      <c r="B83" s="433" t="s">
        <v>1061</v>
      </c>
      <c r="C83" s="17" t="s">
        <v>1173</v>
      </c>
      <c r="D83" s="18"/>
      <c r="E83" s="246"/>
      <c r="I83" s="246"/>
      <c r="L83" s="31"/>
      <c r="M83" s="31"/>
      <c r="N83" s="31"/>
      <c r="O83" s="31"/>
    </row>
    <row r="84" spans="1:15" ht="15.75" thickBot="1">
      <c r="B84" s="246"/>
      <c r="C84" s="245"/>
      <c r="D84" s="246"/>
      <c r="E84" s="246"/>
      <c r="I84" s="246"/>
      <c r="L84" s="31"/>
      <c r="M84" s="31"/>
      <c r="N84" s="31"/>
      <c r="O84" s="31"/>
    </row>
    <row r="85" spans="1:15" ht="47.25" customHeight="1">
      <c r="A85" s="1670" t="s">
        <v>6</v>
      </c>
      <c r="B85" s="1673" t="s">
        <v>633</v>
      </c>
      <c r="C85" s="1676" t="s">
        <v>8</v>
      </c>
      <c r="D85" s="1676" t="s">
        <v>9</v>
      </c>
      <c r="E85" s="1656" t="s">
        <v>884</v>
      </c>
      <c r="F85" s="1656" t="s">
        <v>11</v>
      </c>
      <c r="G85" s="1676" t="s">
        <v>12</v>
      </c>
      <c r="H85" s="1656" t="s">
        <v>13</v>
      </c>
      <c r="I85" s="1656" t="s">
        <v>269</v>
      </c>
      <c r="J85" s="1656" t="s">
        <v>59</v>
      </c>
      <c r="K85" s="1665" t="s">
        <v>635</v>
      </c>
      <c r="L85" s="1725" t="s">
        <v>636</v>
      </c>
      <c r="M85" s="1719"/>
      <c r="N85" s="1719"/>
      <c r="O85" s="1726"/>
    </row>
    <row r="86" spans="1:15" ht="40.5" customHeight="1">
      <c r="A86" s="1671"/>
      <c r="B86" s="1674"/>
      <c r="C86" s="1677"/>
      <c r="D86" s="1677"/>
      <c r="E86" s="1657"/>
      <c r="F86" s="1657"/>
      <c r="G86" s="1677"/>
      <c r="H86" s="1657"/>
      <c r="I86" s="1698"/>
      <c r="J86" s="1657"/>
      <c r="K86" s="1666"/>
      <c r="L86" s="1679" t="s">
        <v>637</v>
      </c>
      <c r="M86" s="1654"/>
      <c r="N86" s="1654"/>
      <c r="O86" s="1680"/>
    </row>
    <row r="87" spans="1:15" ht="23.25" customHeight="1" thickBot="1">
      <c r="A87" s="1672"/>
      <c r="B87" s="1675"/>
      <c r="C87" s="1678"/>
      <c r="D87" s="1678"/>
      <c r="E87" s="1658"/>
      <c r="F87" s="1658"/>
      <c r="G87" s="1678"/>
      <c r="H87" s="1658"/>
      <c r="I87" s="1699"/>
      <c r="J87" s="1658"/>
      <c r="K87" s="1667"/>
      <c r="L87" s="467" t="s">
        <v>638</v>
      </c>
      <c r="M87" s="468" t="s">
        <v>639</v>
      </c>
      <c r="N87" s="468" t="s">
        <v>640</v>
      </c>
      <c r="O87" s="466" t="s">
        <v>16</v>
      </c>
    </row>
    <row r="88" spans="1:15" ht="30" thickBot="1">
      <c r="A88" s="552" t="s">
        <v>26</v>
      </c>
      <c r="B88" s="776" t="s">
        <v>219</v>
      </c>
      <c r="C88" s="777" t="s">
        <v>254</v>
      </c>
      <c r="D88" s="777" t="s">
        <v>516</v>
      </c>
      <c r="E88" s="777">
        <v>22</v>
      </c>
      <c r="F88" s="1068" t="s">
        <v>253</v>
      </c>
      <c r="G88" s="4" t="s">
        <v>254</v>
      </c>
      <c r="H88" s="1417" t="s">
        <v>899</v>
      </c>
      <c r="I88" s="20">
        <v>302714</v>
      </c>
      <c r="J88" s="1023" t="s">
        <v>65</v>
      </c>
      <c r="K88" s="745">
        <v>10</v>
      </c>
      <c r="L88" s="33"/>
      <c r="M88" s="34">
        <f>4926-3771</f>
        <v>1155</v>
      </c>
      <c r="N88" s="34">
        <f>19987-15315</f>
        <v>4672</v>
      </c>
      <c r="O88" s="32">
        <f>SUM(M88:N88)</f>
        <v>5827</v>
      </c>
    </row>
    <row r="89" spans="1:15" ht="15">
      <c r="B89" s="697" t="s">
        <v>22</v>
      </c>
      <c r="C89" s="11" t="s">
        <v>522</v>
      </c>
      <c r="D89" s="11"/>
      <c r="E89" s="12"/>
      <c r="F89" s="14"/>
      <c r="H89" s="1622" t="s">
        <v>1920</v>
      </c>
      <c r="I89" s="11" t="s">
        <v>522</v>
      </c>
      <c r="J89" s="1411"/>
      <c r="K89" s="1418"/>
      <c r="L89" s="31"/>
      <c r="M89" s="31"/>
      <c r="N89" s="32" t="s">
        <v>23</v>
      </c>
      <c r="O89" s="556">
        <f>SUM(O88)</f>
        <v>5827</v>
      </c>
    </row>
    <row r="90" spans="1:15" ht="15">
      <c r="B90" s="553"/>
      <c r="C90" s="14" t="s">
        <v>1725</v>
      </c>
      <c r="D90" s="14"/>
      <c r="E90" s="15"/>
      <c r="F90" s="14"/>
      <c r="H90" s="185"/>
      <c r="I90" s="14" t="s">
        <v>1725</v>
      </c>
      <c r="J90" s="88"/>
      <c r="K90" s="1419"/>
      <c r="L90" s="31"/>
      <c r="M90" s="31"/>
      <c r="N90" s="31"/>
      <c r="O90" s="31"/>
    </row>
    <row r="91" spans="1:15" ht="15.75" thickBot="1">
      <c r="B91" s="553"/>
      <c r="C91" s="14" t="s">
        <v>512</v>
      </c>
      <c r="D91" s="14"/>
      <c r="E91" s="15"/>
      <c r="F91" s="14"/>
      <c r="H91" s="188"/>
      <c r="I91" s="17" t="s">
        <v>512</v>
      </c>
      <c r="J91" s="226"/>
      <c r="K91" s="1420"/>
      <c r="L91" s="7"/>
      <c r="M91" s="31"/>
      <c r="N91" s="31"/>
      <c r="O91" s="31"/>
    </row>
    <row r="92" spans="1:15" ht="15">
      <c r="B92" s="553" t="s">
        <v>160</v>
      </c>
      <c r="C92" s="14" t="s">
        <v>1711</v>
      </c>
      <c r="D92" s="14"/>
      <c r="E92" s="15"/>
      <c r="F92" s="14"/>
      <c r="L92" s="7"/>
      <c r="M92" s="31"/>
      <c r="N92" s="31"/>
      <c r="O92" s="31"/>
    </row>
    <row r="93" spans="1:15" ht="15.75" thickBot="1">
      <c r="B93" s="433" t="s">
        <v>1061</v>
      </c>
      <c r="C93" s="17" t="s">
        <v>1166</v>
      </c>
      <c r="D93" s="17"/>
      <c r="E93" s="18"/>
      <c r="F93" s="14"/>
      <c r="L93" s="7"/>
      <c r="M93" s="31"/>
      <c r="N93" s="31"/>
      <c r="O93" s="31"/>
    </row>
    <row r="94" spans="1:15" ht="15">
      <c r="B94" s="14"/>
      <c r="C94" s="14"/>
      <c r="D94" s="14"/>
      <c r="E94" s="14"/>
      <c r="F94" s="14"/>
      <c r="L94" s="7"/>
      <c r="M94" s="31"/>
      <c r="N94" s="31"/>
      <c r="O94" s="31"/>
    </row>
    <row r="95" spans="1:15" ht="15" thickBot="1">
      <c r="L95" s="7"/>
      <c r="M95" s="31"/>
      <c r="N95" s="31"/>
      <c r="O95" s="31"/>
    </row>
    <row r="96" spans="1:15" ht="43.5" customHeight="1">
      <c r="A96" s="1670" t="s">
        <v>6</v>
      </c>
      <c r="B96" s="1673" t="s">
        <v>633</v>
      </c>
      <c r="C96" s="1676" t="s">
        <v>8</v>
      </c>
      <c r="D96" s="1676" t="s">
        <v>9</v>
      </c>
      <c r="E96" s="1656" t="s">
        <v>884</v>
      </c>
      <c r="F96" s="1656" t="s">
        <v>11</v>
      </c>
      <c r="G96" s="1676" t="s">
        <v>12</v>
      </c>
      <c r="H96" s="1656" t="s">
        <v>13</v>
      </c>
      <c r="I96" s="1656" t="s">
        <v>269</v>
      </c>
      <c r="J96" s="1656" t="s">
        <v>59</v>
      </c>
      <c r="K96" s="1665" t="s">
        <v>635</v>
      </c>
      <c r="L96" s="1725" t="s">
        <v>636</v>
      </c>
      <c r="M96" s="1719"/>
      <c r="N96" s="1719"/>
      <c r="O96" s="1726"/>
    </row>
    <row r="97" spans="1:15" ht="38.25" customHeight="1">
      <c r="A97" s="1671"/>
      <c r="B97" s="1674"/>
      <c r="C97" s="1677"/>
      <c r="D97" s="1677"/>
      <c r="E97" s="1657"/>
      <c r="F97" s="1657"/>
      <c r="G97" s="1677"/>
      <c r="H97" s="1657"/>
      <c r="I97" s="1698"/>
      <c r="J97" s="1657"/>
      <c r="K97" s="1666"/>
      <c r="L97" s="1679" t="s">
        <v>637</v>
      </c>
      <c r="M97" s="1654"/>
      <c r="N97" s="1654"/>
      <c r="O97" s="1680"/>
    </row>
    <row r="98" spans="1:15" ht="23.25" customHeight="1" thickBot="1">
      <c r="A98" s="1672"/>
      <c r="B98" s="1675"/>
      <c r="C98" s="1678"/>
      <c r="D98" s="1678"/>
      <c r="E98" s="1658"/>
      <c r="F98" s="1658"/>
      <c r="G98" s="1678"/>
      <c r="H98" s="1658"/>
      <c r="I98" s="1699"/>
      <c r="J98" s="1658"/>
      <c r="K98" s="1667"/>
      <c r="L98" s="467" t="s">
        <v>638</v>
      </c>
      <c r="M98" s="468" t="s">
        <v>639</v>
      </c>
      <c r="N98" s="468" t="s">
        <v>640</v>
      </c>
      <c r="O98" s="466" t="s">
        <v>16</v>
      </c>
    </row>
    <row r="99" spans="1:15" ht="39" customHeight="1">
      <c r="A99" s="601" t="s">
        <v>26</v>
      </c>
      <c r="B99" s="360" t="s">
        <v>501</v>
      </c>
      <c r="C99" s="360" t="s">
        <v>254</v>
      </c>
      <c r="D99" s="360" t="s">
        <v>325</v>
      </c>
      <c r="E99" s="182">
        <v>27</v>
      </c>
      <c r="F99" s="182" t="s">
        <v>253</v>
      </c>
      <c r="G99" s="182" t="s">
        <v>254</v>
      </c>
      <c r="H99" s="710" t="s">
        <v>887</v>
      </c>
      <c r="I99" s="105">
        <v>70958498</v>
      </c>
      <c r="J99" s="516" t="s">
        <v>28</v>
      </c>
      <c r="K99" s="267">
        <v>39</v>
      </c>
      <c r="L99" s="268">
        <f>64678-57241</f>
        <v>7437</v>
      </c>
      <c r="M99" s="269"/>
      <c r="N99" s="269"/>
      <c r="O99" s="268">
        <f>L99</f>
        <v>7437</v>
      </c>
    </row>
    <row r="100" spans="1:15" ht="39" customHeight="1">
      <c r="A100" s="601" t="s">
        <v>26</v>
      </c>
      <c r="B100" s="652" t="s">
        <v>660</v>
      </c>
      <c r="C100" s="653" t="s">
        <v>944</v>
      </c>
      <c r="D100" s="423"/>
      <c r="E100" s="46">
        <v>33</v>
      </c>
      <c r="F100" s="4" t="s">
        <v>253</v>
      </c>
      <c r="G100" s="4" t="s">
        <v>254</v>
      </c>
      <c r="H100" s="695" t="s">
        <v>1362</v>
      </c>
      <c r="I100" s="707">
        <v>91421613</v>
      </c>
      <c r="J100" s="377" t="s">
        <v>442</v>
      </c>
      <c r="K100" s="86">
        <v>9.5</v>
      </c>
      <c r="L100" s="33"/>
      <c r="M100" s="32">
        <f>688*2</f>
        <v>1376</v>
      </c>
      <c r="N100" s="4">
        <f>1725*2</f>
        <v>3450</v>
      </c>
      <c r="O100" s="32">
        <f>SUM(M100:N100)</f>
        <v>4826</v>
      </c>
    </row>
    <row r="101" spans="1:15" ht="39" customHeight="1" thickBot="1">
      <c r="A101" s="601" t="s">
        <v>26</v>
      </c>
      <c r="B101" s="597" t="s">
        <v>501</v>
      </c>
      <c r="C101" s="658" t="s">
        <v>254</v>
      </c>
      <c r="D101" s="45" t="s">
        <v>516</v>
      </c>
      <c r="E101" s="46">
        <v>24</v>
      </c>
      <c r="F101" s="4" t="s">
        <v>253</v>
      </c>
      <c r="G101" s="6" t="s">
        <v>254</v>
      </c>
      <c r="H101" s="771" t="s">
        <v>1442</v>
      </c>
      <c r="I101" s="4">
        <v>14213</v>
      </c>
      <c r="J101" s="487" t="s">
        <v>716</v>
      </c>
      <c r="K101" s="86">
        <v>2</v>
      </c>
      <c r="L101" s="32">
        <f>377-2</f>
        <v>375</v>
      </c>
      <c r="M101" s="33"/>
      <c r="N101" s="30"/>
      <c r="O101" s="32">
        <f>L101</f>
        <v>375</v>
      </c>
    </row>
    <row r="102" spans="1:15" ht="45">
      <c r="B102" s="697" t="s">
        <v>22</v>
      </c>
      <c r="C102" s="11" t="s">
        <v>501</v>
      </c>
      <c r="D102" s="12"/>
      <c r="E102" s="260"/>
      <c r="F102" s="54"/>
      <c r="G102" s="1622" t="s">
        <v>1920</v>
      </c>
      <c r="H102" s="12" t="s">
        <v>1726</v>
      </c>
      <c r="J102" s="109"/>
      <c r="K102" s="1"/>
      <c r="L102" s="31"/>
      <c r="M102" s="31"/>
      <c r="N102" s="32" t="s">
        <v>23</v>
      </c>
      <c r="O102" s="556">
        <f>SUM(O99:O101)</f>
        <v>12638</v>
      </c>
    </row>
    <row r="103" spans="1:15" ht="15">
      <c r="B103" s="553"/>
      <c r="C103" s="14" t="s">
        <v>523</v>
      </c>
      <c r="D103" s="15"/>
      <c r="E103" s="260"/>
      <c r="F103" s="54"/>
      <c r="G103" s="185"/>
      <c r="H103" s="15" t="s">
        <v>523</v>
      </c>
      <c r="J103" s="109"/>
      <c r="K103" s="1"/>
      <c r="L103" s="31"/>
      <c r="M103" s="31"/>
      <c r="N103" s="31"/>
      <c r="O103" s="31"/>
    </row>
    <row r="104" spans="1:15" ht="14.25" customHeight="1" thickBot="1">
      <c r="B104" s="553"/>
      <c r="C104" s="14" t="s">
        <v>512</v>
      </c>
      <c r="D104" s="15"/>
      <c r="E104" s="260"/>
      <c r="F104" s="54"/>
      <c r="G104" s="188"/>
      <c r="H104" s="18" t="s">
        <v>512</v>
      </c>
      <c r="J104" s="109"/>
      <c r="K104" s="1"/>
      <c r="L104" s="31"/>
      <c r="M104" s="31"/>
      <c r="N104" s="31"/>
      <c r="O104" s="31"/>
    </row>
    <row r="105" spans="1:15" ht="15">
      <c r="B105" s="553" t="s">
        <v>160</v>
      </c>
      <c r="C105" s="14" t="s">
        <v>1712</v>
      </c>
      <c r="D105" s="15"/>
      <c r="E105" s="260"/>
      <c r="I105" s="2"/>
      <c r="L105" s="31"/>
      <c r="M105" s="31"/>
      <c r="N105" s="31"/>
      <c r="O105" s="31"/>
    </row>
    <row r="106" spans="1:15" ht="15.75" thickBot="1">
      <c r="B106" s="433" t="s">
        <v>1061</v>
      </c>
      <c r="C106" s="17" t="s">
        <v>1173</v>
      </c>
      <c r="D106" s="18"/>
      <c r="E106" s="260"/>
      <c r="I106" s="2"/>
      <c r="L106" s="31"/>
      <c r="M106" s="31"/>
      <c r="N106" s="31"/>
      <c r="O106" s="31"/>
    </row>
    <row r="107" spans="1:15" ht="15">
      <c r="B107" s="14"/>
      <c r="C107" s="14"/>
      <c r="D107" s="14"/>
      <c r="E107" s="260"/>
      <c r="I107" s="2"/>
      <c r="L107" s="31"/>
      <c r="M107" s="31"/>
      <c r="N107" s="31"/>
      <c r="O107" s="31"/>
    </row>
    <row r="109" spans="1:15" ht="15">
      <c r="B109" s="14"/>
      <c r="C109" s="14"/>
      <c r="D109" s="14"/>
      <c r="E109" s="246"/>
      <c r="L109" s="31"/>
      <c r="M109" s="31"/>
      <c r="O109" s="31"/>
    </row>
    <row r="110" spans="1:15" ht="18.75" thickBot="1">
      <c r="B110" s="824" t="s">
        <v>1056</v>
      </c>
      <c r="C110" s="655"/>
      <c r="D110" s="246"/>
      <c r="E110" s="246"/>
      <c r="L110" s="31"/>
      <c r="M110" s="31"/>
      <c r="O110" s="31"/>
    </row>
    <row r="111" spans="1:15" ht="44.25" customHeight="1">
      <c r="A111" s="1657" t="s">
        <v>6</v>
      </c>
      <c r="B111" s="1656" t="s">
        <v>7</v>
      </c>
      <c r="C111" s="1656" t="s">
        <v>8</v>
      </c>
      <c r="D111" s="1656" t="s">
        <v>9</v>
      </c>
      <c r="E111" s="1656" t="s">
        <v>10</v>
      </c>
      <c r="F111" s="1656" t="s">
        <v>11</v>
      </c>
      <c r="G111" s="1656" t="s">
        <v>12</v>
      </c>
      <c r="H111" s="1656" t="s">
        <v>13</v>
      </c>
      <c r="I111" s="1656" t="s">
        <v>269</v>
      </c>
      <c r="J111" s="1656" t="s">
        <v>59</v>
      </c>
      <c r="K111" s="1659" t="s">
        <v>15</v>
      </c>
      <c r="L111" s="1650" t="s">
        <v>641</v>
      </c>
      <c r="M111" s="1650"/>
      <c r="N111" s="1650"/>
      <c r="O111" s="1650"/>
    </row>
    <row r="112" spans="1:15" ht="14.25" customHeight="1">
      <c r="A112" s="1657"/>
      <c r="B112" s="1657"/>
      <c r="C112" s="1657"/>
      <c r="D112" s="1657"/>
      <c r="E112" s="1657"/>
      <c r="F112" s="1657"/>
      <c r="G112" s="1657"/>
      <c r="H112" s="1657"/>
      <c r="I112" s="1657"/>
      <c r="J112" s="1657"/>
      <c r="K112" s="1660"/>
      <c r="L112" s="1654" t="s">
        <v>638</v>
      </c>
      <c r="M112" s="1654" t="s">
        <v>639</v>
      </c>
      <c r="N112" s="1654" t="s">
        <v>640</v>
      </c>
      <c r="O112" s="1654" t="s">
        <v>643</v>
      </c>
    </row>
    <row r="113" spans="1:15" ht="15" thickBot="1">
      <c r="A113" s="1740"/>
      <c r="B113" s="1740"/>
      <c r="C113" s="1740"/>
      <c r="D113" s="1740"/>
      <c r="E113" s="1740"/>
      <c r="F113" s="1740"/>
      <c r="G113" s="1740"/>
      <c r="H113" s="1658"/>
      <c r="I113" s="1740"/>
      <c r="J113" s="1740"/>
      <c r="K113" s="1774"/>
      <c r="L113" s="1732"/>
      <c r="M113" s="1732"/>
      <c r="N113" s="1732"/>
      <c r="O113" s="1732"/>
    </row>
    <row r="114" spans="1:15" ht="29.25">
      <c r="A114" s="575" t="s">
        <v>26</v>
      </c>
      <c r="B114" s="597" t="s">
        <v>1167</v>
      </c>
      <c r="C114" s="658" t="s">
        <v>254</v>
      </c>
      <c r="D114" s="45" t="s">
        <v>1168</v>
      </c>
      <c r="E114" s="46" t="s">
        <v>1169</v>
      </c>
      <c r="F114" s="4" t="s">
        <v>253</v>
      </c>
      <c r="G114" s="4" t="s">
        <v>254</v>
      </c>
      <c r="H114" s="695" t="s">
        <v>1360</v>
      </c>
      <c r="I114" s="707">
        <v>88036130</v>
      </c>
      <c r="J114" s="386" t="s">
        <v>28</v>
      </c>
      <c r="K114" s="86">
        <v>20</v>
      </c>
      <c r="L114" s="32">
        <f>(17550-3)+(76341-49876)</f>
        <v>44012</v>
      </c>
      <c r="M114" s="33"/>
      <c r="N114" s="30"/>
      <c r="O114" s="893">
        <f>L114</f>
        <v>44012</v>
      </c>
    </row>
    <row r="115" spans="1:15" ht="59.25" customHeight="1" thickBot="1">
      <c r="A115" s="575" t="s">
        <v>26</v>
      </c>
      <c r="B115" s="652" t="s">
        <v>1358</v>
      </c>
      <c r="C115" s="656" t="s">
        <v>254</v>
      </c>
      <c r="D115" s="45" t="s">
        <v>1372</v>
      </c>
      <c r="E115" s="646">
        <v>24</v>
      </c>
      <c r="F115" s="4" t="s">
        <v>253</v>
      </c>
      <c r="G115" s="6" t="s">
        <v>254</v>
      </c>
      <c r="H115" s="771" t="s">
        <v>1359</v>
      </c>
      <c r="I115" s="707">
        <v>88036807</v>
      </c>
      <c r="J115" s="377" t="s">
        <v>21</v>
      </c>
      <c r="K115" s="86">
        <v>45</v>
      </c>
      <c r="L115" s="32">
        <f>(28436-5.5)+(114848-79201)</f>
        <v>64077.5</v>
      </c>
      <c r="M115" s="33"/>
      <c r="N115" s="30"/>
      <c r="O115" s="893">
        <f>L115</f>
        <v>64077.5</v>
      </c>
    </row>
    <row r="116" spans="1:15" ht="45">
      <c r="B116" s="1406" t="s">
        <v>22</v>
      </c>
      <c r="C116" s="657" t="s">
        <v>501</v>
      </c>
      <c r="D116" s="243"/>
      <c r="E116" s="246"/>
      <c r="F116" s="54"/>
      <c r="G116" s="1622" t="s">
        <v>1920</v>
      </c>
      <c r="H116" s="12" t="s">
        <v>501</v>
      </c>
      <c r="L116" s="31"/>
      <c r="M116" s="31"/>
      <c r="N116" s="32" t="s">
        <v>23</v>
      </c>
      <c r="O116" s="556">
        <f>SUM(O114:O115)</f>
        <v>108089.5</v>
      </c>
    </row>
    <row r="117" spans="1:15" ht="15">
      <c r="B117" s="1407"/>
      <c r="C117" s="655" t="s">
        <v>1731</v>
      </c>
      <c r="D117" s="247"/>
      <c r="E117" s="246"/>
      <c r="F117" s="54"/>
      <c r="G117" s="185"/>
      <c r="H117" s="15" t="s">
        <v>523</v>
      </c>
      <c r="L117" s="31"/>
      <c r="M117" s="31"/>
      <c r="O117" s="31"/>
    </row>
    <row r="118" spans="1:15" ht="15.75" thickBot="1">
      <c r="B118" s="1407"/>
      <c r="C118" s="655" t="s">
        <v>512</v>
      </c>
      <c r="D118" s="247"/>
      <c r="E118" s="246"/>
      <c r="F118" s="54"/>
      <c r="G118" s="188"/>
      <c r="H118" s="18" t="s">
        <v>512</v>
      </c>
      <c r="L118" s="31"/>
      <c r="M118" s="31"/>
      <c r="O118" s="31"/>
    </row>
    <row r="119" spans="1:15" ht="15.75" thickBot="1">
      <c r="B119" s="1408" t="s">
        <v>160</v>
      </c>
      <c r="C119" s="654">
        <v>8222158823</v>
      </c>
      <c r="D119" s="251"/>
      <c r="E119" s="246"/>
      <c r="L119" s="31"/>
      <c r="M119" s="31"/>
      <c r="O119" s="31"/>
    </row>
    <row r="120" spans="1:15" ht="15">
      <c r="B120" s="245"/>
      <c r="C120" s="655"/>
      <c r="D120" s="246"/>
      <c r="E120" s="246"/>
      <c r="L120" s="31"/>
      <c r="M120" s="31"/>
      <c r="O120" s="31"/>
    </row>
    <row r="121" spans="1:15" ht="15.75" thickBot="1">
      <c r="B121" s="245"/>
      <c r="C121" s="655"/>
      <c r="D121" s="246"/>
      <c r="E121" s="246"/>
      <c r="L121" s="31"/>
      <c r="M121" s="31"/>
      <c r="O121" s="31"/>
    </row>
    <row r="122" spans="1:15" ht="39" customHeight="1">
      <c r="A122" s="1662" t="s">
        <v>6</v>
      </c>
      <c r="B122" s="1656" t="s">
        <v>7</v>
      </c>
      <c r="C122" s="1656" t="s">
        <v>8</v>
      </c>
      <c r="D122" s="1656" t="s">
        <v>9</v>
      </c>
      <c r="E122" s="1656" t="s">
        <v>10</v>
      </c>
      <c r="F122" s="1656" t="s">
        <v>11</v>
      </c>
      <c r="G122" s="1656" t="s">
        <v>12</v>
      </c>
      <c r="H122" s="1656" t="s">
        <v>13</v>
      </c>
      <c r="I122" s="1656" t="s">
        <v>269</v>
      </c>
      <c r="J122" s="1656" t="s">
        <v>59</v>
      </c>
      <c r="K122" s="1659" t="s">
        <v>15</v>
      </c>
      <c r="L122" s="1650" t="s">
        <v>641</v>
      </c>
      <c r="M122" s="1650"/>
      <c r="N122" s="1650"/>
      <c r="O122" s="1650"/>
    </row>
    <row r="123" spans="1:15" ht="39" customHeight="1">
      <c r="A123" s="1663"/>
      <c r="B123" s="1657"/>
      <c r="C123" s="1657"/>
      <c r="D123" s="1657"/>
      <c r="E123" s="1657"/>
      <c r="F123" s="1657"/>
      <c r="G123" s="1657"/>
      <c r="H123" s="1657"/>
      <c r="I123" s="1657"/>
      <c r="J123" s="1657"/>
      <c r="K123" s="1660"/>
      <c r="L123" s="1654" t="s">
        <v>638</v>
      </c>
      <c r="M123" s="1654" t="s">
        <v>639</v>
      </c>
      <c r="N123" s="1654" t="s">
        <v>640</v>
      </c>
      <c r="O123" s="1654" t="s">
        <v>643</v>
      </c>
    </row>
    <row r="124" spans="1:15" ht="39" customHeight="1" thickBot="1">
      <c r="A124" s="1664"/>
      <c r="B124" s="1658"/>
      <c r="C124" s="1658"/>
      <c r="D124" s="1658"/>
      <c r="E124" s="1658"/>
      <c r="F124" s="1658"/>
      <c r="G124" s="1658"/>
      <c r="H124" s="1658"/>
      <c r="I124" s="1658"/>
      <c r="J124" s="1658"/>
      <c r="K124" s="1661"/>
      <c r="L124" s="1655"/>
      <c r="M124" s="1655"/>
      <c r="N124" s="1655"/>
      <c r="O124" s="1655"/>
    </row>
    <row r="125" spans="1:15" ht="30" thickBot="1">
      <c r="A125" s="601" t="s">
        <v>26</v>
      </c>
      <c r="B125" s="1467" t="s">
        <v>501</v>
      </c>
      <c r="C125" s="1467" t="s">
        <v>254</v>
      </c>
      <c r="D125" s="266" t="s">
        <v>1732</v>
      </c>
      <c r="E125" s="1467" t="s">
        <v>1733</v>
      </c>
      <c r="F125" s="1626" t="s">
        <v>253</v>
      </c>
      <c r="G125" s="1554" t="s">
        <v>254</v>
      </c>
      <c r="H125" s="771" t="s">
        <v>1883</v>
      </c>
      <c r="I125" s="1478">
        <v>20389589</v>
      </c>
      <c r="J125" s="1539" t="s">
        <v>28</v>
      </c>
      <c r="K125" s="1479">
        <v>2.5</v>
      </c>
      <c r="L125" s="268">
        <v>3500</v>
      </c>
      <c r="M125" s="269"/>
      <c r="N125" s="482"/>
      <c r="O125" s="1480">
        <f>L125</f>
        <v>3500</v>
      </c>
    </row>
    <row r="126" spans="1:15" ht="50.25" customHeight="1">
      <c r="A126" s="1472"/>
      <c r="B126" s="553" t="s">
        <v>22</v>
      </c>
      <c r="C126" s="14" t="s">
        <v>501</v>
      </c>
      <c r="D126" s="15"/>
      <c r="E126" s="246"/>
      <c r="F126" s="54"/>
      <c r="G126" s="1622" t="s">
        <v>1920</v>
      </c>
      <c r="H126" s="12" t="s">
        <v>1726</v>
      </c>
      <c r="I126" s="1473"/>
      <c r="J126" s="1474"/>
      <c r="K126" s="1472"/>
      <c r="L126" s="1475"/>
      <c r="N126" s="1476" t="s">
        <v>62</v>
      </c>
      <c r="O126" s="1477">
        <f>SUM(O125:O125)</f>
        <v>3500</v>
      </c>
    </row>
    <row r="127" spans="1:15" ht="15">
      <c r="A127" s="1472"/>
      <c r="B127" s="553"/>
      <c r="C127" s="14" t="s">
        <v>1727</v>
      </c>
      <c r="D127" s="15"/>
      <c r="E127" s="246"/>
      <c r="F127" s="54"/>
      <c r="G127" s="185"/>
      <c r="H127" s="15" t="s">
        <v>1734</v>
      </c>
      <c r="I127" s="1473"/>
      <c r="J127" s="1474"/>
      <c r="K127" s="1472"/>
      <c r="L127" s="1475"/>
      <c r="M127" s="1475"/>
      <c r="N127" s="1475"/>
      <c r="O127" s="1475"/>
    </row>
    <row r="128" spans="1:15" ht="15.75" thickBot="1">
      <c r="A128" s="1472"/>
      <c r="B128" s="553"/>
      <c r="C128" s="14" t="s">
        <v>512</v>
      </c>
      <c r="D128" s="15"/>
      <c r="E128" s="246"/>
      <c r="F128" s="54"/>
      <c r="G128" s="188"/>
      <c r="H128" s="18" t="s">
        <v>512</v>
      </c>
      <c r="I128" s="1473"/>
      <c r="J128" s="1474"/>
      <c r="K128" s="1472"/>
      <c r="L128" s="1475"/>
      <c r="M128" s="1475"/>
      <c r="N128" s="1475"/>
      <c r="O128" s="1475"/>
    </row>
    <row r="129" spans="1:15" ht="15">
      <c r="A129" s="1472"/>
      <c r="B129" s="553" t="s">
        <v>160</v>
      </c>
      <c r="C129" s="14" t="s">
        <v>1712</v>
      </c>
      <c r="D129" s="15"/>
      <c r="E129" s="246"/>
      <c r="I129" s="1473"/>
      <c r="J129" s="1474"/>
      <c r="K129" s="1472"/>
      <c r="L129" s="1475"/>
      <c r="M129" s="1475"/>
      <c r="N129" s="1475"/>
      <c r="O129" s="1475"/>
    </row>
    <row r="130" spans="1:15" ht="15.75" thickBot="1">
      <c r="A130" s="1472"/>
      <c r="B130" s="433" t="s">
        <v>1061</v>
      </c>
      <c r="C130" s="17" t="s">
        <v>1173</v>
      </c>
      <c r="D130" s="18"/>
      <c r="E130" s="246"/>
      <c r="I130" s="1474"/>
      <c r="J130" s="1474"/>
      <c r="K130" s="1472"/>
      <c r="L130" s="1475"/>
      <c r="M130" s="1475"/>
      <c r="N130" s="1475"/>
      <c r="O130" s="1475"/>
    </row>
    <row r="131" spans="1:15" ht="15">
      <c r="B131" s="245"/>
      <c r="C131" s="245"/>
      <c r="D131" s="246"/>
      <c r="E131" s="246"/>
      <c r="L131" s="31" t="s">
        <v>62</v>
      </c>
      <c r="M131" s="31">
        <f>O34+O49+O60+O79+O89+O102+O116+O126</f>
        <v>444933.80000000005</v>
      </c>
      <c r="N131" s="31"/>
      <c r="O131" s="31"/>
    </row>
    <row r="132" spans="1:15" ht="15" thickBot="1">
      <c r="H132" s="31"/>
      <c r="L132" s="31"/>
      <c r="M132" s="31"/>
      <c r="N132" s="31"/>
      <c r="O132" s="31"/>
    </row>
    <row r="133" spans="1:15" ht="45.75" customHeight="1">
      <c r="K133" s="1778" t="s">
        <v>59</v>
      </c>
      <c r="L133" s="1777" t="s">
        <v>644</v>
      </c>
      <c r="M133" s="1777"/>
      <c r="N133" s="1777"/>
      <c r="O133" s="1775" t="s">
        <v>60</v>
      </c>
    </row>
    <row r="134" spans="1:15" ht="25.5" customHeight="1" thickBot="1">
      <c r="K134" s="1779"/>
      <c r="L134" s="274" t="s">
        <v>61</v>
      </c>
      <c r="M134" s="274" t="s">
        <v>639</v>
      </c>
      <c r="N134" s="274" t="s">
        <v>640</v>
      </c>
      <c r="O134" s="1776"/>
    </row>
    <row r="135" spans="1:15" ht="25.5" customHeight="1">
      <c r="K135" s="998" t="s">
        <v>716</v>
      </c>
      <c r="L135" s="960">
        <f>O101</f>
        <v>375</v>
      </c>
      <c r="M135" s="1002"/>
      <c r="N135" s="1003"/>
      <c r="O135" s="950">
        <v>1</v>
      </c>
    </row>
    <row r="136" spans="1:15" ht="25.5" customHeight="1">
      <c r="K136" s="999" t="s">
        <v>28</v>
      </c>
      <c r="L136" s="358">
        <f>O32+O33+O99+O114+O125</f>
        <v>71901</v>
      </c>
      <c r="M136" s="172"/>
      <c r="N136" s="1004"/>
      <c r="O136" s="794">
        <v>5</v>
      </c>
    </row>
    <row r="137" spans="1:15" ht="25.5" customHeight="1">
      <c r="K137" s="999" t="s">
        <v>21</v>
      </c>
      <c r="L137" s="358">
        <f>O70+O115</f>
        <v>192507.80000000005</v>
      </c>
      <c r="M137" s="172"/>
      <c r="N137" s="1004"/>
      <c r="O137" s="794">
        <v>2</v>
      </c>
    </row>
    <row r="138" spans="1:15" ht="25.5" customHeight="1">
      <c r="K138" s="1000" t="s">
        <v>65</v>
      </c>
      <c r="L138" s="1005"/>
      <c r="M138" s="203">
        <f>SUM(M20:M31,M44:M48,M59,M71:M76,M88,M77:M78)</f>
        <v>50491</v>
      </c>
      <c r="N138" s="1006">
        <f>SUM(N20:N31,N44:N48,N59,N71:N76,N88,N77:N78)</f>
        <v>124833</v>
      </c>
      <c r="O138" s="1540">
        <v>27</v>
      </c>
    </row>
    <row r="139" spans="1:15" ht="25.5" customHeight="1" thickBot="1">
      <c r="K139" s="1001" t="s">
        <v>442</v>
      </c>
      <c r="L139" s="993"/>
      <c r="M139" s="994">
        <f>M100</f>
        <v>1376</v>
      </c>
      <c r="N139" s="995">
        <f>N100</f>
        <v>3450</v>
      </c>
      <c r="O139" s="1360">
        <v>1</v>
      </c>
    </row>
    <row r="140" spans="1:15" ht="26.25" customHeight="1" thickBot="1">
      <c r="K140" s="341" t="s">
        <v>62</v>
      </c>
      <c r="L140" s="1010">
        <f>SUM(L135:L139)</f>
        <v>264783.80000000005</v>
      </c>
      <c r="M140" s="1011">
        <f>SUM(M135:M139)</f>
        <v>51867</v>
      </c>
      <c r="N140" s="1012">
        <f>SUM(N135:N139)</f>
        <v>128283</v>
      </c>
      <c r="O140" s="667">
        <f>SUM(O135:O139)</f>
        <v>36</v>
      </c>
    </row>
    <row r="141" spans="1:15" ht="18.75" thickBot="1">
      <c r="K141" s="1"/>
      <c r="L141" s="123" t="s">
        <v>63</v>
      </c>
      <c r="M141" s="844">
        <f>SUM(L140:N140)</f>
        <v>444933.80000000005</v>
      </c>
      <c r="N141" s="31"/>
      <c r="O141" s="31"/>
    </row>
    <row r="144" spans="1:15">
      <c r="K144" s="1"/>
    </row>
    <row r="145" spans="11:11">
      <c r="K145" s="1"/>
    </row>
  </sheetData>
  <mergeCells count="118">
    <mergeCell ref="C5:I5"/>
    <mergeCell ref="H6:I6"/>
    <mergeCell ref="H7:I7"/>
    <mergeCell ref="G122:G124"/>
    <mergeCell ref="H122:H124"/>
    <mergeCell ref="I122:I124"/>
    <mergeCell ref="G56:G58"/>
    <mergeCell ref="H56:H58"/>
    <mergeCell ref="E67:E69"/>
    <mergeCell ref="A122:A124"/>
    <mergeCell ref="B122:B124"/>
    <mergeCell ref="C122:C124"/>
    <mergeCell ref="D122:D124"/>
    <mergeCell ref="E122:E124"/>
    <mergeCell ref="F122:F124"/>
    <mergeCell ref="K122:K124"/>
    <mergeCell ref="L122:O122"/>
    <mergeCell ref="L123:L124"/>
    <mergeCell ref="M123:M124"/>
    <mergeCell ref="N123:N124"/>
    <mergeCell ref="O123:O124"/>
    <mergeCell ref="A56:A58"/>
    <mergeCell ref="B56:B58"/>
    <mergeCell ref="L56:O56"/>
    <mergeCell ref="H67:H69"/>
    <mergeCell ref="I67:I69"/>
    <mergeCell ref="A96:A98"/>
    <mergeCell ref="B96:B98"/>
    <mergeCell ref="C96:C98"/>
    <mergeCell ref="D96:D98"/>
    <mergeCell ref="E96:E98"/>
    <mergeCell ref="L67:O67"/>
    <mergeCell ref="L68:O68"/>
    <mergeCell ref="G67:G69"/>
    <mergeCell ref="C56:C58"/>
    <mergeCell ref="D56:D58"/>
    <mergeCell ref="E56:E58"/>
    <mergeCell ref="I56:I58"/>
    <mergeCell ref="J56:J58"/>
    <mergeCell ref="F67:F69"/>
    <mergeCell ref="K56:K58"/>
    <mergeCell ref="J67:J69"/>
    <mergeCell ref="K67:K69"/>
    <mergeCell ref="A67:A69"/>
    <mergeCell ref="B67:B69"/>
    <mergeCell ref="A17:A19"/>
    <mergeCell ref="B17:B19"/>
    <mergeCell ref="C17:C19"/>
    <mergeCell ref="D17:D19"/>
    <mergeCell ref="E17:E19"/>
    <mergeCell ref="F17:F19"/>
    <mergeCell ref="A41:A43"/>
    <mergeCell ref="B41:B43"/>
    <mergeCell ref="C41:C43"/>
    <mergeCell ref="D41:D43"/>
    <mergeCell ref="E41:E43"/>
    <mergeCell ref="F41:F43"/>
    <mergeCell ref="L17:O17"/>
    <mergeCell ref="B85:B87"/>
    <mergeCell ref="C85:C87"/>
    <mergeCell ref="D85:D87"/>
    <mergeCell ref="E85:E87"/>
    <mergeCell ref="O133:O134"/>
    <mergeCell ref="G96:G98"/>
    <mergeCell ref="F96:F98"/>
    <mergeCell ref="L133:N133"/>
    <mergeCell ref="K133:K134"/>
    <mergeCell ref="J122:J124"/>
    <mergeCell ref="L57:O57"/>
    <mergeCell ref="L18:O18"/>
    <mergeCell ref="G41:G43"/>
    <mergeCell ref="I17:I19"/>
    <mergeCell ref="J17:J19"/>
    <mergeCell ref="G17:G19"/>
    <mergeCell ref="L42:O42"/>
    <mergeCell ref="H17:H19"/>
    <mergeCell ref="J41:J43"/>
    <mergeCell ref="I41:I43"/>
    <mergeCell ref="H41:H43"/>
    <mergeCell ref="C67:C69"/>
    <mergeCell ref="D67:D69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A85:A87"/>
    <mergeCell ref="F85:F87"/>
    <mergeCell ref="G85:G87"/>
    <mergeCell ref="H85:H87"/>
    <mergeCell ref="H96:H98"/>
    <mergeCell ref="O112:O113"/>
    <mergeCell ref="I111:I113"/>
    <mergeCell ref="J111:J113"/>
    <mergeCell ref="K111:K113"/>
    <mergeCell ref="L111:O111"/>
    <mergeCell ref="L112:L113"/>
    <mergeCell ref="M112:M113"/>
    <mergeCell ref="N112:N113"/>
    <mergeCell ref="B1:I1"/>
    <mergeCell ref="J96:J98"/>
    <mergeCell ref="K96:K98"/>
    <mergeCell ref="F56:F58"/>
    <mergeCell ref="L86:O86"/>
    <mergeCell ref="L97:O97"/>
    <mergeCell ref="L96:O96"/>
    <mergeCell ref="I85:I87"/>
    <mergeCell ref="J85:J87"/>
    <mergeCell ref="B3:I3"/>
    <mergeCell ref="K85:K87"/>
    <mergeCell ref="L85:O85"/>
    <mergeCell ref="I96:I98"/>
    <mergeCell ref="K41:K43"/>
    <mergeCell ref="L41:O41"/>
    <mergeCell ref="K17:K19"/>
  </mergeCells>
  <pageMargins left="0.7" right="0.7" top="0.75" bottom="0.75" header="0.3" footer="0.3"/>
  <pageSetup paperSize="9" orientation="portrait" r:id="rId1"/>
  <ignoredErrors>
    <ignoredError sqref="O10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topLeftCell="C220" zoomScale="80" zoomScaleNormal="80" workbookViewId="0">
      <selection activeCell="G14" sqref="G14"/>
    </sheetView>
  </sheetViews>
  <sheetFormatPr defaultRowHeight="14.25"/>
  <cols>
    <col min="1" max="1" width="11.875" style="5" customWidth="1"/>
    <col min="2" max="2" width="18" style="2" customWidth="1"/>
    <col min="3" max="3" width="13.75" style="1" customWidth="1"/>
    <col min="4" max="4" width="19.875" style="1" customWidth="1"/>
    <col min="5" max="5" width="10.375" style="1" customWidth="1"/>
    <col min="6" max="6" width="9" style="1"/>
    <col min="7" max="7" width="16.5" style="1" customWidth="1"/>
    <col min="8" max="8" width="27.625" style="1" customWidth="1"/>
    <col min="9" max="9" width="17.75" style="5" customWidth="1"/>
    <col min="10" max="10" width="13.375" style="7" customWidth="1"/>
    <col min="11" max="11" width="13.75" style="31" customWidth="1"/>
    <col min="12" max="12" width="14.625" style="31" customWidth="1"/>
    <col min="13" max="13" width="16.125" style="31" customWidth="1"/>
    <col min="14" max="14" width="14.25" style="31" customWidth="1"/>
    <col min="15" max="15" width="15.375" style="1" customWidth="1"/>
    <col min="16" max="16" width="12.625" style="1" customWidth="1"/>
    <col min="17" max="17" width="12.5" style="1" customWidth="1"/>
    <col min="18" max="18" width="14.75" style="1" customWidth="1"/>
    <col min="19" max="19" width="15.375" style="1" customWidth="1"/>
    <col min="20" max="20" width="21.375" style="1" customWidth="1"/>
    <col min="21" max="16384" width="9" style="1"/>
  </cols>
  <sheetData>
    <row r="1" spans="1:15" ht="18">
      <c r="A1" s="287"/>
      <c r="B1" s="1691" t="s">
        <v>1174</v>
      </c>
      <c r="C1" s="1691"/>
      <c r="D1" s="1691"/>
      <c r="E1" s="1691"/>
      <c r="F1" s="1691"/>
      <c r="G1" s="1691"/>
      <c r="H1" s="1691"/>
      <c r="I1" s="1691"/>
    </row>
    <row r="2" spans="1:15" ht="15">
      <c r="A2" s="287"/>
      <c r="B2" s="545"/>
      <c r="C2" s="471"/>
      <c r="D2" s="471"/>
      <c r="E2" s="471"/>
      <c r="F2" s="471"/>
      <c r="G2" s="471"/>
      <c r="H2" s="471"/>
      <c r="I2" s="472"/>
      <c r="J2" s="546"/>
    </row>
    <row r="3" spans="1:15" ht="22.5" customHeight="1">
      <c r="A3" s="287"/>
      <c r="B3" s="1684" t="s">
        <v>701</v>
      </c>
      <c r="C3" s="1685"/>
      <c r="D3" s="1685"/>
      <c r="E3" s="1685"/>
      <c r="F3" s="1685"/>
      <c r="G3" s="1685"/>
      <c r="H3" s="1685"/>
      <c r="I3" s="1685"/>
      <c r="J3" s="1686"/>
    </row>
    <row r="4" spans="1:15" ht="15">
      <c r="A4" s="1"/>
      <c r="B4" s="469"/>
      <c r="C4" s="469"/>
      <c r="D4" s="469"/>
      <c r="E4" s="469"/>
      <c r="F4" s="469"/>
      <c r="G4" s="469"/>
      <c r="H4" s="469"/>
      <c r="I4" s="469"/>
      <c r="J4" s="469"/>
    </row>
    <row r="5" spans="1:15" ht="21" customHeight="1">
      <c r="A5" s="1"/>
      <c r="B5" s="1756" t="s">
        <v>1052</v>
      </c>
      <c r="C5" s="1757"/>
      <c r="D5" s="1757"/>
      <c r="E5" s="1757"/>
      <c r="F5" s="1757"/>
      <c r="G5" s="1757"/>
      <c r="H5" s="1757"/>
      <c r="I5" s="1757"/>
      <c r="J5" s="1758"/>
    </row>
    <row r="6" spans="1:15" ht="15">
      <c r="A6" s="1"/>
      <c r="B6" s="469"/>
      <c r="C6" s="469"/>
      <c r="D6" s="469"/>
      <c r="E6" s="469"/>
      <c r="F6" s="469"/>
      <c r="G6" s="469"/>
      <c r="H6" s="469"/>
      <c r="I6" s="472"/>
      <c r="J6" s="471"/>
    </row>
    <row r="7" spans="1:15" ht="15.75">
      <c r="A7" s="1"/>
      <c r="B7" s="470" t="s">
        <v>1</v>
      </c>
      <c r="C7" s="471"/>
      <c r="D7" s="469"/>
      <c r="E7" s="469"/>
      <c r="F7" s="469"/>
      <c r="G7" s="471"/>
      <c r="H7" s="469"/>
      <c r="I7" s="472"/>
      <c r="J7" s="471"/>
    </row>
    <row r="8" spans="1:15" ht="15.75">
      <c r="A8" s="1"/>
      <c r="B8" s="1307" t="s">
        <v>1921</v>
      </c>
      <c r="C8" s="471"/>
      <c r="D8" s="469"/>
      <c r="E8" s="469"/>
      <c r="F8" s="469"/>
      <c r="G8" s="471"/>
      <c r="H8" s="469"/>
      <c r="I8" s="472"/>
      <c r="J8" s="471"/>
    </row>
    <row r="9" spans="1:15" ht="15.75">
      <c r="A9" s="1"/>
      <c r="B9" s="473" t="s">
        <v>1872</v>
      </c>
      <c r="C9" s="471"/>
      <c r="D9" s="474"/>
      <c r="E9" s="469"/>
      <c r="F9" s="469"/>
      <c r="G9" s="471"/>
      <c r="H9" s="469"/>
      <c r="I9" s="472"/>
      <c r="J9" s="471"/>
    </row>
    <row r="10" spans="1:15" ht="15.75">
      <c r="A10" s="1"/>
      <c r="B10" s="473" t="s">
        <v>1045</v>
      </c>
      <c r="C10" s="471"/>
      <c r="D10" s="474"/>
      <c r="E10" s="469"/>
      <c r="F10" s="469"/>
      <c r="G10" s="471"/>
      <c r="H10" s="469"/>
      <c r="I10" s="472"/>
      <c r="J10" s="471"/>
    </row>
    <row r="11" spans="1:15" ht="15">
      <c r="A11" s="1"/>
      <c r="B11" s="471" t="s">
        <v>1044</v>
      </c>
      <c r="C11" s="471"/>
      <c r="D11" s="471"/>
      <c r="E11" s="471"/>
      <c r="F11" s="471"/>
      <c r="G11" s="471"/>
      <c r="H11" s="469"/>
      <c r="I11" s="472"/>
      <c r="J11" s="471"/>
    </row>
    <row r="12" spans="1:15" ht="15.75">
      <c r="A12" s="1"/>
      <c r="B12" s="475" t="s">
        <v>2</v>
      </c>
      <c r="C12" s="470" t="s">
        <v>3</v>
      </c>
      <c r="D12" s="474"/>
      <c r="E12" s="474"/>
      <c r="F12" s="474"/>
      <c r="G12" s="474"/>
      <c r="H12" s="477"/>
      <c r="I12" s="471"/>
      <c r="J12" s="471"/>
    </row>
    <row r="13" spans="1:15" ht="15.75">
      <c r="A13" s="1"/>
      <c r="B13" s="475" t="s">
        <v>4</v>
      </c>
      <c r="C13" s="470" t="s">
        <v>5</v>
      </c>
      <c r="D13" s="474"/>
      <c r="E13" s="474"/>
      <c r="F13" s="474"/>
      <c r="G13" s="474"/>
      <c r="H13" s="474"/>
      <c r="I13" s="471"/>
      <c r="J13" s="471"/>
    </row>
    <row r="14" spans="1:15" ht="16.5" thickBot="1">
      <c r="A14" s="1"/>
      <c r="B14" s="475"/>
      <c r="C14" s="476"/>
      <c r="D14" s="474"/>
      <c r="E14" s="474"/>
      <c r="F14" s="474"/>
      <c r="G14" s="474"/>
      <c r="H14" s="477"/>
      <c r="I14" s="471"/>
      <c r="J14" s="31"/>
    </row>
    <row r="15" spans="1:15" ht="51.75" customHeight="1">
      <c r="A15" s="1657" t="s">
        <v>6</v>
      </c>
      <c r="B15" s="1657" t="s">
        <v>7</v>
      </c>
      <c r="C15" s="1657" t="s">
        <v>8</v>
      </c>
      <c r="D15" s="1657" t="s">
        <v>9</v>
      </c>
      <c r="E15" s="1657" t="s">
        <v>10</v>
      </c>
      <c r="F15" s="1657" t="s">
        <v>11</v>
      </c>
      <c r="G15" s="1657" t="s">
        <v>12</v>
      </c>
      <c r="H15" s="1657" t="s">
        <v>13</v>
      </c>
      <c r="I15" s="1677" t="s">
        <v>269</v>
      </c>
      <c r="J15" s="1657" t="s">
        <v>59</v>
      </c>
      <c r="K15" s="1720" t="s">
        <v>15</v>
      </c>
      <c r="L15" s="1744" t="s">
        <v>1879</v>
      </c>
      <c r="M15" s="1745"/>
      <c r="N15" s="1745"/>
      <c r="O15" s="1746"/>
    </row>
    <row r="16" spans="1:15" ht="45" customHeight="1">
      <c r="A16" s="1657"/>
      <c r="B16" s="1657"/>
      <c r="C16" s="1657"/>
      <c r="D16" s="1657"/>
      <c r="E16" s="1657"/>
      <c r="F16" s="1657"/>
      <c r="G16" s="1657"/>
      <c r="H16" s="1657"/>
      <c r="I16" s="1677"/>
      <c r="J16" s="1657"/>
      <c r="K16" s="1720"/>
      <c r="L16" s="1679" t="s">
        <v>637</v>
      </c>
      <c r="M16" s="1654"/>
      <c r="N16" s="1654"/>
      <c r="O16" s="1680"/>
    </row>
    <row r="17" spans="1:15" ht="32.25" customHeight="1" thickBot="1">
      <c r="A17" s="1657"/>
      <c r="B17" s="1657"/>
      <c r="C17" s="1657"/>
      <c r="D17" s="1657"/>
      <c r="E17" s="1657"/>
      <c r="F17" s="1657"/>
      <c r="G17" s="1657"/>
      <c r="H17" s="1657"/>
      <c r="I17" s="1677"/>
      <c r="J17" s="1657"/>
      <c r="K17" s="1720"/>
      <c r="L17" s="263" t="s">
        <v>638</v>
      </c>
      <c r="M17" s="270" t="s">
        <v>639</v>
      </c>
      <c r="N17" s="270" t="s">
        <v>640</v>
      </c>
      <c r="O17" s="265" t="s">
        <v>16</v>
      </c>
    </row>
    <row r="18" spans="1:15" ht="44.25" thickBot="1">
      <c r="A18" s="579" t="s">
        <v>26</v>
      </c>
      <c r="B18" s="9" t="s">
        <v>524</v>
      </c>
      <c r="C18" s="6" t="s">
        <v>525</v>
      </c>
      <c r="D18" s="9" t="s">
        <v>526</v>
      </c>
      <c r="E18" s="6">
        <v>29</v>
      </c>
      <c r="F18" s="4" t="s">
        <v>527</v>
      </c>
      <c r="G18" s="6" t="s">
        <v>525</v>
      </c>
      <c r="H18" s="771" t="s">
        <v>938</v>
      </c>
      <c r="I18" s="20">
        <v>70936511</v>
      </c>
      <c r="J18" s="1023" t="s">
        <v>65</v>
      </c>
      <c r="K18" s="8">
        <v>39</v>
      </c>
      <c r="L18" s="33"/>
      <c r="M18" s="32">
        <f>((108088-90081)/12)*6</f>
        <v>9003.5</v>
      </c>
      <c r="N18" s="114">
        <f>((259546-216078)/12)*6</f>
        <v>21734</v>
      </c>
      <c r="O18" s="32">
        <f>SUM(M18:N18)</f>
        <v>30737.5</v>
      </c>
    </row>
    <row r="19" spans="1:15" ht="45">
      <c r="B19" s="1180" t="s">
        <v>22</v>
      </c>
      <c r="C19" s="1171" t="s">
        <v>586</v>
      </c>
      <c r="D19" s="1172"/>
      <c r="E19" s="1181"/>
      <c r="G19" s="1622" t="s">
        <v>1920</v>
      </c>
      <c r="H19" s="1171" t="s">
        <v>528</v>
      </c>
      <c r="I19" s="1172"/>
      <c r="J19" s="1173"/>
      <c r="K19" s="7"/>
      <c r="N19" s="32" t="s">
        <v>23</v>
      </c>
      <c r="O19" s="580">
        <f>SUM(O18)</f>
        <v>30737.5</v>
      </c>
    </row>
    <row r="20" spans="1:15" ht="15">
      <c r="B20" s="1182"/>
      <c r="C20" s="1175" t="s">
        <v>1662</v>
      </c>
      <c r="D20" s="1176"/>
      <c r="E20" s="1183"/>
      <c r="G20" s="1174"/>
      <c r="H20" s="1175" t="s">
        <v>529</v>
      </c>
      <c r="I20" s="1176"/>
      <c r="J20" s="1177"/>
      <c r="K20" s="7"/>
      <c r="O20" s="31"/>
    </row>
    <row r="21" spans="1:15" ht="15">
      <c r="B21" s="1182"/>
      <c r="C21" s="1175" t="s">
        <v>530</v>
      </c>
      <c r="D21" s="1176"/>
      <c r="E21" s="1183"/>
      <c r="G21" s="1174"/>
      <c r="H21" s="1175" t="s">
        <v>1661</v>
      </c>
      <c r="I21" s="1176"/>
      <c r="J21" s="1177"/>
      <c r="K21" s="7"/>
      <c r="O21" s="31"/>
    </row>
    <row r="22" spans="1:15" ht="15.75" thickBot="1">
      <c r="B22" s="1215" t="s">
        <v>160</v>
      </c>
      <c r="C22" s="1175" t="s">
        <v>1664</v>
      </c>
      <c r="D22" s="1176"/>
      <c r="E22" s="1183"/>
      <c r="G22" s="188"/>
      <c r="H22" s="1178" t="s">
        <v>530</v>
      </c>
      <c r="I22" s="226"/>
      <c r="J22" s="649"/>
      <c r="K22" s="7"/>
      <c r="O22" s="31"/>
    </row>
    <row r="23" spans="1:15" ht="15.75" thickBot="1">
      <c r="B23" s="1184" t="s">
        <v>1061</v>
      </c>
      <c r="C23" s="1178" t="s">
        <v>1076</v>
      </c>
      <c r="D23" s="1179"/>
      <c r="E23" s="1185"/>
      <c r="I23" s="1"/>
      <c r="J23" s="287"/>
      <c r="K23" s="7"/>
      <c r="O23" s="31"/>
    </row>
    <row r="24" spans="1:15" ht="15">
      <c r="A24" s="287"/>
      <c r="B24" s="1176"/>
      <c r="C24" s="1175"/>
      <c r="D24" s="1176"/>
      <c r="E24" s="1186"/>
      <c r="I24" s="1"/>
      <c r="J24" s="287"/>
      <c r="K24" s="7"/>
      <c r="O24" s="31"/>
    </row>
    <row r="25" spans="1:15" ht="18">
      <c r="A25" s="287"/>
      <c r="B25" s="1187"/>
      <c r="C25" s="25"/>
      <c r="D25" s="1188"/>
      <c r="E25" s="1188"/>
      <c r="I25" s="1"/>
      <c r="J25" s="287"/>
      <c r="K25" s="7"/>
      <c r="O25" s="31"/>
    </row>
    <row r="26" spans="1:15" ht="14.25" customHeight="1" thickBot="1">
      <c r="D26" s="325"/>
      <c r="E26" s="325"/>
      <c r="F26" s="325"/>
      <c r="G26" s="325"/>
      <c r="I26" s="1"/>
      <c r="J26" s="287"/>
      <c r="K26" s="7"/>
      <c r="O26" s="31"/>
    </row>
    <row r="27" spans="1:15" ht="43.5" customHeight="1">
      <c r="A27" s="1657" t="s">
        <v>6</v>
      </c>
      <c r="B27" s="1657" t="s">
        <v>7</v>
      </c>
      <c r="C27" s="1657" t="s">
        <v>8</v>
      </c>
      <c r="D27" s="1657" t="s">
        <v>9</v>
      </c>
      <c r="E27" s="1657" t="s">
        <v>10</v>
      </c>
      <c r="F27" s="1657" t="s">
        <v>11</v>
      </c>
      <c r="G27" s="1657" t="s">
        <v>12</v>
      </c>
      <c r="H27" s="1657" t="s">
        <v>13</v>
      </c>
      <c r="I27" s="1677" t="s">
        <v>269</v>
      </c>
      <c r="J27" s="1657" t="s">
        <v>59</v>
      </c>
      <c r="K27" s="1720" t="s">
        <v>15</v>
      </c>
      <c r="L27" s="1668" t="s">
        <v>636</v>
      </c>
      <c r="M27" s="1650"/>
      <c r="N27" s="1650"/>
      <c r="O27" s="1669"/>
    </row>
    <row r="28" spans="1:15" ht="38.25" customHeight="1">
      <c r="A28" s="1657"/>
      <c r="B28" s="1657"/>
      <c r="C28" s="1657"/>
      <c r="D28" s="1657"/>
      <c r="E28" s="1657"/>
      <c r="F28" s="1657"/>
      <c r="G28" s="1657"/>
      <c r="H28" s="1657"/>
      <c r="I28" s="1677"/>
      <c r="J28" s="1657"/>
      <c r="K28" s="1720"/>
      <c r="L28" s="1679" t="s">
        <v>637</v>
      </c>
      <c r="M28" s="1654"/>
      <c r="N28" s="1654"/>
      <c r="O28" s="1680"/>
    </row>
    <row r="29" spans="1:15" ht="29.25" customHeight="1" thickBot="1">
      <c r="A29" s="1657"/>
      <c r="B29" s="1657"/>
      <c r="C29" s="1657"/>
      <c r="D29" s="1657"/>
      <c r="E29" s="1657"/>
      <c r="F29" s="1657"/>
      <c r="G29" s="1657"/>
      <c r="H29" s="1657"/>
      <c r="I29" s="1677"/>
      <c r="J29" s="1657"/>
      <c r="K29" s="1720"/>
      <c r="L29" s="263" t="s">
        <v>638</v>
      </c>
      <c r="M29" s="270" t="s">
        <v>639</v>
      </c>
      <c r="N29" s="270" t="s">
        <v>640</v>
      </c>
      <c r="O29" s="265" t="s">
        <v>16</v>
      </c>
    </row>
    <row r="30" spans="1:15" ht="43.5">
      <c r="A30" s="579" t="s">
        <v>26</v>
      </c>
      <c r="B30" s="3" t="s">
        <v>531</v>
      </c>
      <c r="C30" s="4" t="s">
        <v>525</v>
      </c>
      <c r="D30" s="3" t="s">
        <v>532</v>
      </c>
      <c r="E30" s="4"/>
      <c r="F30" s="4" t="s">
        <v>527</v>
      </c>
      <c r="G30" s="4" t="s">
        <v>525</v>
      </c>
      <c r="H30" s="695" t="s">
        <v>906</v>
      </c>
      <c r="I30" s="22">
        <v>782480</v>
      </c>
      <c r="J30" s="377" t="s">
        <v>21</v>
      </c>
      <c r="K30" s="8">
        <v>300</v>
      </c>
      <c r="L30" s="32">
        <f>(109880.64-99204.85)*100</f>
        <v>1067578.9999999993</v>
      </c>
      <c r="M30" s="33"/>
      <c r="N30" s="33"/>
      <c r="O30" s="32">
        <f>L30</f>
        <v>1067578.9999999993</v>
      </c>
    </row>
    <row r="31" spans="1:15" ht="43.5">
      <c r="A31" s="579" t="s">
        <v>26</v>
      </c>
      <c r="B31" s="3" t="s">
        <v>533</v>
      </c>
      <c r="C31" s="4" t="s">
        <v>525</v>
      </c>
      <c r="D31" s="3" t="s">
        <v>534</v>
      </c>
      <c r="E31" s="4">
        <v>10</v>
      </c>
      <c r="F31" s="4" t="s">
        <v>527</v>
      </c>
      <c r="G31" s="4" t="s">
        <v>525</v>
      </c>
      <c r="H31" s="695" t="s">
        <v>907</v>
      </c>
      <c r="I31" s="22">
        <v>871461</v>
      </c>
      <c r="J31" s="377" t="s">
        <v>21</v>
      </c>
      <c r="K31" s="8">
        <v>70</v>
      </c>
      <c r="L31" s="32">
        <f>(77809.38-67739.74)*30</f>
        <v>302089.19999999995</v>
      </c>
      <c r="M31" s="33"/>
      <c r="N31" s="33"/>
      <c r="O31" s="32">
        <f>L31</f>
        <v>302089.19999999995</v>
      </c>
    </row>
    <row r="32" spans="1:15" ht="43.5">
      <c r="A32" s="579" t="s">
        <v>26</v>
      </c>
      <c r="B32" s="3" t="s">
        <v>535</v>
      </c>
      <c r="C32" s="4" t="s">
        <v>525</v>
      </c>
      <c r="D32" s="3" t="s">
        <v>536</v>
      </c>
      <c r="E32" s="4"/>
      <c r="F32" s="4" t="s">
        <v>527</v>
      </c>
      <c r="G32" s="4" t="s">
        <v>525</v>
      </c>
      <c r="H32" s="695" t="s">
        <v>908</v>
      </c>
      <c r="I32" s="22">
        <v>70881796</v>
      </c>
      <c r="J32" s="386" t="s">
        <v>28</v>
      </c>
      <c r="K32" s="8">
        <v>5</v>
      </c>
      <c r="L32" s="32">
        <f>39223-30460</f>
        <v>8763</v>
      </c>
      <c r="M32" s="33"/>
      <c r="N32" s="33"/>
      <c r="O32" s="32">
        <f>L32</f>
        <v>8763</v>
      </c>
    </row>
    <row r="33" spans="1:15" ht="57.75">
      <c r="A33" s="579" t="s">
        <v>26</v>
      </c>
      <c r="B33" s="3" t="s">
        <v>537</v>
      </c>
      <c r="C33" s="4" t="s">
        <v>525</v>
      </c>
      <c r="D33" s="3" t="s">
        <v>538</v>
      </c>
      <c r="E33" s="4">
        <v>15</v>
      </c>
      <c r="F33" s="4" t="s">
        <v>527</v>
      </c>
      <c r="G33" s="4" t="s">
        <v>525</v>
      </c>
      <c r="H33" s="695" t="s">
        <v>909</v>
      </c>
      <c r="I33" s="22">
        <v>90122166</v>
      </c>
      <c r="J33" s="386" t="s">
        <v>28</v>
      </c>
      <c r="K33" s="8">
        <v>16</v>
      </c>
      <c r="L33" s="32">
        <f>12120-6811</f>
        <v>5309</v>
      </c>
      <c r="M33" s="33"/>
      <c r="N33" s="33"/>
      <c r="O33" s="32">
        <f>L33</f>
        <v>5309</v>
      </c>
    </row>
    <row r="34" spans="1:15" ht="57.75">
      <c r="A34" s="579" t="s">
        <v>26</v>
      </c>
      <c r="B34" s="3" t="s">
        <v>539</v>
      </c>
      <c r="C34" s="4" t="s">
        <v>525</v>
      </c>
      <c r="D34" s="3" t="s">
        <v>540</v>
      </c>
      <c r="E34" s="4" t="s">
        <v>541</v>
      </c>
      <c r="F34" s="4" t="s">
        <v>527</v>
      </c>
      <c r="G34" s="4" t="s">
        <v>525</v>
      </c>
      <c r="H34" s="695" t="s">
        <v>910</v>
      </c>
      <c r="I34" s="22">
        <v>8353083</v>
      </c>
      <c r="J34" s="386" t="s">
        <v>28</v>
      </c>
      <c r="K34" s="8">
        <v>7</v>
      </c>
      <c r="L34" s="32">
        <f>8136-6903</f>
        <v>1233</v>
      </c>
      <c r="M34" s="33"/>
      <c r="N34" s="33"/>
      <c r="O34" s="32">
        <f t="shared" ref="O34:O46" si="0">L34</f>
        <v>1233</v>
      </c>
    </row>
    <row r="35" spans="1:15" ht="57.75">
      <c r="A35" s="579" t="s">
        <v>26</v>
      </c>
      <c r="B35" s="3" t="s">
        <v>539</v>
      </c>
      <c r="C35" s="4" t="s">
        <v>525</v>
      </c>
      <c r="D35" s="3" t="s">
        <v>540</v>
      </c>
      <c r="E35" s="4" t="s">
        <v>542</v>
      </c>
      <c r="F35" s="4" t="s">
        <v>527</v>
      </c>
      <c r="G35" s="4" t="s">
        <v>525</v>
      </c>
      <c r="H35" s="695" t="s">
        <v>911</v>
      </c>
      <c r="I35" s="22">
        <v>9576810</v>
      </c>
      <c r="J35" s="386" t="s">
        <v>28</v>
      </c>
      <c r="K35" s="8">
        <v>7</v>
      </c>
      <c r="L35" s="32">
        <f>9261-8372</f>
        <v>889</v>
      </c>
      <c r="M35" s="33"/>
      <c r="N35" s="33"/>
      <c r="O35" s="32">
        <f t="shared" si="0"/>
        <v>889</v>
      </c>
    </row>
    <row r="36" spans="1:15" ht="43.5">
      <c r="A36" s="579" t="s">
        <v>26</v>
      </c>
      <c r="B36" s="3" t="s">
        <v>543</v>
      </c>
      <c r="C36" s="4" t="s">
        <v>525</v>
      </c>
      <c r="D36" s="3" t="s">
        <v>544</v>
      </c>
      <c r="E36" s="4"/>
      <c r="F36" s="4" t="s">
        <v>527</v>
      </c>
      <c r="G36" s="4" t="s">
        <v>525</v>
      </c>
      <c r="H36" s="695" t="s">
        <v>912</v>
      </c>
      <c r="I36" s="22">
        <v>12789650</v>
      </c>
      <c r="J36" s="386" t="s">
        <v>28</v>
      </c>
      <c r="K36" s="8">
        <v>17</v>
      </c>
      <c r="L36" s="32">
        <f>186858-171352</f>
        <v>15506</v>
      </c>
      <c r="M36" s="33"/>
      <c r="N36" s="33"/>
      <c r="O36" s="32">
        <f t="shared" si="0"/>
        <v>15506</v>
      </c>
    </row>
    <row r="37" spans="1:15" ht="43.5">
      <c r="A37" s="579" t="s">
        <v>26</v>
      </c>
      <c r="B37" s="3" t="s">
        <v>543</v>
      </c>
      <c r="C37" s="4" t="s">
        <v>525</v>
      </c>
      <c r="D37" s="3" t="s">
        <v>545</v>
      </c>
      <c r="E37" s="4"/>
      <c r="F37" s="4" t="s">
        <v>527</v>
      </c>
      <c r="G37" s="4" t="s">
        <v>525</v>
      </c>
      <c r="H37" s="695" t="s">
        <v>913</v>
      </c>
      <c r="I37" s="22">
        <v>9324449</v>
      </c>
      <c r="J37" s="386" t="s">
        <v>28</v>
      </c>
      <c r="K37" s="8">
        <v>40</v>
      </c>
      <c r="L37" s="32">
        <f>22734-20210</f>
        <v>2524</v>
      </c>
      <c r="M37" s="33"/>
      <c r="N37" s="33"/>
      <c r="O37" s="32">
        <f t="shared" si="0"/>
        <v>2524</v>
      </c>
    </row>
    <row r="38" spans="1:15" ht="43.5">
      <c r="A38" s="579" t="s">
        <v>26</v>
      </c>
      <c r="B38" s="3" t="s">
        <v>543</v>
      </c>
      <c r="C38" s="4" t="s">
        <v>525</v>
      </c>
      <c r="D38" s="3" t="s">
        <v>546</v>
      </c>
      <c r="E38" s="4">
        <v>4</v>
      </c>
      <c r="F38" s="4" t="s">
        <v>527</v>
      </c>
      <c r="G38" s="4" t="s">
        <v>525</v>
      </c>
      <c r="H38" s="695" t="s">
        <v>914</v>
      </c>
      <c r="I38" s="22">
        <v>70520611</v>
      </c>
      <c r="J38" s="386" t="s">
        <v>28</v>
      </c>
      <c r="K38" s="8">
        <v>7.5</v>
      </c>
      <c r="L38" s="32">
        <f>72899-60262</f>
        <v>12637</v>
      </c>
      <c r="M38" s="33"/>
      <c r="N38" s="33"/>
      <c r="O38" s="32">
        <f t="shared" si="0"/>
        <v>12637</v>
      </c>
    </row>
    <row r="39" spans="1:15" ht="43.5">
      <c r="A39" s="579" t="s">
        <v>26</v>
      </c>
      <c r="B39" s="3" t="s">
        <v>543</v>
      </c>
      <c r="C39" s="4" t="s">
        <v>525</v>
      </c>
      <c r="D39" s="3" t="s">
        <v>547</v>
      </c>
      <c r="E39" s="4"/>
      <c r="F39" s="4" t="s">
        <v>527</v>
      </c>
      <c r="G39" s="4" t="s">
        <v>525</v>
      </c>
      <c r="H39" s="695" t="s">
        <v>1077</v>
      </c>
      <c r="I39" s="22">
        <v>70977525</v>
      </c>
      <c r="J39" s="386" t="s">
        <v>28</v>
      </c>
      <c r="K39" s="8">
        <v>3</v>
      </c>
      <c r="L39" s="32">
        <f>11947-10515</f>
        <v>1432</v>
      </c>
      <c r="M39" s="33"/>
      <c r="N39" s="33"/>
      <c r="O39" s="32">
        <f t="shared" si="0"/>
        <v>1432</v>
      </c>
    </row>
    <row r="40" spans="1:15" ht="43.5">
      <c r="A40" s="579" t="s">
        <v>26</v>
      </c>
      <c r="B40" s="3" t="s">
        <v>543</v>
      </c>
      <c r="C40" s="4" t="s">
        <v>525</v>
      </c>
      <c r="D40" s="3" t="s">
        <v>526</v>
      </c>
      <c r="E40" s="4"/>
      <c r="F40" s="4" t="s">
        <v>527</v>
      </c>
      <c r="G40" s="4" t="s">
        <v>525</v>
      </c>
      <c r="H40" s="695" t="s">
        <v>915</v>
      </c>
      <c r="I40" s="22">
        <v>74792</v>
      </c>
      <c r="J40" s="386" t="s">
        <v>28</v>
      </c>
      <c r="K40" s="8">
        <v>2</v>
      </c>
      <c r="L40" s="32">
        <f>4977-4321</f>
        <v>656</v>
      </c>
      <c r="M40" s="33"/>
      <c r="N40" s="33"/>
      <c r="O40" s="32">
        <f t="shared" si="0"/>
        <v>656</v>
      </c>
    </row>
    <row r="41" spans="1:15" ht="43.5">
      <c r="A41" s="579" t="s">
        <v>26</v>
      </c>
      <c r="B41" s="3" t="s">
        <v>543</v>
      </c>
      <c r="C41" s="4" t="s">
        <v>525</v>
      </c>
      <c r="D41" s="3" t="s">
        <v>548</v>
      </c>
      <c r="E41" s="4"/>
      <c r="F41" s="4" t="s">
        <v>527</v>
      </c>
      <c r="G41" s="4" t="s">
        <v>525</v>
      </c>
      <c r="H41" s="695" t="s">
        <v>916</v>
      </c>
      <c r="I41" s="22">
        <v>70542455</v>
      </c>
      <c r="J41" s="386" t="s">
        <v>28</v>
      </c>
      <c r="K41" s="8">
        <v>5</v>
      </c>
      <c r="L41" s="32">
        <f>25131-19970</f>
        <v>5161</v>
      </c>
      <c r="M41" s="33"/>
      <c r="N41" s="33"/>
      <c r="O41" s="32">
        <f t="shared" si="0"/>
        <v>5161</v>
      </c>
    </row>
    <row r="42" spans="1:15" ht="43.5">
      <c r="A42" s="579" t="s">
        <v>26</v>
      </c>
      <c r="B42" s="3" t="s">
        <v>535</v>
      </c>
      <c r="C42" s="4" t="s">
        <v>525</v>
      </c>
      <c r="D42" s="3" t="s">
        <v>549</v>
      </c>
      <c r="E42" s="4"/>
      <c r="F42" s="4" t="s">
        <v>527</v>
      </c>
      <c r="G42" s="4" t="s">
        <v>525</v>
      </c>
      <c r="H42" s="695" t="s">
        <v>917</v>
      </c>
      <c r="I42" s="22">
        <v>9151209</v>
      </c>
      <c r="J42" s="386" t="s">
        <v>28</v>
      </c>
      <c r="K42" s="8">
        <v>15</v>
      </c>
      <c r="L42" s="32">
        <f>19472-16431</f>
        <v>3041</v>
      </c>
      <c r="M42" s="33"/>
      <c r="N42" s="33"/>
      <c r="O42" s="32">
        <f t="shared" si="0"/>
        <v>3041</v>
      </c>
    </row>
    <row r="43" spans="1:15" ht="57.75">
      <c r="A43" s="579" t="s">
        <v>26</v>
      </c>
      <c r="B43" s="3" t="s">
        <v>537</v>
      </c>
      <c r="C43" s="4" t="s">
        <v>525</v>
      </c>
      <c r="D43" s="3" t="s">
        <v>550</v>
      </c>
      <c r="E43" s="4"/>
      <c r="F43" s="4" t="s">
        <v>527</v>
      </c>
      <c r="G43" s="4" t="s">
        <v>525</v>
      </c>
      <c r="H43" s="695" t="s">
        <v>918</v>
      </c>
      <c r="I43" s="22">
        <v>356125</v>
      </c>
      <c r="J43" s="386" t="s">
        <v>28</v>
      </c>
      <c r="K43" s="8">
        <v>9.5</v>
      </c>
      <c r="L43" s="32">
        <f>17723-14387</f>
        <v>3336</v>
      </c>
      <c r="M43" s="33"/>
      <c r="N43" s="33"/>
      <c r="O43" s="32">
        <f t="shared" si="0"/>
        <v>3336</v>
      </c>
    </row>
    <row r="44" spans="1:15" ht="43.5">
      <c r="A44" s="579" t="s">
        <v>26</v>
      </c>
      <c r="B44" s="3" t="s">
        <v>543</v>
      </c>
      <c r="C44" s="4" t="s">
        <v>525</v>
      </c>
      <c r="D44" s="3" t="s">
        <v>551</v>
      </c>
      <c r="E44" s="4"/>
      <c r="F44" s="4" t="s">
        <v>527</v>
      </c>
      <c r="G44" s="4" t="s">
        <v>525</v>
      </c>
      <c r="H44" s="695" t="s">
        <v>1078</v>
      </c>
      <c r="I44" s="22">
        <v>10217855</v>
      </c>
      <c r="J44" s="386" t="s">
        <v>28</v>
      </c>
      <c r="K44" s="8">
        <v>15</v>
      </c>
      <c r="L44" s="32">
        <f>145347-113577</f>
        <v>31770</v>
      </c>
      <c r="M44" s="33"/>
      <c r="N44" s="33"/>
      <c r="O44" s="32">
        <f t="shared" si="0"/>
        <v>31770</v>
      </c>
    </row>
    <row r="45" spans="1:15" ht="43.5">
      <c r="A45" s="579" t="s">
        <v>26</v>
      </c>
      <c r="B45" s="3" t="s">
        <v>543</v>
      </c>
      <c r="C45" s="4" t="s">
        <v>525</v>
      </c>
      <c r="D45" s="3" t="s">
        <v>919</v>
      </c>
      <c r="E45" s="4"/>
      <c r="F45" s="4" t="s">
        <v>527</v>
      </c>
      <c r="G45" s="4" t="s">
        <v>525</v>
      </c>
      <c r="H45" s="695" t="s">
        <v>920</v>
      </c>
      <c r="I45" s="22">
        <v>8682011</v>
      </c>
      <c r="J45" s="386" t="s">
        <v>28</v>
      </c>
      <c r="K45" s="8">
        <v>10</v>
      </c>
      <c r="L45" s="32">
        <f>9052-8311</f>
        <v>741</v>
      </c>
      <c r="M45" s="33"/>
      <c r="N45" s="33"/>
      <c r="O45" s="32">
        <f t="shared" si="0"/>
        <v>741</v>
      </c>
    </row>
    <row r="46" spans="1:15" ht="43.5">
      <c r="A46" s="579" t="s">
        <v>26</v>
      </c>
      <c r="B46" s="3" t="s">
        <v>543</v>
      </c>
      <c r="C46" s="4" t="s">
        <v>525</v>
      </c>
      <c r="D46" s="3" t="s">
        <v>552</v>
      </c>
      <c r="E46" s="4"/>
      <c r="F46" s="4" t="s">
        <v>527</v>
      </c>
      <c r="G46" s="4" t="s">
        <v>525</v>
      </c>
      <c r="H46" s="695" t="s">
        <v>921</v>
      </c>
      <c r="I46" s="22">
        <v>90696057</v>
      </c>
      <c r="J46" s="386" t="s">
        <v>28</v>
      </c>
      <c r="K46" s="8">
        <v>5</v>
      </c>
      <c r="L46" s="32">
        <f>2216-613</f>
        <v>1603</v>
      </c>
      <c r="M46" s="33"/>
      <c r="N46" s="33"/>
      <c r="O46" s="32">
        <f t="shared" si="0"/>
        <v>1603</v>
      </c>
    </row>
    <row r="47" spans="1:15" ht="43.5">
      <c r="A47" s="579" t="s">
        <v>26</v>
      </c>
      <c r="B47" s="3" t="s">
        <v>543</v>
      </c>
      <c r="C47" s="4" t="s">
        <v>525</v>
      </c>
      <c r="D47" s="3" t="s">
        <v>540</v>
      </c>
      <c r="E47" s="4"/>
      <c r="F47" s="4" t="s">
        <v>527</v>
      </c>
      <c r="G47" s="4" t="s">
        <v>525</v>
      </c>
      <c r="H47" s="695" t="s">
        <v>922</v>
      </c>
      <c r="I47" s="22">
        <v>90103976</v>
      </c>
      <c r="J47" s="386" t="s">
        <v>28</v>
      </c>
      <c r="K47" s="8">
        <v>4</v>
      </c>
      <c r="L47" s="32">
        <f>4098-1617</f>
        <v>2481</v>
      </c>
      <c r="M47" s="33"/>
      <c r="N47" s="33"/>
      <c r="O47" s="32">
        <f>L47</f>
        <v>2481</v>
      </c>
    </row>
    <row r="48" spans="1:15" ht="43.5">
      <c r="A48" s="579" t="s">
        <v>26</v>
      </c>
      <c r="B48" s="3" t="s">
        <v>543</v>
      </c>
      <c r="C48" s="4" t="s">
        <v>525</v>
      </c>
      <c r="D48" s="3" t="s">
        <v>553</v>
      </c>
      <c r="E48" s="4" t="s">
        <v>554</v>
      </c>
      <c r="F48" s="4" t="s">
        <v>527</v>
      </c>
      <c r="G48" s="4" t="s">
        <v>525</v>
      </c>
      <c r="H48" s="695" t="s">
        <v>923</v>
      </c>
      <c r="I48" s="22">
        <v>90035114</v>
      </c>
      <c r="J48" s="386" t="s">
        <v>28</v>
      </c>
      <c r="K48" s="8">
        <v>12</v>
      </c>
      <c r="L48" s="32">
        <f>4506-1499</f>
        <v>3007</v>
      </c>
      <c r="M48" s="33"/>
      <c r="N48" s="33"/>
      <c r="O48" s="32">
        <f t="shared" ref="O48:O58" si="1">L48</f>
        <v>3007</v>
      </c>
    </row>
    <row r="49" spans="1:15" ht="57.75">
      <c r="A49" s="579" t="s">
        <v>26</v>
      </c>
      <c r="B49" s="3" t="s">
        <v>555</v>
      </c>
      <c r="C49" s="4" t="s">
        <v>525</v>
      </c>
      <c r="D49" s="3" t="s">
        <v>556</v>
      </c>
      <c r="E49" s="4"/>
      <c r="F49" s="4" t="s">
        <v>527</v>
      </c>
      <c r="G49" s="4" t="s">
        <v>525</v>
      </c>
      <c r="H49" s="695" t="s">
        <v>924</v>
      </c>
      <c r="I49" s="22">
        <v>8190959</v>
      </c>
      <c r="J49" s="386" t="s">
        <v>28</v>
      </c>
      <c r="K49" s="8">
        <v>10</v>
      </c>
      <c r="L49" s="32">
        <f>5607-5430</f>
        <v>177</v>
      </c>
      <c r="M49" s="33"/>
      <c r="N49" s="33"/>
      <c r="O49" s="32">
        <f t="shared" si="1"/>
        <v>177</v>
      </c>
    </row>
    <row r="50" spans="1:15" ht="43.5">
      <c r="A50" s="579" t="s">
        <v>26</v>
      </c>
      <c r="B50" s="3" t="s">
        <v>535</v>
      </c>
      <c r="C50" s="4" t="s">
        <v>525</v>
      </c>
      <c r="D50" s="3" t="s">
        <v>557</v>
      </c>
      <c r="E50" s="4"/>
      <c r="F50" s="4" t="s">
        <v>527</v>
      </c>
      <c r="G50" s="4" t="s">
        <v>525</v>
      </c>
      <c r="H50" s="695" t="s">
        <v>925</v>
      </c>
      <c r="I50" s="22">
        <v>9020447</v>
      </c>
      <c r="J50" s="386" t="s">
        <v>28</v>
      </c>
      <c r="K50" s="8">
        <v>10</v>
      </c>
      <c r="L50" s="32">
        <f>19326-15661</f>
        <v>3665</v>
      </c>
      <c r="M50" s="33"/>
      <c r="N50" s="33"/>
      <c r="O50" s="32">
        <f t="shared" si="1"/>
        <v>3665</v>
      </c>
    </row>
    <row r="51" spans="1:15" ht="43.5">
      <c r="A51" s="579" t="s">
        <v>26</v>
      </c>
      <c r="B51" s="3" t="s">
        <v>543</v>
      </c>
      <c r="C51" s="4" t="s">
        <v>525</v>
      </c>
      <c r="D51" s="3" t="s">
        <v>558</v>
      </c>
      <c r="E51" s="4"/>
      <c r="F51" s="4" t="s">
        <v>527</v>
      </c>
      <c r="G51" s="4" t="s">
        <v>525</v>
      </c>
      <c r="H51" s="695" t="s">
        <v>926</v>
      </c>
      <c r="I51" s="22">
        <v>8328210</v>
      </c>
      <c r="J51" s="386" t="s">
        <v>28</v>
      </c>
      <c r="K51" s="8">
        <v>4</v>
      </c>
      <c r="L51" s="32">
        <f>10972-9848</f>
        <v>1124</v>
      </c>
      <c r="M51" s="33"/>
      <c r="N51" s="33"/>
      <c r="O51" s="32">
        <f t="shared" si="1"/>
        <v>1124</v>
      </c>
    </row>
    <row r="52" spans="1:15" ht="43.5">
      <c r="A52" s="579" t="s">
        <v>26</v>
      </c>
      <c r="B52" s="3" t="s">
        <v>535</v>
      </c>
      <c r="C52" s="4" t="s">
        <v>525</v>
      </c>
      <c r="D52" s="3" t="s">
        <v>559</v>
      </c>
      <c r="E52" s="4" t="s">
        <v>560</v>
      </c>
      <c r="F52" s="4" t="s">
        <v>527</v>
      </c>
      <c r="G52" s="4" t="s">
        <v>525</v>
      </c>
      <c r="H52" s="695" t="s">
        <v>927</v>
      </c>
      <c r="I52" s="22">
        <v>90695913</v>
      </c>
      <c r="J52" s="386" t="s">
        <v>28</v>
      </c>
      <c r="K52" s="8">
        <v>4</v>
      </c>
      <c r="L52" s="32">
        <f>2368-688</f>
        <v>1680</v>
      </c>
      <c r="M52" s="33"/>
      <c r="N52" s="33"/>
      <c r="O52" s="32">
        <f t="shared" si="1"/>
        <v>1680</v>
      </c>
    </row>
    <row r="53" spans="1:15" ht="57.75">
      <c r="A53" s="579" t="s">
        <v>26</v>
      </c>
      <c r="B53" s="3" t="s">
        <v>539</v>
      </c>
      <c r="C53" s="4" t="s">
        <v>525</v>
      </c>
      <c r="D53" s="3" t="s">
        <v>561</v>
      </c>
      <c r="E53" s="4" t="s">
        <v>562</v>
      </c>
      <c r="F53" s="4" t="s">
        <v>527</v>
      </c>
      <c r="G53" s="4" t="s">
        <v>525</v>
      </c>
      <c r="H53" s="695" t="s">
        <v>928</v>
      </c>
      <c r="I53" s="22">
        <v>90092805</v>
      </c>
      <c r="J53" s="386" t="s">
        <v>28</v>
      </c>
      <c r="K53" s="8">
        <v>5</v>
      </c>
      <c r="L53" s="32">
        <f>4974-2477</f>
        <v>2497</v>
      </c>
      <c r="M53" s="33"/>
      <c r="N53" s="33"/>
      <c r="O53" s="32">
        <f t="shared" si="1"/>
        <v>2497</v>
      </c>
    </row>
    <row r="54" spans="1:15" ht="57.75">
      <c r="A54" s="579" t="s">
        <v>26</v>
      </c>
      <c r="B54" s="3" t="s">
        <v>539</v>
      </c>
      <c r="C54" s="4" t="s">
        <v>525</v>
      </c>
      <c r="D54" s="3" t="s">
        <v>563</v>
      </c>
      <c r="E54" s="4"/>
      <c r="F54" s="4" t="s">
        <v>527</v>
      </c>
      <c r="G54" s="4" t="s">
        <v>525</v>
      </c>
      <c r="H54" s="695" t="s">
        <v>929</v>
      </c>
      <c r="I54" s="22">
        <v>9145081</v>
      </c>
      <c r="J54" s="386" t="s">
        <v>28</v>
      </c>
      <c r="K54" s="8">
        <v>12</v>
      </c>
      <c r="L54" s="32">
        <f>24393-19392</f>
        <v>5001</v>
      </c>
      <c r="M54" s="33"/>
      <c r="N54" s="33"/>
      <c r="O54" s="32">
        <f t="shared" si="1"/>
        <v>5001</v>
      </c>
    </row>
    <row r="55" spans="1:15" ht="43.5">
      <c r="A55" s="579" t="s">
        <v>26</v>
      </c>
      <c r="B55" s="3" t="s">
        <v>535</v>
      </c>
      <c r="C55" s="4" t="s">
        <v>525</v>
      </c>
      <c r="D55" s="3" t="s">
        <v>564</v>
      </c>
      <c r="E55" s="4" t="s">
        <v>565</v>
      </c>
      <c r="F55" s="4" t="s">
        <v>527</v>
      </c>
      <c r="G55" s="4" t="s">
        <v>525</v>
      </c>
      <c r="H55" s="695" t="s">
        <v>931</v>
      </c>
      <c r="I55" s="22">
        <v>70542310</v>
      </c>
      <c r="J55" s="386" t="s">
        <v>28</v>
      </c>
      <c r="K55" s="8">
        <v>4</v>
      </c>
      <c r="L55" s="32">
        <f>30318-27353</f>
        <v>2965</v>
      </c>
      <c r="M55" s="33"/>
      <c r="N55" s="33"/>
      <c r="O55" s="32">
        <f t="shared" si="1"/>
        <v>2965</v>
      </c>
    </row>
    <row r="56" spans="1:15" ht="43.5">
      <c r="A56" s="579" t="s">
        <v>26</v>
      </c>
      <c r="B56" s="3" t="s">
        <v>535</v>
      </c>
      <c r="C56" s="4" t="s">
        <v>525</v>
      </c>
      <c r="D56" s="3" t="s">
        <v>566</v>
      </c>
      <c r="E56" s="4" t="s">
        <v>567</v>
      </c>
      <c r="F56" s="4" t="s">
        <v>527</v>
      </c>
      <c r="G56" s="4" t="s">
        <v>525</v>
      </c>
      <c r="H56" s="695" t="s">
        <v>930</v>
      </c>
      <c r="I56" s="22">
        <v>90103307</v>
      </c>
      <c r="J56" s="386" t="s">
        <v>28</v>
      </c>
      <c r="K56" s="8">
        <v>4</v>
      </c>
      <c r="L56" s="32">
        <f>10350-4634</f>
        <v>5716</v>
      </c>
      <c r="M56" s="33"/>
      <c r="N56" s="33"/>
      <c r="O56" s="32">
        <f t="shared" si="1"/>
        <v>5716</v>
      </c>
    </row>
    <row r="57" spans="1:15" ht="43.5">
      <c r="A57" s="579" t="s">
        <v>26</v>
      </c>
      <c r="B57" s="3" t="s">
        <v>535</v>
      </c>
      <c r="C57" s="4" t="s">
        <v>525</v>
      </c>
      <c r="D57" s="3" t="s">
        <v>566</v>
      </c>
      <c r="E57" s="4"/>
      <c r="F57" s="4" t="s">
        <v>527</v>
      </c>
      <c r="G57" s="4" t="s">
        <v>525</v>
      </c>
      <c r="H57" s="695" t="s">
        <v>932</v>
      </c>
      <c r="I57" s="22">
        <v>12720952</v>
      </c>
      <c r="J57" s="386" t="s">
        <v>28</v>
      </c>
      <c r="K57" s="8">
        <v>3</v>
      </c>
      <c r="L57" s="32">
        <f>17072-15661</f>
        <v>1411</v>
      </c>
      <c r="M57" s="33"/>
      <c r="N57" s="33"/>
      <c r="O57" s="32">
        <f t="shared" si="1"/>
        <v>1411</v>
      </c>
    </row>
    <row r="58" spans="1:15" ht="43.5">
      <c r="A58" s="579" t="s">
        <v>26</v>
      </c>
      <c r="B58" s="3" t="s">
        <v>535</v>
      </c>
      <c r="C58" s="4" t="s">
        <v>525</v>
      </c>
      <c r="D58" s="3" t="s">
        <v>568</v>
      </c>
      <c r="E58" s="4"/>
      <c r="F58" s="4" t="s">
        <v>527</v>
      </c>
      <c r="G58" s="4" t="s">
        <v>525</v>
      </c>
      <c r="H58" s="695" t="s">
        <v>933</v>
      </c>
      <c r="I58" s="22">
        <v>11765245</v>
      </c>
      <c r="J58" s="386" t="s">
        <v>28</v>
      </c>
      <c r="K58" s="8">
        <v>10</v>
      </c>
      <c r="L58" s="32">
        <f>7846-6550</f>
        <v>1296</v>
      </c>
      <c r="M58" s="33"/>
      <c r="N58" s="33"/>
      <c r="O58" s="32">
        <f t="shared" si="1"/>
        <v>1296</v>
      </c>
    </row>
    <row r="59" spans="1:15" ht="46.5" customHeight="1">
      <c r="A59" s="579" t="s">
        <v>26</v>
      </c>
      <c r="B59" s="3" t="s">
        <v>535</v>
      </c>
      <c r="C59" s="4" t="s">
        <v>525</v>
      </c>
      <c r="D59" s="3" t="s">
        <v>538</v>
      </c>
      <c r="E59" s="4" t="s">
        <v>569</v>
      </c>
      <c r="F59" s="4" t="s">
        <v>527</v>
      </c>
      <c r="G59" s="4" t="s">
        <v>525</v>
      </c>
      <c r="H59" s="695" t="s">
        <v>934</v>
      </c>
      <c r="I59" s="22">
        <v>90107404</v>
      </c>
      <c r="J59" s="386" t="s">
        <v>28</v>
      </c>
      <c r="K59" s="8">
        <v>7</v>
      </c>
      <c r="L59" s="32">
        <f>11284-5475</f>
        <v>5809</v>
      </c>
      <c r="M59" s="33"/>
      <c r="N59" s="33"/>
      <c r="O59" s="32">
        <f t="shared" ref="O59:O65" si="2">L59</f>
        <v>5809</v>
      </c>
    </row>
    <row r="60" spans="1:15" ht="43.5">
      <c r="A60" s="579" t="s">
        <v>26</v>
      </c>
      <c r="B60" s="3" t="s">
        <v>535</v>
      </c>
      <c r="C60" s="4" t="s">
        <v>525</v>
      </c>
      <c r="D60" s="3" t="s">
        <v>570</v>
      </c>
      <c r="E60" s="4"/>
      <c r="F60" s="4" t="s">
        <v>527</v>
      </c>
      <c r="G60" s="4" t="s">
        <v>525</v>
      </c>
      <c r="H60" s="695" t="s">
        <v>935</v>
      </c>
      <c r="I60" s="22">
        <v>90101957</v>
      </c>
      <c r="J60" s="386" t="s">
        <v>28</v>
      </c>
      <c r="K60" s="8">
        <v>2</v>
      </c>
      <c r="L60" s="32">
        <f>2220-923</f>
        <v>1297</v>
      </c>
      <c r="M60" s="33"/>
      <c r="N60" s="33"/>
      <c r="O60" s="32">
        <f t="shared" si="2"/>
        <v>1297</v>
      </c>
    </row>
    <row r="61" spans="1:15" ht="43.5">
      <c r="A61" s="579" t="s">
        <v>26</v>
      </c>
      <c r="B61" s="3" t="s">
        <v>535</v>
      </c>
      <c r="C61" s="4" t="s">
        <v>525</v>
      </c>
      <c r="D61" s="3" t="s">
        <v>571</v>
      </c>
      <c r="E61" s="4" t="s">
        <v>572</v>
      </c>
      <c r="F61" s="4" t="s">
        <v>527</v>
      </c>
      <c r="G61" s="4" t="s">
        <v>525</v>
      </c>
      <c r="H61" s="695" t="s">
        <v>936</v>
      </c>
      <c r="I61" s="22">
        <v>13058515</v>
      </c>
      <c r="J61" s="386" t="s">
        <v>28</v>
      </c>
      <c r="K61" s="8">
        <v>4</v>
      </c>
      <c r="L61" s="32">
        <f>16697-14921</f>
        <v>1776</v>
      </c>
      <c r="M61" s="33"/>
      <c r="N61" s="33"/>
      <c r="O61" s="32">
        <f t="shared" si="2"/>
        <v>1776</v>
      </c>
    </row>
    <row r="62" spans="1:15" ht="43.5">
      <c r="A62" s="743" t="s">
        <v>26</v>
      </c>
      <c r="B62" s="9" t="s">
        <v>535</v>
      </c>
      <c r="C62" s="6" t="s">
        <v>525</v>
      </c>
      <c r="D62" s="9" t="s">
        <v>573</v>
      </c>
      <c r="E62" s="6"/>
      <c r="F62" s="6" t="s">
        <v>527</v>
      </c>
      <c r="G62" s="6" t="s">
        <v>525</v>
      </c>
      <c r="H62" s="771" t="s">
        <v>937</v>
      </c>
      <c r="I62" s="20">
        <v>8462876</v>
      </c>
      <c r="J62" s="744" t="s">
        <v>28</v>
      </c>
      <c r="K62" s="745">
        <v>10</v>
      </c>
      <c r="L62" s="115">
        <f>6001-5210</f>
        <v>791</v>
      </c>
      <c r="M62" s="37"/>
      <c r="N62" s="33"/>
      <c r="O62" s="32">
        <f t="shared" si="2"/>
        <v>791</v>
      </c>
    </row>
    <row r="63" spans="1:15" ht="52.5" customHeight="1">
      <c r="A63" s="579" t="s">
        <v>26</v>
      </c>
      <c r="B63" s="9" t="s">
        <v>535</v>
      </c>
      <c r="C63" s="6" t="s">
        <v>525</v>
      </c>
      <c r="D63" s="9" t="s">
        <v>611</v>
      </c>
      <c r="E63" s="6" t="s">
        <v>1241</v>
      </c>
      <c r="F63" s="6" t="s">
        <v>527</v>
      </c>
      <c r="G63" s="6" t="s">
        <v>525</v>
      </c>
      <c r="H63" s="695" t="s">
        <v>1240</v>
      </c>
      <c r="I63" s="22">
        <v>8686868</v>
      </c>
      <c r="J63" s="386" t="s">
        <v>28</v>
      </c>
      <c r="K63" s="8">
        <v>10</v>
      </c>
      <c r="L63" s="32">
        <f>6441-5917</f>
        <v>524</v>
      </c>
      <c r="M63" s="33"/>
      <c r="N63" s="33"/>
      <c r="O63" s="32">
        <f t="shared" si="2"/>
        <v>524</v>
      </c>
    </row>
    <row r="64" spans="1:15" ht="52.5" customHeight="1">
      <c r="A64" s="579" t="s">
        <v>26</v>
      </c>
      <c r="B64" s="3" t="s">
        <v>535</v>
      </c>
      <c r="C64" s="4" t="s">
        <v>525</v>
      </c>
      <c r="D64" s="3" t="s">
        <v>568</v>
      </c>
      <c r="E64" s="4"/>
      <c r="F64" s="4" t="s">
        <v>527</v>
      </c>
      <c r="G64" s="4" t="s">
        <v>525</v>
      </c>
      <c r="H64" s="695" t="s">
        <v>1242</v>
      </c>
      <c r="I64" s="22">
        <v>70976857</v>
      </c>
      <c r="J64" s="386" t="s">
        <v>28</v>
      </c>
      <c r="K64" s="8">
        <v>24</v>
      </c>
      <c r="L64" s="32">
        <f>6435-5511</f>
        <v>924</v>
      </c>
      <c r="M64" s="33"/>
      <c r="N64" s="33"/>
      <c r="O64" s="32">
        <f t="shared" si="2"/>
        <v>924</v>
      </c>
    </row>
    <row r="65" spans="1:15" ht="52.5" customHeight="1">
      <c r="A65" s="585" t="s">
        <v>26</v>
      </c>
      <c r="B65" s="922" t="s">
        <v>1243</v>
      </c>
      <c r="C65" s="746" t="s">
        <v>525</v>
      </c>
      <c r="D65" s="551" t="s">
        <v>298</v>
      </c>
      <c r="E65" s="360"/>
      <c r="F65" s="6" t="s">
        <v>527</v>
      </c>
      <c r="G65" s="6" t="s">
        <v>525</v>
      </c>
      <c r="H65" s="710" t="s">
        <v>1416</v>
      </c>
      <c r="I65" s="923">
        <v>90095320</v>
      </c>
      <c r="J65" s="516" t="s">
        <v>28</v>
      </c>
      <c r="K65" s="413">
        <v>3</v>
      </c>
      <c r="L65" s="268">
        <f>393-143</f>
        <v>250</v>
      </c>
      <c r="M65" s="269"/>
      <c r="N65" s="269"/>
      <c r="O65" s="268">
        <f t="shared" si="2"/>
        <v>250</v>
      </c>
    </row>
    <row r="66" spans="1:15" ht="52.5" customHeight="1">
      <c r="A66" s="579" t="s">
        <v>26</v>
      </c>
      <c r="B66" s="3" t="s">
        <v>1423</v>
      </c>
      <c r="C66" s="3" t="s">
        <v>525</v>
      </c>
      <c r="D66" s="3" t="s">
        <v>1419</v>
      </c>
      <c r="E66" s="3" t="s">
        <v>1424</v>
      </c>
      <c r="F66" s="3" t="s">
        <v>527</v>
      </c>
      <c r="G66" s="3" t="s">
        <v>525</v>
      </c>
      <c r="H66" s="695" t="s">
        <v>1766</v>
      </c>
      <c r="I66" s="4">
        <v>90695984</v>
      </c>
      <c r="J66" s="487" t="s">
        <v>28</v>
      </c>
      <c r="K66" s="174">
        <v>10</v>
      </c>
      <c r="L66" s="32">
        <f>80*12</f>
        <v>960</v>
      </c>
      <c r="M66" s="33"/>
      <c r="N66" s="33"/>
      <c r="O66" s="32">
        <f t="shared" ref="O66:O77" si="3">L66</f>
        <v>960</v>
      </c>
    </row>
    <row r="67" spans="1:15" ht="52.5" customHeight="1">
      <c r="A67" s="585" t="s">
        <v>26</v>
      </c>
      <c r="B67" s="3" t="s">
        <v>1418</v>
      </c>
      <c r="C67" s="3" t="s">
        <v>525</v>
      </c>
      <c r="D67" s="3" t="s">
        <v>1419</v>
      </c>
      <c r="E67" s="3" t="s">
        <v>1420</v>
      </c>
      <c r="F67" s="3" t="s">
        <v>527</v>
      </c>
      <c r="G67" s="3" t="s">
        <v>525</v>
      </c>
      <c r="H67" s="710" t="s">
        <v>1767</v>
      </c>
      <c r="I67" s="4">
        <v>90695922</v>
      </c>
      <c r="J67" s="487" t="s">
        <v>28</v>
      </c>
      <c r="K67" s="174">
        <v>8</v>
      </c>
      <c r="L67" s="32">
        <f>100*12</f>
        <v>1200</v>
      </c>
      <c r="M67" s="33"/>
      <c r="N67" s="33"/>
      <c r="O67" s="32">
        <f t="shared" si="3"/>
        <v>1200</v>
      </c>
    </row>
    <row r="68" spans="1:15" ht="66" customHeight="1">
      <c r="A68" s="579" t="s">
        <v>26</v>
      </c>
      <c r="B68" s="3" t="s">
        <v>539</v>
      </c>
      <c r="C68" s="3" t="s">
        <v>525</v>
      </c>
      <c r="D68" s="3" t="s">
        <v>1308</v>
      </c>
      <c r="E68" s="3" t="s">
        <v>1428</v>
      </c>
      <c r="F68" s="3" t="s">
        <v>527</v>
      </c>
      <c r="G68" s="3" t="s">
        <v>525</v>
      </c>
      <c r="H68" s="695" t="s">
        <v>1768</v>
      </c>
      <c r="I68" s="4">
        <v>90462374</v>
      </c>
      <c r="J68" s="487" t="s">
        <v>28</v>
      </c>
      <c r="K68" s="174">
        <v>6</v>
      </c>
      <c r="L68" s="32">
        <v>2200</v>
      </c>
      <c r="M68" s="33"/>
      <c r="N68" s="33"/>
      <c r="O68" s="32">
        <f t="shared" si="3"/>
        <v>2200</v>
      </c>
    </row>
    <row r="69" spans="1:15" ht="60.75" customHeight="1">
      <c r="A69" s="585" t="s">
        <v>26</v>
      </c>
      <c r="B69" s="3" t="s">
        <v>539</v>
      </c>
      <c r="C69" s="3" t="s">
        <v>525</v>
      </c>
      <c r="D69" s="3" t="s">
        <v>1429</v>
      </c>
      <c r="E69" s="3" t="s">
        <v>1430</v>
      </c>
      <c r="F69" s="3" t="s">
        <v>527</v>
      </c>
      <c r="G69" s="3" t="s">
        <v>525</v>
      </c>
      <c r="H69" s="710" t="s">
        <v>1769</v>
      </c>
      <c r="I69" s="4">
        <v>10927283</v>
      </c>
      <c r="J69" s="487" t="s">
        <v>28</v>
      </c>
      <c r="K69" s="174">
        <v>10</v>
      </c>
      <c r="L69" s="32">
        <v>3000</v>
      </c>
      <c r="M69" s="33"/>
      <c r="N69" s="33"/>
      <c r="O69" s="32">
        <f t="shared" si="3"/>
        <v>3000</v>
      </c>
    </row>
    <row r="70" spans="1:15" ht="62.25" customHeight="1">
      <c r="A70" s="579" t="s">
        <v>26</v>
      </c>
      <c r="B70" s="3" t="s">
        <v>539</v>
      </c>
      <c r="C70" s="3" t="s">
        <v>525</v>
      </c>
      <c r="D70" s="3" t="s">
        <v>1771</v>
      </c>
      <c r="E70" s="3" t="s">
        <v>1434</v>
      </c>
      <c r="F70" s="3" t="s">
        <v>527</v>
      </c>
      <c r="G70" s="3" t="s">
        <v>525</v>
      </c>
      <c r="H70" s="695" t="s">
        <v>1770</v>
      </c>
      <c r="I70" s="4">
        <v>10857602</v>
      </c>
      <c r="J70" s="487" t="s">
        <v>28</v>
      </c>
      <c r="K70" s="174">
        <v>15</v>
      </c>
      <c r="L70" s="32">
        <f>793*15</f>
        <v>11895</v>
      </c>
      <c r="M70" s="33"/>
      <c r="N70" s="33"/>
      <c r="O70" s="32">
        <f t="shared" si="3"/>
        <v>11895</v>
      </c>
    </row>
    <row r="71" spans="1:15" ht="66" customHeight="1">
      <c r="A71" s="585" t="s">
        <v>26</v>
      </c>
      <c r="B71" s="3" t="s">
        <v>539</v>
      </c>
      <c r="C71" s="3" t="s">
        <v>525</v>
      </c>
      <c r="D71" s="3" t="s">
        <v>1771</v>
      </c>
      <c r="E71" s="3" t="s">
        <v>1431</v>
      </c>
      <c r="F71" s="3" t="s">
        <v>527</v>
      </c>
      <c r="G71" s="3" t="s">
        <v>525</v>
      </c>
      <c r="H71" s="710" t="s">
        <v>1772</v>
      </c>
      <c r="I71" s="4">
        <v>11697393</v>
      </c>
      <c r="J71" s="487" t="s">
        <v>28</v>
      </c>
      <c r="K71" s="174">
        <v>4</v>
      </c>
      <c r="L71" s="32">
        <f>1000</f>
        <v>1000</v>
      </c>
      <c r="M71" s="33"/>
      <c r="N71" s="33"/>
      <c r="O71" s="32">
        <f t="shared" si="3"/>
        <v>1000</v>
      </c>
    </row>
    <row r="72" spans="1:15" ht="52.5" customHeight="1">
      <c r="A72" s="579" t="s">
        <v>26</v>
      </c>
      <c r="B72" s="3" t="s">
        <v>1422</v>
      </c>
      <c r="C72" s="3" t="s">
        <v>525</v>
      </c>
      <c r="D72" s="3" t="s">
        <v>553</v>
      </c>
      <c r="E72" s="3" t="s">
        <v>1421</v>
      </c>
      <c r="F72" s="3" t="s">
        <v>527</v>
      </c>
      <c r="G72" s="3" t="s">
        <v>525</v>
      </c>
      <c r="H72" s="695" t="s">
        <v>1773</v>
      </c>
      <c r="I72" s="4">
        <v>90696108</v>
      </c>
      <c r="J72" s="487" t="s">
        <v>28</v>
      </c>
      <c r="K72" s="174">
        <v>7</v>
      </c>
      <c r="L72" s="32">
        <v>2000</v>
      </c>
      <c r="M72" s="33"/>
      <c r="N72" s="33"/>
      <c r="O72" s="32">
        <f t="shared" si="3"/>
        <v>2000</v>
      </c>
    </row>
    <row r="73" spans="1:15" ht="52.5" customHeight="1">
      <c r="A73" s="585" t="s">
        <v>26</v>
      </c>
      <c r="B73" s="3" t="s">
        <v>1425</v>
      </c>
      <c r="C73" s="3" t="s">
        <v>525</v>
      </c>
      <c r="D73" s="3" t="s">
        <v>1426</v>
      </c>
      <c r="E73" s="3" t="s">
        <v>1427</v>
      </c>
      <c r="F73" s="3" t="s">
        <v>527</v>
      </c>
      <c r="G73" s="3" t="s">
        <v>525</v>
      </c>
      <c r="H73" s="710" t="s">
        <v>1774</v>
      </c>
      <c r="I73" s="4">
        <v>90696101</v>
      </c>
      <c r="J73" s="487" t="s">
        <v>28</v>
      </c>
      <c r="K73" s="174">
        <v>6</v>
      </c>
      <c r="L73" s="32">
        <v>1200</v>
      </c>
      <c r="M73" s="33"/>
      <c r="N73" s="33"/>
      <c r="O73" s="32">
        <f t="shared" si="3"/>
        <v>1200</v>
      </c>
    </row>
    <row r="74" spans="1:15" ht="68.25" customHeight="1">
      <c r="A74" s="585" t="s">
        <v>26</v>
      </c>
      <c r="B74" s="3" t="s">
        <v>539</v>
      </c>
      <c r="C74" s="3" t="s">
        <v>525</v>
      </c>
      <c r="D74" s="3" t="s">
        <v>1435</v>
      </c>
      <c r="E74" s="3" t="s">
        <v>1436</v>
      </c>
      <c r="F74" s="3" t="s">
        <v>527</v>
      </c>
      <c r="G74" s="3" t="s">
        <v>525</v>
      </c>
      <c r="H74" s="695" t="s">
        <v>1775</v>
      </c>
      <c r="I74" s="4">
        <v>90468383</v>
      </c>
      <c r="J74" s="487" t="s">
        <v>28</v>
      </c>
      <c r="K74" s="174">
        <v>2</v>
      </c>
      <c r="L74" s="32">
        <v>1000</v>
      </c>
      <c r="M74" s="33"/>
      <c r="N74" s="33"/>
      <c r="O74" s="32">
        <f t="shared" si="3"/>
        <v>1000</v>
      </c>
    </row>
    <row r="75" spans="1:15" ht="66" customHeight="1">
      <c r="A75" s="585" t="s">
        <v>26</v>
      </c>
      <c r="B75" s="3" t="s">
        <v>539</v>
      </c>
      <c r="C75" s="3" t="s">
        <v>525</v>
      </c>
      <c r="D75" s="3" t="s">
        <v>1437</v>
      </c>
      <c r="E75" s="3" t="s">
        <v>1438</v>
      </c>
      <c r="F75" s="3" t="s">
        <v>527</v>
      </c>
      <c r="G75" s="3" t="s">
        <v>525</v>
      </c>
      <c r="H75" s="710" t="s">
        <v>1776</v>
      </c>
      <c r="I75" s="6">
        <v>10842769</v>
      </c>
      <c r="J75" s="1088" t="s">
        <v>28</v>
      </c>
      <c r="K75" s="428">
        <v>13</v>
      </c>
      <c r="L75" s="32">
        <v>1000</v>
      </c>
      <c r="M75" s="33"/>
      <c r="N75" s="33"/>
      <c r="O75" s="32">
        <f t="shared" si="3"/>
        <v>1000</v>
      </c>
    </row>
    <row r="76" spans="1:15" ht="62.25" customHeight="1">
      <c r="A76" s="585" t="s">
        <v>26</v>
      </c>
      <c r="B76" s="3" t="s">
        <v>539</v>
      </c>
      <c r="C76" s="3" t="s">
        <v>525</v>
      </c>
      <c r="D76" s="3" t="s">
        <v>1432</v>
      </c>
      <c r="E76" s="3" t="s">
        <v>1433</v>
      </c>
      <c r="F76" s="3" t="s">
        <v>527</v>
      </c>
      <c r="G76" s="3" t="s">
        <v>525</v>
      </c>
      <c r="H76" s="695" t="s">
        <v>1777</v>
      </c>
      <c r="I76" s="4">
        <v>90597585</v>
      </c>
      <c r="J76" s="487" t="s">
        <v>28</v>
      </c>
      <c r="K76" s="174">
        <v>4</v>
      </c>
      <c r="L76" s="32">
        <v>1000</v>
      </c>
      <c r="M76" s="33"/>
      <c r="N76" s="33"/>
      <c r="O76" s="32">
        <f t="shared" si="3"/>
        <v>1000</v>
      </c>
    </row>
    <row r="77" spans="1:15" ht="52.5" customHeight="1" thickBot="1">
      <c r="A77" s="585" t="s">
        <v>26</v>
      </c>
      <c r="B77" s="266" t="s">
        <v>1417</v>
      </c>
      <c r="C77" s="266" t="s">
        <v>525</v>
      </c>
      <c r="D77" s="266" t="s">
        <v>574</v>
      </c>
      <c r="E77" s="266">
        <v>1</v>
      </c>
      <c r="F77" s="266" t="s">
        <v>527</v>
      </c>
      <c r="G77" s="266" t="s">
        <v>525</v>
      </c>
      <c r="H77" s="710" t="s">
        <v>1778</v>
      </c>
      <c r="I77" s="182">
        <v>4098753</v>
      </c>
      <c r="J77" s="538" t="s">
        <v>21</v>
      </c>
      <c r="K77" s="846">
        <v>130</v>
      </c>
      <c r="L77" s="268">
        <f>18137*12</f>
        <v>217644</v>
      </c>
      <c r="M77" s="269"/>
      <c r="N77" s="269"/>
      <c r="O77" s="268">
        <f t="shared" si="3"/>
        <v>217644</v>
      </c>
    </row>
    <row r="78" spans="1:15" ht="21.75" customHeight="1">
      <c r="B78" s="1180" t="s">
        <v>22</v>
      </c>
      <c r="C78" s="1171" t="s">
        <v>586</v>
      </c>
      <c r="D78" s="1172"/>
      <c r="E78" s="1181"/>
      <c r="F78" s="1175"/>
      <c r="G78" s="1175"/>
      <c r="H78" s="1622" t="s">
        <v>1920</v>
      </c>
      <c r="I78" s="1171" t="s">
        <v>535</v>
      </c>
      <c r="J78" s="1171"/>
      <c r="K78" s="1189"/>
      <c r="N78" s="32" t="s">
        <v>23</v>
      </c>
      <c r="O78" s="580">
        <f>SUM(O30:O77)</f>
        <v>1750759.1999999993</v>
      </c>
    </row>
    <row r="79" spans="1:15" ht="15">
      <c r="B79" s="1182"/>
      <c r="C79" s="1175" t="s">
        <v>1662</v>
      </c>
      <c r="D79" s="1176"/>
      <c r="E79" s="1183"/>
      <c r="F79" s="1175"/>
      <c r="G79" s="1175"/>
      <c r="H79" s="1174"/>
      <c r="I79" s="1175" t="s">
        <v>1663</v>
      </c>
      <c r="J79" s="1175"/>
      <c r="K79" s="1190"/>
      <c r="O79" s="31"/>
    </row>
    <row r="80" spans="1:15" ht="15">
      <c r="B80" s="1182"/>
      <c r="C80" s="1175" t="s">
        <v>530</v>
      </c>
      <c r="D80" s="1176"/>
      <c r="E80" s="1183"/>
      <c r="F80" s="1175"/>
      <c r="G80" s="1175"/>
      <c r="H80" s="1174"/>
      <c r="I80" s="1175" t="s">
        <v>530</v>
      </c>
      <c r="J80" s="1175"/>
      <c r="K80" s="1190"/>
      <c r="O80" s="31"/>
    </row>
    <row r="81" spans="1:15" ht="15.75" thickBot="1">
      <c r="B81" s="1215" t="s">
        <v>160</v>
      </c>
      <c r="C81" s="1175" t="s">
        <v>1664</v>
      </c>
      <c r="D81" s="1176"/>
      <c r="E81" s="1183"/>
      <c r="F81" s="1175"/>
      <c r="G81" s="1175"/>
      <c r="H81" s="1191"/>
      <c r="I81" s="1178"/>
      <c r="J81" s="1178"/>
      <c r="K81" s="1192"/>
      <c r="O81" s="31"/>
    </row>
    <row r="82" spans="1:15" ht="15.75" thickBot="1">
      <c r="A82" s="287"/>
      <c r="B82" s="1184" t="s">
        <v>1061</v>
      </c>
      <c r="C82" s="1178" t="s">
        <v>1076</v>
      </c>
      <c r="D82" s="1179"/>
      <c r="E82" s="1185"/>
      <c r="F82" s="1175"/>
      <c r="G82" s="1175"/>
      <c r="H82" s="1171"/>
      <c r="I82" s="1171"/>
      <c r="J82" s="1172"/>
      <c r="K82" s="1193"/>
      <c r="O82" s="31"/>
    </row>
    <row r="83" spans="1:15" ht="15">
      <c r="A83" s="287"/>
      <c r="B83" s="19"/>
      <c r="C83" s="14"/>
      <c r="D83" s="14"/>
      <c r="E83" s="14"/>
      <c r="F83" s="14"/>
      <c r="G83" s="14"/>
      <c r="I83" s="1"/>
      <c r="J83" s="287"/>
      <c r="K83" s="7"/>
      <c r="O83" s="31"/>
    </row>
    <row r="84" spans="1:15" ht="15" thickBot="1">
      <c r="I84" s="1"/>
      <c r="J84" s="287"/>
      <c r="K84" s="7"/>
      <c r="O84" s="31"/>
    </row>
    <row r="85" spans="1:15" ht="45" customHeight="1">
      <c r="A85" s="1657" t="s">
        <v>6</v>
      </c>
      <c r="B85" s="1657" t="s">
        <v>7</v>
      </c>
      <c r="C85" s="1657" t="s">
        <v>8</v>
      </c>
      <c r="D85" s="1657" t="s">
        <v>9</v>
      </c>
      <c r="E85" s="1657" t="s">
        <v>10</v>
      </c>
      <c r="F85" s="1657" t="s">
        <v>11</v>
      </c>
      <c r="G85" s="1657" t="s">
        <v>12</v>
      </c>
      <c r="H85" s="1657" t="s">
        <v>13</v>
      </c>
      <c r="I85" s="1677" t="s">
        <v>269</v>
      </c>
      <c r="J85" s="1657" t="s">
        <v>59</v>
      </c>
      <c r="K85" s="1720" t="s">
        <v>15</v>
      </c>
      <c r="L85" s="1668" t="s">
        <v>636</v>
      </c>
      <c r="M85" s="1650"/>
      <c r="N85" s="1650"/>
      <c r="O85" s="1669"/>
    </row>
    <row r="86" spans="1:15" ht="35.25" customHeight="1">
      <c r="A86" s="1657"/>
      <c r="B86" s="1657"/>
      <c r="C86" s="1657"/>
      <c r="D86" s="1657"/>
      <c r="E86" s="1657"/>
      <c r="F86" s="1657"/>
      <c r="G86" s="1657"/>
      <c r="H86" s="1657"/>
      <c r="I86" s="1677"/>
      <c r="J86" s="1657"/>
      <c r="K86" s="1720"/>
      <c r="L86" s="1679" t="s">
        <v>637</v>
      </c>
      <c r="M86" s="1654"/>
      <c r="N86" s="1654"/>
      <c r="O86" s="1680"/>
    </row>
    <row r="87" spans="1:15" ht="27.75" customHeight="1" thickBot="1">
      <c r="A87" s="1657"/>
      <c r="B87" s="1657"/>
      <c r="C87" s="1657"/>
      <c r="D87" s="1657"/>
      <c r="E87" s="1657"/>
      <c r="F87" s="1657"/>
      <c r="G87" s="1657"/>
      <c r="H87" s="1657"/>
      <c r="I87" s="1677"/>
      <c r="J87" s="1657"/>
      <c r="K87" s="1720"/>
      <c r="L87" s="263" t="s">
        <v>638</v>
      </c>
      <c r="M87" s="270" t="s">
        <v>639</v>
      </c>
      <c r="N87" s="270" t="s">
        <v>640</v>
      </c>
      <c r="O87" s="265" t="s">
        <v>16</v>
      </c>
    </row>
    <row r="88" spans="1:15" ht="29.25">
      <c r="A88" s="579" t="s">
        <v>26</v>
      </c>
      <c r="B88" s="196" t="s">
        <v>1899</v>
      </c>
      <c r="C88" s="4" t="s">
        <v>525</v>
      </c>
      <c r="D88" s="3" t="s">
        <v>538</v>
      </c>
      <c r="E88" s="4">
        <v>10</v>
      </c>
      <c r="F88" s="4" t="s">
        <v>527</v>
      </c>
      <c r="G88" s="4" t="s">
        <v>525</v>
      </c>
      <c r="H88" s="695" t="s">
        <v>1015</v>
      </c>
      <c r="I88" s="22">
        <v>71010251</v>
      </c>
      <c r="J88" s="386" t="s">
        <v>28</v>
      </c>
      <c r="K88" s="8">
        <v>26.9</v>
      </c>
      <c r="L88" s="32">
        <f>221424-186956</f>
        <v>34468</v>
      </c>
      <c r="M88" s="33"/>
      <c r="N88" s="33"/>
      <c r="O88" s="32">
        <f>L88</f>
        <v>34468</v>
      </c>
    </row>
    <row r="89" spans="1:15" ht="29.25">
      <c r="A89" s="743" t="s">
        <v>26</v>
      </c>
      <c r="B89" s="196" t="s">
        <v>1899</v>
      </c>
      <c r="C89" s="6" t="s">
        <v>525</v>
      </c>
      <c r="D89" s="9" t="s">
        <v>538</v>
      </c>
      <c r="E89" s="6">
        <v>10</v>
      </c>
      <c r="F89" s="6" t="s">
        <v>527</v>
      </c>
      <c r="G89" s="6" t="s">
        <v>525</v>
      </c>
      <c r="H89" s="771" t="s">
        <v>1016</v>
      </c>
      <c r="I89" s="20">
        <v>25375443</v>
      </c>
      <c r="J89" s="744" t="s">
        <v>28</v>
      </c>
      <c r="K89" s="745">
        <v>1</v>
      </c>
      <c r="L89" s="115">
        <f>2324-1749</f>
        <v>575</v>
      </c>
      <c r="M89" s="37"/>
      <c r="N89" s="37"/>
      <c r="O89" s="115">
        <f>L89</f>
        <v>575</v>
      </c>
    </row>
    <row r="90" spans="1:15" ht="18.75" thickBot="1">
      <c r="A90" s="743" t="s">
        <v>26</v>
      </c>
      <c r="B90" s="3"/>
      <c r="C90" s="4" t="s">
        <v>525</v>
      </c>
      <c r="D90" s="3" t="s">
        <v>538</v>
      </c>
      <c r="E90" s="4">
        <v>10</v>
      </c>
      <c r="F90" s="4" t="s">
        <v>527</v>
      </c>
      <c r="G90" s="4" t="s">
        <v>525</v>
      </c>
      <c r="H90" s="695" t="s">
        <v>1415</v>
      </c>
      <c r="I90" s="22">
        <v>90693874</v>
      </c>
      <c r="J90" s="29" t="s">
        <v>65</v>
      </c>
      <c r="K90" s="8">
        <v>30</v>
      </c>
      <c r="L90" s="33"/>
      <c r="M90" s="32">
        <f>3207-467</f>
        <v>2740</v>
      </c>
      <c r="N90" s="32">
        <f>2184-486</f>
        <v>1698</v>
      </c>
      <c r="O90" s="32">
        <f>M90+N90</f>
        <v>4438</v>
      </c>
    </row>
    <row r="91" spans="1:15" ht="15">
      <c r="B91" s="1180" t="s">
        <v>22</v>
      </c>
      <c r="C91" s="1171" t="s">
        <v>586</v>
      </c>
      <c r="D91" s="1172"/>
      <c r="E91" s="1181"/>
      <c r="F91" s="1194"/>
      <c r="G91" s="1194"/>
      <c r="H91" s="1622" t="s">
        <v>1920</v>
      </c>
      <c r="I91" s="1171" t="s">
        <v>1898</v>
      </c>
      <c r="J91" s="1172"/>
      <c r="K91" s="1195"/>
      <c r="N91" s="268" t="s">
        <v>23</v>
      </c>
      <c r="O91" s="921">
        <f>SUM(O88:O90)</f>
        <v>39481</v>
      </c>
    </row>
    <row r="92" spans="1:15" ht="15">
      <c r="B92" s="1182"/>
      <c r="C92" s="1175" t="s">
        <v>1662</v>
      </c>
      <c r="D92" s="1176"/>
      <c r="E92" s="1183"/>
      <c r="F92" s="1194"/>
      <c r="G92" s="1194"/>
      <c r="H92" s="1174"/>
      <c r="I92" s="1175" t="s">
        <v>1665</v>
      </c>
      <c r="J92" s="1176"/>
      <c r="K92" s="1196"/>
      <c r="O92" s="31"/>
    </row>
    <row r="93" spans="1:15" ht="15">
      <c r="B93" s="1182"/>
      <c r="C93" s="1175" t="s">
        <v>530</v>
      </c>
      <c r="D93" s="1176"/>
      <c r="E93" s="1183"/>
      <c r="F93" s="1194"/>
      <c r="G93" s="1194"/>
      <c r="H93" s="1174"/>
      <c r="I93" s="1175" t="s">
        <v>530</v>
      </c>
      <c r="J93" s="1176"/>
      <c r="K93" s="1196"/>
      <c r="N93" s="1"/>
      <c r="O93" s="31"/>
    </row>
    <row r="94" spans="1:15" ht="15.75" thickBot="1">
      <c r="B94" s="1215" t="s">
        <v>160</v>
      </c>
      <c r="C94" s="1175" t="s">
        <v>1664</v>
      </c>
      <c r="D94" s="1176"/>
      <c r="E94" s="1183"/>
      <c r="F94" s="1194"/>
      <c r="G94" s="1194"/>
      <c r="H94" s="1191"/>
      <c r="I94" s="1178"/>
      <c r="J94" s="1179"/>
      <c r="K94" s="1197"/>
      <c r="O94" s="31"/>
    </row>
    <row r="95" spans="1:15" ht="15.75" thickBot="1">
      <c r="A95" s="287"/>
      <c r="B95" s="1184" t="s">
        <v>1061</v>
      </c>
      <c r="C95" s="1178" t="s">
        <v>1076</v>
      </c>
      <c r="D95" s="1179"/>
      <c r="E95" s="1185"/>
      <c r="F95" s="1194"/>
      <c r="G95" s="1194"/>
      <c r="H95" s="25"/>
      <c r="I95" s="25"/>
      <c r="J95" s="74"/>
      <c r="K95" s="1198"/>
      <c r="O95" s="31"/>
    </row>
    <row r="96" spans="1:15" ht="15">
      <c r="A96" s="287"/>
      <c r="B96" s="19"/>
      <c r="C96" s="43"/>
      <c r="D96" s="19"/>
      <c r="E96" s="54"/>
      <c r="I96" s="1"/>
      <c r="J96" s="287"/>
      <c r="K96" s="7"/>
      <c r="O96" s="31"/>
    </row>
    <row r="97" spans="1:15" ht="15" thickBot="1">
      <c r="I97" s="1"/>
      <c r="J97" s="287"/>
      <c r="K97" s="7"/>
      <c r="O97" s="31"/>
    </row>
    <row r="98" spans="1:15" ht="44.25" customHeight="1">
      <c r="A98" s="1657" t="s">
        <v>6</v>
      </c>
      <c r="B98" s="1657" t="s">
        <v>7</v>
      </c>
      <c r="C98" s="1657" t="s">
        <v>8</v>
      </c>
      <c r="D98" s="1657" t="s">
        <v>9</v>
      </c>
      <c r="E98" s="1657" t="s">
        <v>10</v>
      </c>
      <c r="F98" s="1657" t="s">
        <v>11</v>
      </c>
      <c r="G98" s="1657" t="s">
        <v>12</v>
      </c>
      <c r="H98" s="1657" t="s">
        <v>13</v>
      </c>
      <c r="I98" s="1677" t="s">
        <v>269</v>
      </c>
      <c r="J98" s="1657" t="s">
        <v>59</v>
      </c>
      <c r="K98" s="1720" t="s">
        <v>15</v>
      </c>
      <c r="L98" s="1668" t="s">
        <v>636</v>
      </c>
      <c r="M98" s="1650"/>
      <c r="N98" s="1650"/>
      <c r="O98" s="1669"/>
    </row>
    <row r="99" spans="1:15" ht="39" customHeight="1">
      <c r="A99" s="1657"/>
      <c r="B99" s="1657"/>
      <c r="C99" s="1657"/>
      <c r="D99" s="1657"/>
      <c r="E99" s="1657"/>
      <c r="F99" s="1657"/>
      <c r="G99" s="1657"/>
      <c r="H99" s="1657"/>
      <c r="I99" s="1677"/>
      <c r="J99" s="1657"/>
      <c r="K99" s="1720"/>
      <c r="L99" s="1679" t="s">
        <v>637</v>
      </c>
      <c r="M99" s="1654"/>
      <c r="N99" s="1654"/>
      <c r="O99" s="1680"/>
    </row>
    <row r="100" spans="1:15" ht="27" customHeight="1" thickBot="1">
      <c r="A100" s="1657"/>
      <c r="B100" s="1657"/>
      <c r="C100" s="1657"/>
      <c r="D100" s="1657"/>
      <c r="E100" s="1657"/>
      <c r="F100" s="1657"/>
      <c r="G100" s="1657"/>
      <c r="H100" s="1657"/>
      <c r="I100" s="1677"/>
      <c r="J100" s="1657"/>
      <c r="K100" s="1720"/>
      <c r="L100" s="263" t="s">
        <v>638</v>
      </c>
      <c r="M100" s="270" t="s">
        <v>639</v>
      </c>
      <c r="N100" s="270" t="s">
        <v>640</v>
      </c>
      <c r="O100" s="265" t="s">
        <v>16</v>
      </c>
    </row>
    <row r="101" spans="1:15" ht="29.25">
      <c r="A101" s="579" t="s">
        <v>26</v>
      </c>
      <c r="B101" s="3" t="s">
        <v>78</v>
      </c>
      <c r="C101" s="4" t="s">
        <v>525</v>
      </c>
      <c r="D101" s="3" t="s">
        <v>547</v>
      </c>
      <c r="E101" s="4">
        <v>1</v>
      </c>
      <c r="F101" s="4" t="s">
        <v>527</v>
      </c>
      <c r="G101" s="4" t="s">
        <v>525</v>
      </c>
      <c r="H101" s="695" t="s">
        <v>798</v>
      </c>
      <c r="I101" s="22">
        <v>71030877</v>
      </c>
      <c r="J101" s="386" t="s">
        <v>28</v>
      </c>
      <c r="K101" s="8">
        <v>5</v>
      </c>
      <c r="L101" s="32">
        <f>16530-12889</f>
        <v>3641</v>
      </c>
      <c r="M101" s="33"/>
      <c r="N101" s="33"/>
      <c r="O101" s="32">
        <f>L101</f>
        <v>3641</v>
      </c>
    </row>
    <row r="102" spans="1:15" ht="30" thickBot="1">
      <c r="A102" s="579" t="s">
        <v>26</v>
      </c>
      <c r="B102" s="9" t="s">
        <v>78</v>
      </c>
      <c r="C102" s="6" t="s">
        <v>525</v>
      </c>
      <c r="D102" s="9" t="s">
        <v>548</v>
      </c>
      <c r="E102" s="6">
        <v>3</v>
      </c>
      <c r="F102" s="4" t="s">
        <v>527</v>
      </c>
      <c r="G102" s="4" t="s">
        <v>525</v>
      </c>
      <c r="H102" s="695" t="s">
        <v>799</v>
      </c>
      <c r="I102" s="22">
        <v>848384</v>
      </c>
      <c r="J102" s="386" t="s">
        <v>28</v>
      </c>
      <c r="K102" s="8">
        <v>5</v>
      </c>
      <c r="L102" s="32">
        <f>3771-3108</f>
        <v>663</v>
      </c>
      <c r="M102" s="33"/>
      <c r="N102" s="33"/>
      <c r="O102" s="32">
        <f>L102</f>
        <v>663</v>
      </c>
    </row>
    <row r="103" spans="1:15" ht="15">
      <c r="B103" s="1180" t="s">
        <v>22</v>
      </c>
      <c r="C103" s="1171" t="s">
        <v>78</v>
      </c>
      <c r="D103" s="1172"/>
      <c r="E103" s="1181"/>
      <c r="H103" s="1622" t="s">
        <v>1920</v>
      </c>
      <c r="I103" s="1199" t="s">
        <v>78</v>
      </c>
      <c r="J103" s="1200"/>
      <c r="K103" s="1142"/>
      <c r="N103" s="32" t="s">
        <v>23</v>
      </c>
      <c r="O103" s="580">
        <f>SUM(O101:O102)</f>
        <v>4304</v>
      </c>
    </row>
    <row r="104" spans="1:15" ht="15">
      <c r="B104" s="1182"/>
      <c r="C104" s="1175" t="s">
        <v>1666</v>
      </c>
      <c r="D104" s="1176"/>
      <c r="E104" s="1183"/>
      <c r="H104" s="1201"/>
      <c r="I104" s="822" t="s">
        <v>1666</v>
      </c>
      <c r="J104" s="1202"/>
      <c r="K104" s="1143"/>
      <c r="O104" s="31"/>
    </row>
    <row r="105" spans="1:15" ht="15.75" thickBot="1">
      <c r="B105" s="1182"/>
      <c r="C105" s="1175" t="s">
        <v>530</v>
      </c>
      <c r="D105" s="1176"/>
      <c r="E105" s="1183"/>
      <c r="H105" s="1228"/>
      <c r="I105" s="920" t="s">
        <v>530</v>
      </c>
      <c r="J105" s="1210"/>
      <c r="K105" s="1145"/>
      <c r="O105" s="31"/>
    </row>
    <row r="106" spans="1:15" ht="15">
      <c r="B106" s="1215" t="s">
        <v>160</v>
      </c>
      <c r="C106" s="1175" t="s">
        <v>1900</v>
      </c>
      <c r="D106" s="1176"/>
      <c r="E106" s="1183"/>
      <c r="I106" s="1"/>
      <c r="J106" s="287"/>
      <c r="K106" s="7"/>
      <c r="O106" s="31"/>
    </row>
    <row r="107" spans="1:15" ht="15.75" thickBot="1">
      <c r="A107" s="287"/>
      <c r="B107" s="1184" t="s">
        <v>1061</v>
      </c>
      <c r="C107" s="1178" t="s">
        <v>1901</v>
      </c>
      <c r="D107" s="1179"/>
      <c r="E107" s="1185"/>
      <c r="I107" s="1"/>
      <c r="J107" s="287"/>
      <c r="K107" s="7"/>
      <c r="O107" s="31"/>
    </row>
    <row r="108" spans="1:15" ht="15">
      <c r="A108" s="287"/>
      <c r="B108" s="19"/>
      <c r="C108" s="43"/>
      <c r="D108" s="19"/>
      <c r="E108" s="54"/>
      <c r="I108" s="1"/>
      <c r="J108" s="287"/>
      <c r="K108" s="7"/>
      <c r="O108" s="31"/>
    </row>
    <row r="109" spans="1:15" ht="15" thickBot="1">
      <c r="I109" s="1"/>
      <c r="J109" s="287"/>
      <c r="K109" s="7"/>
      <c r="O109" s="31"/>
    </row>
    <row r="110" spans="1:15" ht="44.25" customHeight="1">
      <c r="A110" s="1657" t="s">
        <v>6</v>
      </c>
      <c r="B110" s="1657" t="s">
        <v>7</v>
      </c>
      <c r="C110" s="1657" t="s">
        <v>8</v>
      </c>
      <c r="D110" s="1657" t="s">
        <v>9</v>
      </c>
      <c r="E110" s="1657" t="s">
        <v>10</v>
      </c>
      <c r="F110" s="1657" t="s">
        <v>11</v>
      </c>
      <c r="G110" s="1657" t="s">
        <v>12</v>
      </c>
      <c r="H110" s="1657" t="s">
        <v>13</v>
      </c>
      <c r="I110" s="1677" t="s">
        <v>269</v>
      </c>
      <c r="J110" s="1657" t="s">
        <v>59</v>
      </c>
      <c r="K110" s="1720" t="s">
        <v>15</v>
      </c>
      <c r="L110" s="1668" t="s">
        <v>636</v>
      </c>
      <c r="M110" s="1650"/>
      <c r="N110" s="1650"/>
      <c r="O110" s="1669"/>
    </row>
    <row r="111" spans="1:15" ht="36" customHeight="1">
      <c r="A111" s="1657"/>
      <c r="B111" s="1657"/>
      <c r="C111" s="1657"/>
      <c r="D111" s="1657"/>
      <c r="E111" s="1657"/>
      <c r="F111" s="1657"/>
      <c r="G111" s="1657"/>
      <c r="H111" s="1657"/>
      <c r="I111" s="1677"/>
      <c r="J111" s="1657"/>
      <c r="K111" s="1720"/>
      <c r="L111" s="1679" t="s">
        <v>637</v>
      </c>
      <c r="M111" s="1654"/>
      <c r="N111" s="1654"/>
      <c r="O111" s="1680"/>
    </row>
    <row r="112" spans="1:15" ht="30" customHeight="1" thickBot="1">
      <c r="A112" s="1657"/>
      <c r="B112" s="1657"/>
      <c r="C112" s="1657"/>
      <c r="D112" s="1657"/>
      <c r="E112" s="1657"/>
      <c r="F112" s="1657"/>
      <c r="G112" s="1657"/>
      <c r="H112" s="1657"/>
      <c r="I112" s="1677"/>
      <c r="J112" s="1657"/>
      <c r="K112" s="1720"/>
      <c r="L112" s="263" t="s">
        <v>638</v>
      </c>
      <c r="M112" s="270" t="s">
        <v>639</v>
      </c>
      <c r="N112" s="270" t="s">
        <v>640</v>
      </c>
      <c r="O112" s="265" t="s">
        <v>16</v>
      </c>
    </row>
    <row r="113" spans="1:15" ht="43.5">
      <c r="A113" s="579" t="s">
        <v>26</v>
      </c>
      <c r="B113" s="351" t="s">
        <v>1903</v>
      </c>
      <c r="C113" s="4" t="s">
        <v>525</v>
      </c>
      <c r="D113" s="3" t="s">
        <v>574</v>
      </c>
      <c r="E113" s="4"/>
      <c r="F113" s="4" t="s">
        <v>527</v>
      </c>
      <c r="G113" s="22" t="s">
        <v>525</v>
      </c>
      <c r="H113" s="695" t="s">
        <v>904</v>
      </c>
      <c r="I113" s="22">
        <v>102301</v>
      </c>
      <c r="J113" s="386" t="s">
        <v>28</v>
      </c>
      <c r="K113" s="8">
        <v>36</v>
      </c>
      <c r="L113" s="32">
        <f>30880-28263</f>
        <v>2617</v>
      </c>
      <c r="M113" s="33"/>
      <c r="N113" s="33"/>
      <c r="O113" s="32">
        <f>L113</f>
        <v>2617</v>
      </c>
    </row>
    <row r="114" spans="1:15" ht="44.25" thickBot="1">
      <c r="A114" s="579" t="s">
        <v>26</v>
      </c>
      <c r="B114" s="351" t="s">
        <v>1903</v>
      </c>
      <c r="C114" s="6" t="s">
        <v>525</v>
      </c>
      <c r="D114" s="9" t="s">
        <v>574</v>
      </c>
      <c r="E114" s="6">
        <v>2</v>
      </c>
      <c r="F114" s="4" t="s">
        <v>527</v>
      </c>
      <c r="G114" s="22" t="s">
        <v>525</v>
      </c>
      <c r="H114" s="695" t="s">
        <v>905</v>
      </c>
      <c r="I114" s="22">
        <v>848344</v>
      </c>
      <c r="J114" s="386" t="s">
        <v>28</v>
      </c>
      <c r="K114" s="8">
        <v>10</v>
      </c>
      <c r="L114" s="32">
        <f>231016-180002</f>
        <v>51014</v>
      </c>
      <c r="M114" s="33"/>
      <c r="N114" s="33"/>
      <c r="O114" s="32">
        <f>L114</f>
        <v>51014</v>
      </c>
    </row>
    <row r="115" spans="1:15" ht="15">
      <c r="B115" s="1180" t="s">
        <v>22</v>
      </c>
      <c r="C115" s="1171" t="s">
        <v>586</v>
      </c>
      <c r="D115" s="1172"/>
      <c r="E115" s="1181"/>
      <c r="F115" s="1204"/>
      <c r="G115" s="1204"/>
      <c r="H115" s="1622" t="s">
        <v>1920</v>
      </c>
      <c r="I115" s="1199" t="s">
        <v>1902</v>
      </c>
      <c r="J115" s="1200"/>
      <c r="K115" s="1142"/>
      <c r="N115" s="32" t="s">
        <v>23</v>
      </c>
      <c r="O115" s="580">
        <f>SUM(O113:O114)</f>
        <v>53631</v>
      </c>
    </row>
    <row r="116" spans="1:15" ht="15">
      <c r="B116" s="1182"/>
      <c r="C116" s="1175" t="s">
        <v>1662</v>
      </c>
      <c r="D116" s="1176"/>
      <c r="E116" s="1183"/>
      <c r="F116" s="1204"/>
      <c r="G116" s="1204"/>
      <c r="H116" s="1201"/>
      <c r="I116" s="822" t="s">
        <v>1667</v>
      </c>
      <c r="J116" s="1202"/>
      <c r="K116" s="1143"/>
      <c r="O116" s="31"/>
    </row>
    <row r="117" spans="1:15" ht="15">
      <c r="B117" s="1182"/>
      <c r="C117" s="1175" t="s">
        <v>530</v>
      </c>
      <c r="D117" s="1176"/>
      <c r="E117" s="1183"/>
      <c r="F117" s="1204"/>
      <c r="G117" s="1204"/>
      <c r="H117" s="1201"/>
      <c r="I117" s="822" t="s">
        <v>530</v>
      </c>
      <c r="J117" s="1202"/>
      <c r="K117" s="1143"/>
      <c r="O117" s="31"/>
    </row>
    <row r="118" spans="1:15" ht="15.75" thickBot="1">
      <c r="B118" s="1215" t="s">
        <v>160</v>
      </c>
      <c r="C118" s="1175" t="s">
        <v>1664</v>
      </c>
      <c r="D118" s="1176"/>
      <c r="E118" s="1183"/>
      <c r="F118" s="1204"/>
      <c r="G118" s="1204"/>
      <c r="H118" s="1208"/>
      <c r="I118" s="1209"/>
      <c r="J118" s="1210"/>
      <c r="K118" s="1145"/>
      <c r="O118" s="31"/>
    </row>
    <row r="119" spans="1:15" ht="15.75" thickBot="1">
      <c r="A119" s="287"/>
      <c r="B119" s="1184" t="s">
        <v>1061</v>
      </c>
      <c r="C119" s="1178" t="s">
        <v>1076</v>
      </c>
      <c r="D119" s="1179"/>
      <c r="E119" s="1185"/>
      <c r="F119" s="1204"/>
      <c r="G119" s="1204"/>
      <c r="H119" s="1213"/>
      <c r="I119" s="1213"/>
      <c r="J119" s="1214"/>
      <c r="K119" s="1198"/>
      <c r="O119" s="31"/>
    </row>
    <row r="120" spans="1:15" ht="15">
      <c r="A120" s="287"/>
      <c r="B120" s="19"/>
      <c r="C120" s="43"/>
      <c r="D120" s="19"/>
      <c r="E120" s="14"/>
      <c r="F120" s="54"/>
      <c r="G120" s="54"/>
      <c r="I120" s="1"/>
      <c r="J120" s="287"/>
      <c r="K120" s="7"/>
      <c r="O120" s="31"/>
    </row>
    <row r="121" spans="1:15" ht="15" thickBot="1">
      <c r="I121" s="1"/>
      <c r="J121" s="287"/>
      <c r="K121" s="7"/>
      <c r="O121" s="31"/>
    </row>
    <row r="122" spans="1:15" ht="44.25" customHeight="1">
      <c r="A122" s="1657" t="s">
        <v>6</v>
      </c>
      <c r="B122" s="1657" t="s">
        <v>7</v>
      </c>
      <c r="C122" s="1657" t="s">
        <v>8</v>
      </c>
      <c r="D122" s="1657" t="s">
        <v>9</v>
      </c>
      <c r="E122" s="1657" t="s">
        <v>812</v>
      </c>
      <c r="F122" s="1657" t="s">
        <v>11</v>
      </c>
      <c r="G122" s="1657" t="s">
        <v>12</v>
      </c>
      <c r="H122" s="1657" t="s">
        <v>13</v>
      </c>
      <c r="I122" s="1677" t="s">
        <v>269</v>
      </c>
      <c r="J122" s="1657" t="s">
        <v>59</v>
      </c>
      <c r="K122" s="1720" t="s">
        <v>15</v>
      </c>
      <c r="L122" s="1668" t="s">
        <v>636</v>
      </c>
      <c r="M122" s="1650"/>
      <c r="N122" s="1650"/>
      <c r="O122" s="1669"/>
    </row>
    <row r="123" spans="1:15" ht="40.5" customHeight="1">
      <c r="A123" s="1657"/>
      <c r="B123" s="1657"/>
      <c r="C123" s="1657"/>
      <c r="D123" s="1657"/>
      <c r="E123" s="1657"/>
      <c r="F123" s="1657"/>
      <c r="G123" s="1657"/>
      <c r="H123" s="1657"/>
      <c r="I123" s="1677"/>
      <c r="J123" s="1657"/>
      <c r="K123" s="1720"/>
      <c r="L123" s="1679" t="s">
        <v>637</v>
      </c>
      <c r="M123" s="1654"/>
      <c r="N123" s="1654"/>
      <c r="O123" s="1680"/>
    </row>
    <row r="124" spans="1:15" ht="25.5" customHeight="1" thickBot="1">
      <c r="A124" s="1657"/>
      <c r="B124" s="1657"/>
      <c r="C124" s="1657"/>
      <c r="D124" s="1657"/>
      <c r="E124" s="1657"/>
      <c r="F124" s="1657"/>
      <c r="G124" s="1657"/>
      <c r="H124" s="1657"/>
      <c r="I124" s="1677"/>
      <c r="J124" s="1657"/>
      <c r="K124" s="1720"/>
      <c r="L124" s="263" t="s">
        <v>638</v>
      </c>
      <c r="M124" s="270" t="s">
        <v>639</v>
      </c>
      <c r="N124" s="270" t="s">
        <v>640</v>
      </c>
      <c r="O124" s="265" t="s">
        <v>16</v>
      </c>
    </row>
    <row r="125" spans="1:15" ht="30" thickBot="1">
      <c r="A125" s="579" t="s">
        <v>26</v>
      </c>
      <c r="B125" s="9" t="s">
        <v>575</v>
      </c>
      <c r="C125" s="6" t="s">
        <v>525</v>
      </c>
      <c r="D125" s="9" t="s">
        <v>546</v>
      </c>
      <c r="E125" s="6" t="s">
        <v>1024</v>
      </c>
      <c r="F125" s="4" t="s">
        <v>527</v>
      </c>
      <c r="G125" s="22" t="s">
        <v>525</v>
      </c>
      <c r="H125" s="695" t="s">
        <v>1025</v>
      </c>
      <c r="I125" s="22">
        <v>83563959</v>
      </c>
      <c r="J125" s="386" t="s">
        <v>28</v>
      </c>
      <c r="K125" s="8">
        <v>4</v>
      </c>
      <c r="L125" s="32">
        <f>3423-821</f>
        <v>2602</v>
      </c>
      <c r="M125" s="33"/>
      <c r="N125" s="33"/>
      <c r="O125" s="32">
        <f>L125</f>
        <v>2602</v>
      </c>
    </row>
    <row r="126" spans="1:15" ht="15">
      <c r="A126" s="262"/>
      <c r="B126" s="1180" t="s">
        <v>22</v>
      </c>
      <c r="C126" s="1171" t="s">
        <v>586</v>
      </c>
      <c r="D126" s="1172"/>
      <c r="E126" s="1181"/>
      <c r="F126" s="1186"/>
      <c r="G126" s="1194"/>
      <c r="H126" s="1622" t="s">
        <v>1920</v>
      </c>
      <c r="I126" s="1171" t="s">
        <v>575</v>
      </c>
      <c r="J126" s="1172"/>
      <c r="K126" s="1195"/>
      <c r="N126" s="32" t="s">
        <v>23</v>
      </c>
      <c r="O126" s="580">
        <f>SUM(O125)</f>
        <v>2602</v>
      </c>
    </row>
    <row r="127" spans="1:15" ht="15">
      <c r="B127" s="1182"/>
      <c r="C127" s="1175" t="s">
        <v>1662</v>
      </c>
      <c r="D127" s="1176"/>
      <c r="E127" s="1183"/>
      <c r="F127" s="1186"/>
      <c r="G127" s="1194"/>
      <c r="H127" s="1174"/>
      <c r="I127" s="1175" t="s">
        <v>1668</v>
      </c>
      <c r="J127" s="1176"/>
      <c r="K127" s="1196"/>
      <c r="O127" s="31"/>
    </row>
    <row r="128" spans="1:15" ht="15">
      <c r="B128" s="1182"/>
      <c r="C128" s="1175" t="s">
        <v>530</v>
      </c>
      <c r="D128" s="1176"/>
      <c r="E128" s="1183"/>
      <c r="F128" s="1186"/>
      <c r="G128" s="1194"/>
      <c r="H128" s="1174"/>
      <c r="I128" s="1175" t="s">
        <v>530</v>
      </c>
      <c r="J128" s="1176"/>
      <c r="K128" s="1196"/>
      <c r="O128" s="31"/>
    </row>
    <row r="129" spans="1:15" ht="15.75" thickBot="1">
      <c r="B129" s="1215" t="s">
        <v>160</v>
      </c>
      <c r="C129" s="1175" t="s">
        <v>1664</v>
      </c>
      <c r="D129" s="1176"/>
      <c r="E129" s="1183"/>
      <c r="F129" s="1186"/>
      <c r="G129" s="1194"/>
      <c r="H129" s="1191"/>
      <c r="I129" s="1178"/>
      <c r="J129" s="1179"/>
      <c r="K129" s="1197"/>
      <c r="O129" s="31"/>
    </row>
    <row r="130" spans="1:15" ht="15.75" thickBot="1">
      <c r="A130" s="287"/>
      <c r="B130" s="1184" t="s">
        <v>1061</v>
      </c>
      <c r="C130" s="1178" t="s">
        <v>1076</v>
      </c>
      <c r="D130" s="1179"/>
      <c r="E130" s="1185"/>
      <c r="F130" s="1186"/>
      <c r="G130" s="1194"/>
      <c r="H130" s="1194"/>
      <c r="I130" s="1194"/>
      <c r="J130" s="1216"/>
      <c r="K130" s="1217"/>
      <c r="O130" s="31"/>
    </row>
    <row r="131" spans="1:15" ht="15">
      <c r="A131" s="287"/>
      <c r="B131" s="19"/>
      <c r="C131" s="43"/>
      <c r="D131" s="19"/>
      <c r="E131" s="54"/>
      <c r="F131" s="54"/>
      <c r="I131" s="1"/>
      <c r="J131" s="287"/>
      <c r="K131" s="7"/>
      <c r="O131" s="31"/>
    </row>
    <row r="132" spans="1:15" ht="15" thickBot="1">
      <c r="I132" s="1"/>
      <c r="J132" s="287"/>
      <c r="K132" s="7"/>
      <c r="O132" s="31"/>
    </row>
    <row r="133" spans="1:15" ht="46.5" customHeight="1">
      <c r="A133" s="1657" t="s">
        <v>6</v>
      </c>
      <c r="B133" s="1657" t="s">
        <v>7</v>
      </c>
      <c r="C133" s="1657" t="s">
        <v>8</v>
      </c>
      <c r="D133" s="1657" t="s">
        <v>9</v>
      </c>
      <c r="E133" s="1657" t="s">
        <v>10</v>
      </c>
      <c r="F133" s="1657" t="s">
        <v>11</v>
      </c>
      <c r="G133" s="1657" t="s">
        <v>12</v>
      </c>
      <c r="H133" s="1657" t="s">
        <v>13</v>
      </c>
      <c r="I133" s="1677" t="s">
        <v>269</v>
      </c>
      <c r="J133" s="1657" t="s">
        <v>59</v>
      </c>
      <c r="K133" s="1720" t="s">
        <v>15</v>
      </c>
      <c r="L133" s="1668" t="s">
        <v>636</v>
      </c>
      <c r="M133" s="1650"/>
      <c r="N133" s="1650"/>
      <c r="O133" s="1669"/>
    </row>
    <row r="134" spans="1:15" ht="36" customHeight="1">
      <c r="A134" s="1657"/>
      <c r="B134" s="1657"/>
      <c r="C134" s="1657"/>
      <c r="D134" s="1657"/>
      <c r="E134" s="1657"/>
      <c r="F134" s="1657"/>
      <c r="G134" s="1657"/>
      <c r="H134" s="1657"/>
      <c r="I134" s="1677"/>
      <c r="J134" s="1657"/>
      <c r="K134" s="1720"/>
      <c r="L134" s="1679" t="s">
        <v>637</v>
      </c>
      <c r="M134" s="1654"/>
      <c r="N134" s="1654"/>
      <c r="O134" s="1680"/>
    </row>
    <row r="135" spans="1:15" ht="27.75" customHeight="1" thickBot="1">
      <c r="A135" s="1657"/>
      <c r="B135" s="1657"/>
      <c r="C135" s="1657"/>
      <c r="D135" s="1657"/>
      <c r="E135" s="1657"/>
      <c r="F135" s="1657"/>
      <c r="G135" s="1657"/>
      <c r="H135" s="1657"/>
      <c r="I135" s="1677"/>
      <c r="J135" s="1657"/>
      <c r="K135" s="1720"/>
      <c r="L135" s="263" t="s">
        <v>638</v>
      </c>
      <c r="M135" s="270" t="s">
        <v>639</v>
      </c>
      <c r="N135" s="270" t="s">
        <v>640</v>
      </c>
      <c r="O135" s="265" t="s">
        <v>16</v>
      </c>
    </row>
    <row r="136" spans="1:15" ht="58.5" thickBot="1">
      <c r="A136" s="579" t="s">
        <v>26</v>
      </c>
      <c r="B136" s="1561" t="s">
        <v>1904</v>
      </c>
      <c r="C136" s="6" t="s">
        <v>525</v>
      </c>
      <c r="D136" s="9" t="s">
        <v>577</v>
      </c>
      <c r="E136" s="6" t="s">
        <v>578</v>
      </c>
      <c r="F136" s="22" t="s">
        <v>527</v>
      </c>
      <c r="G136" s="22" t="s">
        <v>525</v>
      </c>
      <c r="H136" s="910" t="s">
        <v>902</v>
      </c>
      <c r="I136" s="22">
        <v>848205</v>
      </c>
      <c r="J136" s="377" t="s">
        <v>21</v>
      </c>
      <c r="K136" s="8">
        <v>126</v>
      </c>
      <c r="L136" s="32">
        <f>(17245.52-14638.44)*50</f>
        <v>130354</v>
      </c>
      <c r="M136" s="33"/>
      <c r="N136" s="33"/>
      <c r="O136" s="32">
        <f>L136</f>
        <v>130354</v>
      </c>
    </row>
    <row r="137" spans="1:15" ht="15">
      <c r="B137" s="1180" t="s">
        <v>22</v>
      </c>
      <c r="C137" s="1171" t="s">
        <v>586</v>
      </c>
      <c r="D137" s="1172"/>
      <c r="E137" s="1181"/>
      <c r="F137" s="25"/>
      <c r="G137" s="1194"/>
      <c r="H137" s="1622" t="s">
        <v>1920</v>
      </c>
      <c r="I137" s="1171" t="s">
        <v>1905</v>
      </c>
      <c r="J137" s="1172"/>
      <c r="K137" s="1195"/>
      <c r="N137" s="32" t="s">
        <v>23</v>
      </c>
      <c r="O137" s="580">
        <f>SUM(O136)</f>
        <v>130354</v>
      </c>
    </row>
    <row r="138" spans="1:15" ht="15">
      <c r="B138" s="1182"/>
      <c r="C138" s="1175" t="s">
        <v>1662</v>
      </c>
      <c r="D138" s="1176"/>
      <c r="E138" s="1183"/>
      <c r="F138" s="25"/>
      <c r="G138" s="1194"/>
      <c r="H138" s="1174"/>
      <c r="I138" s="1175" t="s">
        <v>1669</v>
      </c>
      <c r="J138" s="1176"/>
      <c r="K138" s="1196"/>
      <c r="O138" s="31"/>
    </row>
    <row r="139" spans="1:15" ht="15">
      <c r="B139" s="1182"/>
      <c r="C139" s="1175" t="s">
        <v>530</v>
      </c>
      <c r="D139" s="1176"/>
      <c r="E139" s="1183"/>
      <c r="F139" s="25"/>
      <c r="G139" s="1194"/>
      <c r="H139" s="1174"/>
      <c r="I139" s="1175" t="s">
        <v>530</v>
      </c>
      <c r="J139" s="1176"/>
      <c r="K139" s="1196"/>
      <c r="O139" s="31"/>
    </row>
    <row r="140" spans="1:15" ht="15.75" thickBot="1">
      <c r="B140" s="1215" t="s">
        <v>160</v>
      </c>
      <c r="C140" s="1175" t="s">
        <v>1664</v>
      </c>
      <c r="D140" s="1176"/>
      <c r="E140" s="1183"/>
      <c r="F140" s="25"/>
      <c r="G140" s="1194"/>
      <c r="H140" s="1191"/>
      <c r="I140" s="1178"/>
      <c r="J140" s="1179"/>
      <c r="K140" s="1197"/>
      <c r="O140" s="31"/>
    </row>
    <row r="141" spans="1:15" ht="15.75" thickBot="1">
      <c r="A141" s="287"/>
      <c r="B141" s="1184" t="s">
        <v>1061</v>
      </c>
      <c r="C141" s="1178" t="s">
        <v>1076</v>
      </c>
      <c r="D141" s="1179"/>
      <c r="E141" s="1185"/>
      <c r="F141" s="25"/>
      <c r="G141" s="1194"/>
      <c r="H141" s="1194"/>
      <c r="I141" s="1194"/>
      <c r="J141" s="1216"/>
      <c r="K141" s="1217"/>
      <c r="O141" s="31"/>
    </row>
    <row r="142" spans="1:15" ht="15">
      <c r="A142" s="287"/>
      <c r="B142" s="19"/>
      <c r="C142" s="43"/>
      <c r="D142" s="19"/>
      <c r="E142" s="54"/>
      <c r="I142" s="1"/>
      <c r="J142" s="287"/>
      <c r="K142" s="7"/>
      <c r="O142" s="31"/>
    </row>
    <row r="143" spans="1:15" ht="15" thickBot="1">
      <c r="I143" s="1"/>
      <c r="J143" s="287"/>
      <c r="K143" s="7"/>
      <c r="O143" s="31"/>
    </row>
    <row r="144" spans="1:15" ht="44.25" customHeight="1">
      <c r="A144" s="1657" t="s">
        <v>6</v>
      </c>
      <c r="B144" s="1657" t="s">
        <v>7</v>
      </c>
      <c r="C144" s="1657" t="s">
        <v>8</v>
      </c>
      <c r="D144" s="1657" t="s">
        <v>9</v>
      </c>
      <c r="E144" s="1657" t="s">
        <v>10</v>
      </c>
      <c r="F144" s="1657" t="s">
        <v>11</v>
      </c>
      <c r="G144" s="1657" t="s">
        <v>12</v>
      </c>
      <c r="H144" s="1657" t="s">
        <v>13</v>
      </c>
      <c r="I144" s="1677" t="s">
        <v>269</v>
      </c>
      <c r="J144" s="1657" t="s">
        <v>59</v>
      </c>
      <c r="K144" s="1720" t="s">
        <v>15</v>
      </c>
      <c r="L144" s="1668" t="s">
        <v>636</v>
      </c>
      <c r="M144" s="1650"/>
      <c r="N144" s="1650"/>
      <c r="O144" s="1669"/>
    </row>
    <row r="145" spans="1:15" ht="33.75" customHeight="1">
      <c r="A145" s="1657"/>
      <c r="B145" s="1657"/>
      <c r="C145" s="1657"/>
      <c r="D145" s="1657"/>
      <c r="E145" s="1657"/>
      <c r="F145" s="1657"/>
      <c r="G145" s="1657"/>
      <c r="H145" s="1657"/>
      <c r="I145" s="1677"/>
      <c r="J145" s="1657"/>
      <c r="K145" s="1720"/>
      <c r="L145" s="1679" t="s">
        <v>637</v>
      </c>
      <c r="M145" s="1654"/>
      <c r="N145" s="1654"/>
      <c r="O145" s="1680"/>
    </row>
    <row r="146" spans="1:15" ht="23.25" customHeight="1" thickBot="1">
      <c r="A146" s="1657"/>
      <c r="B146" s="1657"/>
      <c r="C146" s="1657"/>
      <c r="D146" s="1657"/>
      <c r="E146" s="1657"/>
      <c r="F146" s="1657"/>
      <c r="G146" s="1657"/>
      <c r="H146" s="1657"/>
      <c r="I146" s="1677"/>
      <c r="J146" s="1657"/>
      <c r="K146" s="1720"/>
      <c r="L146" s="263" t="s">
        <v>638</v>
      </c>
      <c r="M146" s="270" t="s">
        <v>639</v>
      </c>
      <c r="N146" s="270" t="s">
        <v>640</v>
      </c>
      <c r="O146" s="265" t="s">
        <v>16</v>
      </c>
    </row>
    <row r="147" spans="1:15" ht="30.75" customHeight="1" thickBot="1">
      <c r="A147" s="579" t="s">
        <v>26</v>
      </c>
      <c r="B147" s="9" t="s">
        <v>579</v>
      </c>
      <c r="C147" s="581" t="s">
        <v>525</v>
      </c>
      <c r="D147" s="9" t="s">
        <v>547</v>
      </c>
      <c r="E147" s="4">
        <v>1</v>
      </c>
      <c r="F147" s="4" t="s">
        <v>527</v>
      </c>
      <c r="G147" s="22" t="s">
        <v>525</v>
      </c>
      <c r="H147" s="695" t="s">
        <v>802</v>
      </c>
      <c r="I147" s="22">
        <v>303640</v>
      </c>
      <c r="J147" s="29" t="s">
        <v>65</v>
      </c>
      <c r="K147" s="8">
        <v>6</v>
      </c>
      <c r="L147" s="33"/>
      <c r="M147" s="34">
        <f>21410-17188</f>
        <v>4222</v>
      </c>
      <c r="N147" s="34">
        <f>49550-38964</f>
        <v>10586</v>
      </c>
      <c r="O147" s="32">
        <f>SUM(M147:N147)</f>
        <v>14808</v>
      </c>
    </row>
    <row r="148" spans="1:15" ht="15">
      <c r="B148" s="1180" t="s">
        <v>22</v>
      </c>
      <c r="C148" s="1171" t="s">
        <v>586</v>
      </c>
      <c r="D148" s="1172"/>
      <c r="E148" s="1181"/>
      <c r="F148" s="25"/>
      <c r="G148" s="1194"/>
      <c r="H148" s="1622" t="s">
        <v>1920</v>
      </c>
      <c r="I148" s="1171" t="s">
        <v>1080</v>
      </c>
      <c r="J148" s="1172"/>
      <c r="K148" s="1195"/>
      <c r="N148" s="32" t="s">
        <v>23</v>
      </c>
      <c r="O148" s="580">
        <f>SUM(O147)</f>
        <v>14808</v>
      </c>
    </row>
    <row r="149" spans="1:15" ht="15">
      <c r="B149" s="1182"/>
      <c r="C149" s="1175" t="s">
        <v>1662</v>
      </c>
      <c r="D149" s="1176"/>
      <c r="E149" s="1183"/>
      <c r="F149" s="25"/>
      <c r="G149" s="1194"/>
      <c r="H149" s="1174"/>
      <c r="I149" s="1175" t="s">
        <v>1666</v>
      </c>
      <c r="J149" s="1176"/>
      <c r="K149" s="1196"/>
      <c r="O149" s="31"/>
    </row>
    <row r="150" spans="1:15" ht="15">
      <c r="B150" s="1182"/>
      <c r="C150" s="1175" t="s">
        <v>530</v>
      </c>
      <c r="D150" s="1176"/>
      <c r="E150" s="1183"/>
      <c r="F150" s="25"/>
      <c r="G150" s="1194"/>
      <c r="H150" s="1174"/>
      <c r="I150" s="1175" t="s">
        <v>530</v>
      </c>
      <c r="J150" s="1176"/>
      <c r="K150" s="1196"/>
      <c r="O150" s="31"/>
    </row>
    <row r="151" spans="1:15" ht="15.75" thickBot="1">
      <c r="B151" s="1215" t="s">
        <v>160</v>
      </c>
      <c r="C151" s="1175" t="s">
        <v>1664</v>
      </c>
      <c r="D151" s="1176"/>
      <c r="E151" s="1183"/>
      <c r="F151" s="25"/>
      <c r="G151" s="1194"/>
      <c r="H151" s="1191"/>
      <c r="I151" s="1178"/>
      <c r="J151" s="1179"/>
      <c r="K151" s="1197"/>
      <c r="O151" s="31"/>
    </row>
    <row r="152" spans="1:15" ht="15.75" thickBot="1">
      <c r="A152" s="287"/>
      <c r="B152" s="1184" t="s">
        <v>1061</v>
      </c>
      <c r="C152" s="1178" t="s">
        <v>1076</v>
      </c>
      <c r="D152" s="1179"/>
      <c r="E152" s="1185"/>
      <c r="F152" s="25"/>
      <c r="G152" s="25"/>
      <c r="H152" s="25"/>
      <c r="I152" s="25"/>
      <c r="J152" s="74"/>
      <c r="K152" s="1198"/>
      <c r="O152" s="31"/>
    </row>
    <row r="153" spans="1:15" ht="15">
      <c r="A153" s="287"/>
      <c r="B153" s="19"/>
      <c r="C153" s="14"/>
      <c r="D153" s="19"/>
      <c r="I153" s="1"/>
      <c r="J153" s="287"/>
      <c r="K153" s="7"/>
      <c r="O153" s="31"/>
    </row>
    <row r="154" spans="1:15" ht="15" thickBot="1">
      <c r="I154" s="1"/>
      <c r="J154" s="287"/>
      <c r="K154" s="7"/>
      <c r="O154" s="31"/>
    </row>
    <row r="155" spans="1:15" ht="44.25" customHeight="1">
      <c r="A155" s="1657" t="s">
        <v>6</v>
      </c>
      <c r="B155" s="1657" t="s">
        <v>7</v>
      </c>
      <c r="C155" s="1657" t="s">
        <v>8</v>
      </c>
      <c r="D155" s="1657" t="s">
        <v>9</v>
      </c>
      <c r="E155" s="1657" t="s">
        <v>10</v>
      </c>
      <c r="F155" s="1657" t="s">
        <v>11</v>
      </c>
      <c r="G155" s="1657" t="s">
        <v>12</v>
      </c>
      <c r="H155" s="1657" t="s">
        <v>13</v>
      </c>
      <c r="I155" s="1677" t="s">
        <v>269</v>
      </c>
      <c r="J155" s="1657" t="s">
        <v>59</v>
      </c>
      <c r="K155" s="1720" t="s">
        <v>15</v>
      </c>
      <c r="L155" s="1668" t="s">
        <v>636</v>
      </c>
      <c r="M155" s="1650"/>
      <c r="N155" s="1650"/>
      <c r="O155" s="1669"/>
    </row>
    <row r="156" spans="1:15" ht="33.75" customHeight="1">
      <c r="A156" s="1657"/>
      <c r="B156" s="1657"/>
      <c r="C156" s="1657"/>
      <c r="D156" s="1657"/>
      <c r="E156" s="1657"/>
      <c r="F156" s="1657"/>
      <c r="G156" s="1657"/>
      <c r="H156" s="1657"/>
      <c r="I156" s="1677"/>
      <c r="J156" s="1657"/>
      <c r="K156" s="1720"/>
      <c r="L156" s="1679" t="s">
        <v>637</v>
      </c>
      <c r="M156" s="1654"/>
      <c r="N156" s="1654"/>
      <c r="O156" s="1680"/>
    </row>
    <row r="157" spans="1:15" ht="30" customHeight="1" thickBot="1">
      <c r="A157" s="1657"/>
      <c r="B157" s="1657"/>
      <c r="C157" s="1657"/>
      <c r="D157" s="1657"/>
      <c r="E157" s="1657"/>
      <c r="F157" s="1657"/>
      <c r="G157" s="1657"/>
      <c r="H157" s="1657"/>
      <c r="I157" s="1677"/>
      <c r="J157" s="1657"/>
      <c r="K157" s="1720"/>
      <c r="L157" s="263" t="s">
        <v>638</v>
      </c>
      <c r="M157" s="270" t="s">
        <v>639</v>
      </c>
      <c r="N157" s="270" t="s">
        <v>640</v>
      </c>
      <c r="O157" s="265" t="s">
        <v>16</v>
      </c>
    </row>
    <row r="158" spans="1:15" ht="29.25">
      <c r="A158" s="579" t="s">
        <v>26</v>
      </c>
      <c r="B158" s="3" t="s">
        <v>581</v>
      </c>
      <c r="C158" s="4" t="s">
        <v>525</v>
      </c>
      <c r="D158" s="3" t="s">
        <v>249</v>
      </c>
      <c r="E158" s="4">
        <v>21</v>
      </c>
      <c r="F158" s="4" t="s">
        <v>527</v>
      </c>
      <c r="G158" s="22" t="s">
        <v>525</v>
      </c>
      <c r="H158" s="695" t="s">
        <v>800</v>
      </c>
      <c r="I158" s="22">
        <v>907721</v>
      </c>
      <c r="J158" s="386" t="s">
        <v>28</v>
      </c>
      <c r="K158" s="8">
        <v>16</v>
      </c>
      <c r="L158" s="32">
        <f>199654-142363</f>
        <v>57291</v>
      </c>
      <c r="M158" s="33"/>
      <c r="N158" s="33"/>
      <c r="O158" s="32">
        <f>L158</f>
        <v>57291</v>
      </c>
    </row>
    <row r="159" spans="1:15" ht="44.25" thickBot="1">
      <c r="A159" s="579" t="s">
        <v>26</v>
      </c>
      <c r="B159" s="9" t="s">
        <v>582</v>
      </c>
      <c r="C159" s="6" t="s">
        <v>525</v>
      </c>
      <c r="D159" s="9" t="s">
        <v>577</v>
      </c>
      <c r="E159" s="6" t="s">
        <v>583</v>
      </c>
      <c r="F159" s="4" t="s">
        <v>527</v>
      </c>
      <c r="G159" s="4" t="s">
        <v>525</v>
      </c>
      <c r="H159" s="695" t="s">
        <v>801</v>
      </c>
      <c r="I159" s="22">
        <v>908080</v>
      </c>
      <c r="J159" s="386" t="s">
        <v>28</v>
      </c>
      <c r="K159" s="8">
        <v>40</v>
      </c>
      <c r="L159" s="32">
        <f>105349-75207</f>
        <v>30142</v>
      </c>
      <c r="M159" s="33"/>
      <c r="N159" s="33"/>
      <c r="O159" s="32">
        <f>L159</f>
        <v>30142</v>
      </c>
    </row>
    <row r="160" spans="1:15" ht="34.5" customHeight="1">
      <c r="B160" s="1221" t="s">
        <v>22</v>
      </c>
      <c r="C160" s="1789" t="s">
        <v>1670</v>
      </c>
      <c r="D160" s="1789"/>
      <c r="E160" s="1203"/>
      <c r="F160" s="1204"/>
      <c r="G160" s="1204"/>
      <c r="H160" s="1622" t="s">
        <v>1920</v>
      </c>
      <c r="I160" s="1789" t="s">
        <v>1670</v>
      </c>
      <c r="J160" s="1789"/>
      <c r="K160" s="1218"/>
      <c r="N160" s="32" t="s">
        <v>23</v>
      </c>
      <c r="O160" s="580">
        <f>SUM(O158:O159)</f>
        <v>87433</v>
      </c>
    </row>
    <row r="161" spans="1:15" ht="15">
      <c r="B161" s="1205"/>
      <c r="C161" s="822" t="s">
        <v>1671</v>
      </c>
      <c r="D161" s="1202"/>
      <c r="E161" s="1206"/>
      <c r="F161" s="1204"/>
      <c r="G161" s="1204"/>
      <c r="H161" s="1201"/>
      <c r="I161" s="822" t="s">
        <v>1671</v>
      </c>
      <c r="J161" s="1202"/>
      <c r="K161" s="1219"/>
      <c r="O161" s="31"/>
    </row>
    <row r="162" spans="1:15" ht="15">
      <c r="B162" s="1205"/>
      <c r="C162" s="822" t="s">
        <v>530</v>
      </c>
      <c r="D162" s="1202"/>
      <c r="E162" s="1206"/>
      <c r="F162" s="1204"/>
      <c r="G162" s="1204"/>
      <c r="H162" s="1201"/>
      <c r="I162" s="822" t="s">
        <v>530</v>
      </c>
      <c r="J162" s="1202"/>
      <c r="K162" s="1219"/>
      <c r="O162" s="31"/>
    </row>
    <row r="163" spans="1:15" ht="15.75" thickBot="1">
      <c r="B163" s="1207" t="s">
        <v>160</v>
      </c>
      <c r="C163" s="822" t="s">
        <v>1674</v>
      </c>
      <c r="D163" s="1202"/>
      <c r="E163" s="1206"/>
      <c r="F163" s="1204"/>
      <c r="G163" s="1204"/>
      <c r="H163" s="1208"/>
      <c r="I163" s="920"/>
      <c r="J163" s="1210"/>
      <c r="K163" s="1220"/>
      <c r="O163" s="31"/>
    </row>
    <row r="164" spans="1:15" ht="15.75" thickBot="1">
      <c r="A164" s="287"/>
      <c r="B164" s="1211" t="s">
        <v>1061</v>
      </c>
      <c r="C164" s="920" t="s">
        <v>1079</v>
      </c>
      <c r="D164" s="1210"/>
      <c r="E164" s="1212"/>
      <c r="F164" s="1204"/>
      <c r="G164" s="1204"/>
      <c r="H164" s="1213"/>
      <c r="I164" s="1199"/>
      <c r="J164" s="1200"/>
      <c r="K164" s="1222"/>
      <c r="O164" s="31"/>
    </row>
    <row r="165" spans="1:15" ht="15">
      <c r="A165" s="1290"/>
      <c r="B165" s="1562"/>
      <c r="C165" s="822"/>
      <c r="D165" s="1202"/>
      <c r="E165" s="822"/>
      <c r="F165" s="1204"/>
      <c r="G165" s="1204"/>
      <c r="H165" s="1213"/>
      <c r="I165" s="822"/>
      <c r="J165" s="1202"/>
      <c r="K165" s="1222"/>
      <c r="O165" s="31"/>
    </row>
    <row r="166" spans="1:15" ht="15.75" thickBot="1">
      <c r="A166" s="1290"/>
      <c r="B166" s="1562"/>
      <c r="C166" s="822"/>
      <c r="D166" s="1202"/>
      <c r="E166" s="822"/>
      <c r="F166" s="1204"/>
      <c r="G166" s="1204"/>
      <c r="H166" s="1213"/>
      <c r="I166" s="822"/>
      <c r="J166" s="1202"/>
      <c r="K166" s="1222"/>
      <c r="O166" s="31"/>
    </row>
    <row r="167" spans="1:15" ht="45" customHeight="1">
      <c r="A167" s="1780" t="s">
        <v>6</v>
      </c>
      <c r="B167" s="1780" t="s">
        <v>7</v>
      </c>
      <c r="C167" s="1780" t="s">
        <v>8</v>
      </c>
      <c r="D167" s="1780" t="s">
        <v>9</v>
      </c>
      <c r="E167" s="1780" t="s">
        <v>10</v>
      </c>
      <c r="F167" s="1780" t="s">
        <v>11</v>
      </c>
      <c r="G167" s="1780" t="s">
        <v>12</v>
      </c>
      <c r="H167" s="1780" t="s">
        <v>13</v>
      </c>
      <c r="I167" s="1788" t="s">
        <v>269</v>
      </c>
      <c r="J167" s="1780" t="s">
        <v>59</v>
      </c>
      <c r="K167" s="1787" t="s">
        <v>15</v>
      </c>
      <c r="L167" s="1781" t="s">
        <v>636</v>
      </c>
      <c r="M167" s="1782"/>
      <c r="N167" s="1782"/>
      <c r="O167" s="1783"/>
    </row>
    <row r="168" spans="1:15" ht="45" customHeight="1">
      <c r="A168" s="1780"/>
      <c r="B168" s="1780"/>
      <c r="C168" s="1780"/>
      <c r="D168" s="1780"/>
      <c r="E168" s="1780"/>
      <c r="F168" s="1780"/>
      <c r="G168" s="1780"/>
      <c r="H168" s="1780"/>
      <c r="I168" s="1788"/>
      <c r="J168" s="1780"/>
      <c r="K168" s="1787"/>
      <c r="L168" s="1784" t="s">
        <v>637</v>
      </c>
      <c r="M168" s="1785"/>
      <c r="N168" s="1785"/>
      <c r="O168" s="1786"/>
    </row>
    <row r="169" spans="1:15" ht="30.75" customHeight="1" thickBot="1">
      <c r="A169" s="1780"/>
      <c r="B169" s="1780"/>
      <c r="C169" s="1780"/>
      <c r="D169" s="1780"/>
      <c r="E169" s="1780"/>
      <c r="F169" s="1780"/>
      <c r="G169" s="1780"/>
      <c r="H169" s="1780"/>
      <c r="I169" s="1788"/>
      <c r="J169" s="1780"/>
      <c r="K169" s="1787"/>
      <c r="L169" s="1563" t="s">
        <v>638</v>
      </c>
      <c r="M169" s="1564" t="s">
        <v>639</v>
      </c>
      <c r="N169" s="1564" t="s">
        <v>640</v>
      </c>
      <c r="O169" s="1565" t="s">
        <v>16</v>
      </c>
    </row>
    <row r="170" spans="1:15" ht="30" thickBot="1">
      <c r="A170" s="1566" t="s">
        <v>26</v>
      </c>
      <c r="B170" s="196" t="s">
        <v>585</v>
      </c>
      <c r="C170" s="195" t="s">
        <v>525</v>
      </c>
      <c r="D170" s="196" t="s">
        <v>803</v>
      </c>
      <c r="E170" s="195">
        <v>2</v>
      </c>
      <c r="F170" s="195" t="s">
        <v>527</v>
      </c>
      <c r="G170" s="195" t="s">
        <v>525</v>
      </c>
      <c r="H170" s="1567" t="s">
        <v>770</v>
      </c>
      <c r="I170" s="350">
        <v>557074</v>
      </c>
      <c r="J170" s="1568" t="s">
        <v>21</v>
      </c>
      <c r="K170" s="1569">
        <v>60</v>
      </c>
      <c r="L170" s="1543">
        <f>(28608.74-24682.36)*20</f>
        <v>78527.60000000002</v>
      </c>
      <c r="M170" s="461"/>
      <c r="N170" s="461"/>
      <c r="O170" s="1543">
        <f>L170</f>
        <v>78527.60000000002</v>
      </c>
    </row>
    <row r="171" spans="1:15" ht="15">
      <c r="A171" s="1570"/>
      <c r="B171" s="1180" t="s">
        <v>22</v>
      </c>
      <c r="C171" s="1171" t="s">
        <v>586</v>
      </c>
      <c r="D171" s="1172"/>
      <c r="E171" s="1181"/>
      <c r="F171" s="1194"/>
      <c r="G171" s="1194"/>
      <c r="H171" s="1622" t="s">
        <v>1920</v>
      </c>
      <c r="I171" s="1171" t="s">
        <v>586</v>
      </c>
      <c r="J171" s="1172"/>
      <c r="K171" s="1195"/>
      <c r="L171" s="1571"/>
      <c r="M171" s="1571"/>
      <c r="N171" s="1572" t="s">
        <v>23</v>
      </c>
      <c r="O171" s="1573">
        <f>O170</f>
        <v>78527.60000000002</v>
      </c>
    </row>
    <row r="172" spans="1:15" ht="15">
      <c r="A172" s="1570"/>
      <c r="B172" s="1182"/>
      <c r="C172" s="1175" t="s">
        <v>1662</v>
      </c>
      <c r="D172" s="1176"/>
      <c r="E172" s="1183"/>
      <c r="F172" s="1194"/>
      <c r="G172" s="1194"/>
      <c r="H172" s="1174"/>
      <c r="I172" s="1175" t="s">
        <v>1662</v>
      </c>
      <c r="J172" s="1176"/>
      <c r="K172" s="1196"/>
      <c r="L172" s="1571"/>
      <c r="M172" s="1571"/>
      <c r="N172" s="1571"/>
      <c r="O172" s="1571"/>
    </row>
    <row r="173" spans="1:15" ht="15">
      <c r="A173" s="1570"/>
      <c r="B173" s="1182"/>
      <c r="C173" s="1175" t="s">
        <v>530</v>
      </c>
      <c r="D173" s="1176"/>
      <c r="E173" s="1183"/>
      <c r="F173" s="1194"/>
      <c r="G173" s="1186"/>
      <c r="H173" s="1174"/>
      <c r="I173" s="1175" t="s">
        <v>530</v>
      </c>
      <c r="J173" s="1176"/>
      <c r="K173" s="1196"/>
      <c r="L173" s="1571"/>
      <c r="M173" s="1571"/>
      <c r="N173" s="1571"/>
      <c r="O173" s="1571"/>
    </row>
    <row r="174" spans="1:15" ht="18.75" thickBot="1">
      <c r="A174" s="1574"/>
      <c r="B174" s="1215" t="s">
        <v>160</v>
      </c>
      <c r="C174" s="1175" t="s">
        <v>1664</v>
      </c>
      <c r="D174" s="1176"/>
      <c r="E174" s="1183"/>
      <c r="F174" s="1194"/>
      <c r="G174" s="1194"/>
      <c r="H174" s="1191"/>
      <c r="I174" s="1178"/>
      <c r="J174" s="1179"/>
      <c r="K174" s="1197"/>
      <c r="L174" s="1571"/>
      <c r="M174" s="1571"/>
      <c r="N174" s="1571"/>
      <c r="O174" s="1571"/>
    </row>
    <row r="175" spans="1:15" ht="18.75" thickBot="1">
      <c r="A175" s="1574"/>
      <c r="B175" s="1184" t="s">
        <v>1061</v>
      </c>
      <c r="C175" s="1178" t="s">
        <v>1076</v>
      </c>
      <c r="D175" s="1179"/>
      <c r="E175" s="1185"/>
      <c r="F175" s="1194"/>
      <c r="G175" s="1194"/>
      <c r="H175" s="1194"/>
      <c r="I175" s="1194"/>
      <c r="J175" s="1216"/>
      <c r="K175" s="1217"/>
      <c r="L175" s="1571"/>
      <c r="M175" s="1571"/>
      <c r="N175" s="1571"/>
      <c r="O175" s="1571"/>
    </row>
    <row r="176" spans="1:15" ht="18">
      <c r="A176" s="1574"/>
      <c r="B176" s="1575"/>
      <c r="C176" s="1186"/>
      <c r="D176" s="1575"/>
      <c r="E176" s="1186"/>
      <c r="F176" s="1186"/>
      <c r="G176" s="1186"/>
      <c r="H176" s="1576"/>
      <c r="I176" s="1186"/>
      <c r="J176" s="1577"/>
      <c r="K176" s="1578"/>
      <c r="L176" s="1579"/>
      <c r="M176" s="1579"/>
      <c r="N176" s="1579"/>
      <c r="O176" s="1579"/>
    </row>
    <row r="177" spans="1:15" ht="18.75" thickBot="1">
      <c r="A177" s="1574"/>
      <c r="B177" s="1575"/>
      <c r="C177" s="1186"/>
      <c r="D177" s="1575"/>
      <c r="E177" s="1186"/>
      <c r="F177" s="1186"/>
      <c r="G177" s="1186"/>
      <c r="H177" s="1576"/>
      <c r="I177" s="1186"/>
      <c r="J177" s="1577"/>
      <c r="K177" s="1578"/>
      <c r="L177" s="1579"/>
      <c r="M177" s="1579"/>
      <c r="N177" s="1579"/>
      <c r="O177" s="1579"/>
    </row>
    <row r="178" spans="1:15" ht="48" customHeight="1">
      <c r="A178" s="1780" t="s">
        <v>6</v>
      </c>
      <c r="B178" s="1780" t="s">
        <v>7</v>
      </c>
      <c r="C178" s="1780" t="s">
        <v>8</v>
      </c>
      <c r="D178" s="1780" t="s">
        <v>9</v>
      </c>
      <c r="E178" s="1780" t="s">
        <v>10</v>
      </c>
      <c r="F178" s="1780" t="s">
        <v>11</v>
      </c>
      <c r="G178" s="1780" t="s">
        <v>12</v>
      </c>
      <c r="H178" s="1780" t="s">
        <v>13</v>
      </c>
      <c r="I178" s="1788" t="s">
        <v>269</v>
      </c>
      <c r="J178" s="1780" t="s">
        <v>59</v>
      </c>
      <c r="K178" s="1787" t="s">
        <v>15</v>
      </c>
      <c r="L178" s="1781" t="s">
        <v>636</v>
      </c>
      <c r="M178" s="1782"/>
      <c r="N178" s="1782"/>
      <c r="O178" s="1783"/>
    </row>
    <row r="179" spans="1:15" ht="48" customHeight="1">
      <c r="A179" s="1780"/>
      <c r="B179" s="1780"/>
      <c r="C179" s="1780"/>
      <c r="D179" s="1780"/>
      <c r="E179" s="1780"/>
      <c r="F179" s="1780"/>
      <c r="G179" s="1780"/>
      <c r="H179" s="1780"/>
      <c r="I179" s="1788"/>
      <c r="J179" s="1780"/>
      <c r="K179" s="1787"/>
      <c r="L179" s="1784" t="s">
        <v>637</v>
      </c>
      <c r="M179" s="1785"/>
      <c r="N179" s="1785"/>
      <c r="O179" s="1786"/>
    </row>
    <row r="180" spans="1:15" ht="24.75" customHeight="1" thickBot="1">
      <c r="A180" s="1780"/>
      <c r="B180" s="1780"/>
      <c r="C180" s="1780"/>
      <c r="D180" s="1780"/>
      <c r="E180" s="1780"/>
      <c r="F180" s="1780"/>
      <c r="G180" s="1780"/>
      <c r="H180" s="1780"/>
      <c r="I180" s="1788"/>
      <c r="J180" s="1780"/>
      <c r="K180" s="1787"/>
      <c r="L180" s="1563" t="s">
        <v>638</v>
      </c>
      <c r="M180" s="1564" t="s">
        <v>639</v>
      </c>
      <c r="N180" s="1564" t="s">
        <v>640</v>
      </c>
      <c r="O180" s="1565" t="s">
        <v>16</v>
      </c>
    </row>
    <row r="181" spans="1:15" ht="18.75" thickBot="1">
      <c r="A181" s="1580" t="s">
        <v>26</v>
      </c>
      <c r="B181" s="1561" t="s">
        <v>587</v>
      </c>
      <c r="C181" s="1581" t="s">
        <v>525</v>
      </c>
      <c r="D181" s="1561" t="s">
        <v>588</v>
      </c>
      <c r="E181" s="1581">
        <v>15</v>
      </c>
      <c r="F181" s="195" t="s">
        <v>580</v>
      </c>
      <c r="G181" s="195" t="s">
        <v>525</v>
      </c>
      <c r="H181" s="1582" t="s">
        <v>772</v>
      </c>
      <c r="I181" s="1100">
        <v>357232</v>
      </c>
      <c r="J181" s="1583" t="s">
        <v>65</v>
      </c>
      <c r="K181" s="1584">
        <v>4</v>
      </c>
      <c r="L181" s="461"/>
      <c r="M181" s="1543">
        <f>17994-13489</f>
        <v>4505</v>
      </c>
      <c r="N181" s="1543">
        <f>47095-35556</f>
        <v>11539</v>
      </c>
      <c r="O181" s="1585">
        <f>SUM(M181:N181)</f>
        <v>16044</v>
      </c>
    </row>
    <row r="182" spans="1:15" ht="18">
      <c r="A182" s="1574"/>
      <c r="B182" s="1180" t="s">
        <v>22</v>
      </c>
      <c r="C182" s="1171" t="s">
        <v>586</v>
      </c>
      <c r="D182" s="1172"/>
      <c r="E182" s="1181"/>
      <c r="F182" s="1194"/>
      <c r="G182" s="1194"/>
      <c r="H182" s="1622" t="s">
        <v>1920</v>
      </c>
      <c r="I182" s="1171" t="s">
        <v>586</v>
      </c>
      <c r="J182" s="1172"/>
      <c r="K182" s="1195"/>
      <c r="L182" s="1571"/>
      <c r="M182" s="1571"/>
      <c r="N182" s="1572" t="s">
        <v>23</v>
      </c>
      <c r="O182" s="1573">
        <f>O181</f>
        <v>16044</v>
      </c>
    </row>
    <row r="183" spans="1:15" ht="18">
      <c r="A183" s="1574"/>
      <c r="B183" s="1182"/>
      <c r="C183" s="1175" t="s">
        <v>1662</v>
      </c>
      <c r="D183" s="1176"/>
      <c r="E183" s="1183"/>
      <c r="F183" s="1194"/>
      <c r="G183" s="1194"/>
      <c r="H183" s="1174"/>
      <c r="I183" s="1175" t="s">
        <v>1662</v>
      </c>
      <c r="J183" s="1176"/>
      <c r="K183" s="1196"/>
      <c r="L183" s="1571"/>
      <c r="M183" s="1571"/>
      <c r="N183" s="1571"/>
      <c r="O183" s="1571"/>
    </row>
    <row r="184" spans="1:15" ht="18">
      <c r="A184" s="1574"/>
      <c r="B184" s="1182"/>
      <c r="C184" s="1175" t="s">
        <v>530</v>
      </c>
      <c r="D184" s="1176"/>
      <c r="E184" s="1183"/>
      <c r="F184" s="1194"/>
      <c r="G184" s="1186"/>
      <c r="H184" s="1174"/>
      <c r="I184" s="1175" t="s">
        <v>530</v>
      </c>
      <c r="J184" s="1176"/>
      <c r="K184" s="1196"/>
      <c r="L184" s="1571"/>
      <c r="M184" s="1571"/>
      <c r="N184" s="1571"/>
      <c r="O184" s="1571"/>
    </row>
    <row r="185" spans="1:15" ht="18.75" thickBot="1">
      <c r="A185" s="1574"/>
      <c r="B185" s="1215" t="s">
        <v>160</v>
      </c>
      <c r="C185" s="1175" t="s">
        <v>1664</v>
      </c>
      <c r="D185" s="1176"/>
      <c r="E185" s="1183"/>
      <c r="F185" s="1194"/>
      <c r="G185" s="1194"/>
      <c r="H185" s="1191"/>
      <c r="I185" s="1178"/>
      <c r="J185" s="1179"/>
      <c r="K185" s="1197"/>
      <c r="L185" s="1571"/>
      <c r="M185" s="1571"/>
      <c r="N185" s="1571"/>
      <c r="O185" s="1571"/>
    </row>
    <row r="186" spans="1:15" ht="18.75" thickBot="1">
      <c r="A186" s="1574"/>
      <c r="B186" s="1184" t="s">
        <v>1061</v>
      </c>
      <c r="C186" s="1178" t="s">
        <v>1076</v>
      </c>
      <c r="D186" s="1179"/>
      <c r="E186" s="1185"/>
      <c r="F186" s="1194"/>
      <c r="G186" s="1194"/>
      <c r="H186" s="1194"/>
      <c r="I186" s="1194"/>
      <c r="J186" s="1216"/>
      <c r="K186" s="1217"/>
      <c r="L186" s="1571"/>
      <c r="M186" s="1571"/>
      <c r="N186" s="1571"/>
      <c r="O186" s="1571"/>
    </row>
    <row r="187" spans="1:15" ht="18.75" thickBot="1">
      <c r="A187" s="1574"/>
      <c r="B187" s="1575"/>
      <c r="C187" s="1186"/>
      <c r="D187" s="1575"/>
      <c r="E187" s="1186"/>
      <c r="F187" s="1186"/>
      <c r="G187" s="1186"/>
      <c r="H187" s="1576"/>
      <c r="I187" s="1186"/>
      <c r="J187" s="1577"/>
      <c r="K187" s="1578"/>
      <c r="L187" s="1579"/>
      <c r="M187" s="1579"/>
      <c r="N187" s="1579"/>
      <c r="O187" s="1579"/>
    </row>
    <row r="188" spans="1:15" ht="48.75" customHeight="1">
      <c r="A188" s="1780" t="s">
        <v>6</v>
      </c>
      <c r="B188" s="1780" t="s">
        <v>7</v>
      </c>
      <c r="C188" s="1780" t="s">
        <v>8</v>
      </c>
      <c r="D188" s="1780" t="s">
        <v>9</v>
      </c>
      <c r="E188" s="1780" t="s">
        <v>10</v>
      </c>
      <c r="F188" s="1780" t="s">
        <v>11</v>
      </c>
      <c r="G188" s="1780" t="s">
        <v>12</v>
      </c>
      <c r="H188" s="1780" t="s">
        <v>13</v>
      </c>
      <c r="I188" s="1788" t="s">
        <v>269</v>
      </c>
      <c r="J188" s="1780" t="s">
        <v>59</v>
      </c>
      <c r="K188" s="1787" t="s">
        <v>15</v>
      </c>
      <c r="L188" s="1781" t="s">
        <v>636</v>
      </c>
      <c r="M188" s="1782"/>
      <c r="N188" s="1782"/>
      <c r="O188" s="1783"/>
    </row>
    <row r="189" spans="1:15" ht="48.75" customHeight="1">
      <c r="A189" s="1780"/>
      <c r="B189" s="1780"/>
      <c r="C189" s="1780"/>
      <c r="D189" s="1780"/>
      <c r="E189" s="1780"/>
      <c r="F189" s="1780"/>
      <c r="G189" s="1780"/>
      <c r="H189" s="1780"/>
      <c r="I189" s="1788"/>
      <c r="J189" s="1780"/>
      <c r="K189" s="1787"/>
      <c r="L189" s="1784" t="s">
        <v>637</v>
      </c>
      <c r="M189" s="1785"/>
      <c r="N189" s="1785"/>
      <c r="O189" s="1786"/>
    </row>
    <row r="190" spans="1:15" ht="32.25" customHeight="1" thickBot="1">
      <c r="A190" s="1780"/>
      <c r="B190" s="1780"/>
      <c r="C190" s="1780"/>
      <c r="D190" s="1780"/>
      <c r="E190" s="1780"/>
      <c r="F190" s="1780"/>
      <c r="G190" s="1780"/>
      <c r="H190" s="1780"/>
      <c r="I190" s="1788"/>
      <c r="J190" s="1780"/>
      <c r="K190" s="1787"/>
      <c r="L190" s="1563" t="s">
        <v>638</v>
      </c>
      <c r="M190" s="1564" t="s">
        <v>639</v>
      </c>
      <c r="N190" s="1564" t="s">
        <v>640</v>
      </c>
      <c r="O190" s="1565" t="s">
        <v>16</v>
      </c>
    </row>
    <row r="191" spans="1:15" ht="29.25">
      <c r="A191" s="1566" t="s">
        <v>26</v>
      </c>
      <c r="B191" s="196" t="s">
        <v>1906</v>
      </c>
      <c r="C191" s="195" t="s">
        <v>525</v>
      </c>
      <c r="D191" s="196" t="s">
        <v>803</v>
      </c>
      <c r="E191" s="195">
        <v>6</v>
      </c>
      <c r="F191" s="195" t="s">
        <v>580</v>
      </c>
      <c r="G191" s="195" t="s">
        <v>525</v>
      </c>
      <c r="H191" s="1567" t="s">
        <v>771</v>
      </c>
      <c r="I191" s="350">
        <v>848118</v>
      </c>
      <c r="J191" s="1568" t="s">
        <v>21</v>
      </c>
      <c r="K191" s="1569">
        <v>200</v>
      </c>
      <c r="L191" s="1543">
        <f>(14417.77-12741.12)*100</f>
        <v>167664.99999999997</v>
      </c>
      <c r="M191" s="461"/>
      <c r="N191" s="461"/>
      <c r="O191" s="1543">
        <f>L191</f>
        <v>167664.99999999997</v>
      </c>
    </row>
    <row r="192" spans="1:15" ht="29.25">
      <c r="A192" s="1586" t="s">
        <v>26</v>
      </c>
      <c r="B192" s="1587" t="s">
        <v>1060</v>
      </c>
      <c r="C192" s="692" t="s">
        <v>525</v>
      </c>
      <c r="D192" s="1587" t="s">
        <v>584</v>
      </c>
      <c r="E192" s="1588">
        <v>55</v>
      </c>
      <c r="F192" s="1588" t="s">
        <v>527</v>
      </c>
      <c r="G192" s="1588" t="s">
        <v>525</v>
      </c>
      <c r="H192" s="1589" t="s">
        <v>1627</v>
      </c>
      <c r="I192" s="692">
        <v>848385</v>
      </c>
      <c r="J192" s="1590" t="s">
        <v>28</v>
      </c>
      <c r="K192" s="1591">
        <v>10</v>
      </c>
      <c r="L192" s="1572">
        <f>156924-121434</f>
        <v>35490</v>
      </c>
      <c r="M192" s="1592"/>
      <c r="N192" s="1592"/>
      <c r="O192" s="1572">
        <f>L192</f>
        <v>35490</v>
      </c>
    </row>
    <row r="193" spans="1:15" ht="18.75" thickBot="1">
      <c r="A193" s="1566" t="s">
        <v>26</v>
      </c>
      <c r="B193" s="1587"/>
      <c r="C193" s="692" t="s">
        <v>525</v>
      </c>
      <c r="D193" s="1587" t="s">
        <v>305</v>
      </c>
      <c r="E193" s="1588" t="s">
        <v>1763</v>
      </c>
      <c r="F193" s="1588" t="s">
        <v>580</v>
      </c>
      <c r="G193" s="1588" t="s">
        <v>525</v>
      </c>
      <c r="H193" s="1567" t="s">
        <v>1764</v>
      </c>
      <c r="I193" s="692">
        <v>91471800</v>
      </c>
      <c r="J193" s="1590" t="s">
        <v>28</v>
      </c>
      <c r="K193" s="1591">
        <v>10</v>
      </c>
      <c r="L193" s="1572">
        <f>43*15</f>
        <v>645</v>
      </c>
      <c r="M193" s="1592"/>
      <c r="N193" s="1592"/>
      <c r="O193" s="1572">
        <f>L193</f>
        <v>645</v>
      </c>
    </row>
    <row r="194" spans="1:15" ht="15">
      <c r="A194" s="1570"/>
      <c r="B194" s="1180" t="s">
        <v>22</v>
      </c>
      <c r="C194" s="1171" t="s">
        <v>586</v>
      </c>
      <c r="D194" s="1172"/>
      <c r="E194" s="1181"/>
      <c r="F194" s="1194"/>
      <c r="G194" s="1194"/>
      <c r="H194" s="1622" t="s">
        <v>1920</v>
      </c>
      <c r="I194" s="1171" t="s">
        <v>586</v>
      </c>
      <c r="J194" s="1172"/>
      <c r="K194" s="1195"/>
      <c r="L194" s="1571"/>
      <c r="M194" s="1571"/>
      <c r="N194" s="1543" t="s">
        <v>23</v>
      </c>
      <c r="O194" s="1573">
        <f>SUM(O191:O193)</f>
        <v>203799.99999999997</v>
      </c>
    </row>
    <row r="195" spans="1:15" ht="15">
      <c r="A195" s="1570"/>
      <c r="B195" s="1182"/>
      <c r="C195" s="1175" t="s">
        <v>1662</v>
      </c>
      <c r="D195" s="1176"/>
      <c r="E195" s="1183"/>
      <c r="F195" s="1194"/>
      <c r="G195" s="1194"/>
      <c r="H195" s="1174"/>
      <c r="I195" s="1175" t="s">
        <v>1662</v>
      </c>
      <c r="J195" s="1176"/>
      <c r="K195" s="1196"/>
      <c r="L195" s="1571"/>
      <c r="M195" s="1571"/>
      <c r="N195" s="1571"/>
      <c r="O195" s="1571"/>
    </row>
    <row r="196" spans="1:15" ht="15">
      <c r="A196" s="1570"/>
      <c r="B196" s="1182"/>
      <c r="C196" s="1175" t="s">
        <v>530</v>
      </c>
      <c r="D196" s="1176"/>
      <c r="E196" s="1183"/>
      <c r="F196" s="1194"/>
      <c r="G196" s="1186"/>
      <c r="H196" s="1174"/>
      <c r="I196" s="1175" t="s">
        <v>530</v>
      </c>
      <c r="J196" s="1176"/>
      <c r="K196" s="1196"/>
      <c r="L196" s="1571"/>
      <c r="M196" s="1571"/>
      <c r="N196" s="1571"/>
      <c r="O196" s="1571"/>
    </row>
    <row r="197" spans="1:15" ht="15.75" thickBot="1">
      <c r="A197" s="1570"/>
      <c r="B197" s="1215" t="s">
        <v>160</v>
      </c>
      <c r="C197" s="1175" t="s">
        <v>1664</v>
      </c>
      <c r="D197" s="1176"/>
      <c r="E197" s="1183"/>
      <c r="F197" s="1194"/>
      <c r="G197" s="1194"/>
      <c r="H197" s="1191"/>
      <c r="I197" s="1178"/>
      <c r="J197" s="1179"/>
      <c r="K197" s="1197"/>
      <c r="L197" s="1571"/>
      <c r="M197" s="1571"/>
      <c r="N197" s="1571"/>
      <c r="O197" s="1571"/>
    </row>
    <row r="198" spans="1:15" ht="15.75" thickBot="1">
      <c r="A198" s="1570"/>
      <c r="B198" s="1184" t="s">
        <v>1061</v>
      </c>
      <c r="C198" s="1178" t="s">
        <v>1076</v>
      </c>
      <c r="D198" s="1179"/>
      <c r="E198" s="1185"/>
      <c r="F198" s="1194"/>
      <c r="G198" s="1194"/>
      <c r="H198" s="1194"/>
      <c r="I198" s="1194"/>
      <c r="J198" s="1216"/>
      <c r="K198" s="1217"/>
      <c r="L198" s="1571"/>
      <c r="M198" s="1571"/>
      <c r="N198" s="1571"/>
      <c r="O198" s="1571"/>
    </row>
    <row r="199" spans="1:15" ht="15">
      <c r="A199" s="1290"/>
      <c r="B199" s="1562"/>
      <c r="C199" s="822"/>
      <c r="D199" s="1202"/>
      <c r="E199" s="822"/>
      <c r="F199" s="1204"/>
      <c r="G199" s="1204"/>
      <c r="H199" s="1213"/>
      <c r="I199" s="822"/>
      <c r="J199" s="1202"/>
      <c r="K199" s="1222"/>
      <c r="O199" s="31"/>
    </row>
    <row r="200" spans="1:15" ht="15.75" thickBot="1">
      <c r="A200" s="1290"/>
      <c r="B200" s="1562"/>
      <c r="C200" s="822"/>
      <c r="D200" s="1202"/>
      <c r="E200" s="822"/>
      <c r="F200" s="1204"/>
      <c r="G200" s="1204"/>
      <c r="H200" s="1213"/>
      <c r="I200" s="822"/>
      <c r="J200" s="1202"/>
      <c r="K200" s="1222"/>
      <c r="O200" s="31"/>
    </row>
    <row r="201" spans="1:15" ht="44.25" customHeight="1">
      <c r="A201" s="1657" t="s">
        <v>6</v>
      </c>
      <c r="B201" s="1657" t="s">
        <v>7</v>
      </c>
      <c r="C201" s="1657" t="s">
        <v>8</v>
      </c>
      <c r="D201" s="1657" t="s">
        <v>9</v>
      </c>
      <c r="E201" s="1657" t="s">
        <v>10</v>
      </c>
      <c r="F201" s="1657" t="s">
        <v>11</v>
      </c>
      <c r="G201" s="1657" t="s">
        <v>12</v>
      </c>
      <c r="H201" s="1657" t="s">
        <v>13</v>
      </c>
      <c r="I201" s="1677" t="s">
        <v>269</v>
      </c>
      <c r="J201" s="1657" t="s">
        <v>59</v>
      </c>
      <c r="K201" s="1720" t="s">
        <v>15</v>
      </c>
      <c r="L201" s="1668" t="s">
        <v>636</v>
      </c>
      <c r="M201" s="1650"/>
      <c r="N201" s="1650"/>
      <c r="O201" s="1669"/>
    </row>
    <row r="202" spans="1:15" ht="35.25" customHeight="1">
      <c r="A202" s="1657"/>
      <c r="B202" s="1657"/>
      <c r="C202" s="1657"/>
      <c r="D202" s="1657"/>
      <c r="E202" s="1657"/>
      <c r="F202" s="1657"/>
      <c r="G202" s="1657"/>
      <c r="H202" s="1657"/>
      <c r="I202" s="1677"/>
      <c r="J202" s="1657"/>
      <c r="K202" s="1720"/>
      <c r="L202" s="1679" t="s">
        <v>637</v>
      </c>
      <c r="M202" s="1654"/>
      <c r="N202" s="1654"/>
      <c r="O202" s="1680"/>
    </row>
    <row r="203" spans="1:15" ht="35.25" customHeight="1" thickBot="1">
      <c r="A203" s="1657"/>
      <c r="B203" s="1657"/>
      <c r="C203" s="1657"/>
      <c r="D203" s="1657"/>
      <c r="E203" s="1657"/>
      <c r="F203" s="1657"/>
      <c r="G203" s="1657"/>
      <c r="H203" s="1657"/>
      <c r="I203" s="1677"/>
      <c r="J203" s="1657"/>
      <c r="K203" s="1720"/>
      <c r="L203" s="263" t="s">
        <v>638</v>
      </c>
      <c r="M203" s="270" t="s">
        <v>639</v>
      </c>
      <c r="N203" s="270" t="s">
        <v>640</v>
      </c>
      <c r="O203" s="265" t="s">
        <v>16</v>
      </c>
    </row>
    <row r="204" spans="1:15" ht="18.75" thickBot="1">
      <c r="A204" s="579" t="s">
        <v>26</v>
      </c>
      <c r="B204" s="9" t="s">
        <v>589</v>
      </c>
      <c r="C204" s="6" t="s">
        <v>525</v>
      </c>
      <c r="D204" s="9" t="s">
        <v>544</v>
      </c>
      <c r="E204" s="6">
        <v>7</v>
      </c>
      <c r="F204" s="4" t="s">
        <v>580</v>
      </c>
      <c r="G204" s="4" t="s">
        <v>525</v>
      </c>
      <c r="H204" s="695" t="s">
        <v>939</v>
      </c>
      <c r="I204" s="22">
        <v>871692</v>
      </c>
      <c r="J204" s="377" t="s">
        <v>21</v>
      </c>
      <c r="K204" s="267">
        <v>41</v>
      </c>
      <c r="L204" s="32">
        <f>(4862.22-3473.67)*30</f>
        <v>41656.500000000007</v>
      </c>
      <c r="M204" s="33"/>
      <c r="N204" s="33"/>
      <c r="O204" s="32">
        <f>L204</f>
        <v>41656.500000000007</v>
      </c>
    </row>
    <row r="205" spans="1:15" ht="15">
      <c r="B205" s="1180" t="s">
        <v>22</v>
      </c>
      <c r="C205" s="1171" t="s">
        <v>586</v>
      </c>
      <c r="D205" s="1172"/>
      <c r="E205" s="1181"/>
      <c r="F205" s="1213"/>
      <c r="G205" s="1213"/>
      <c r="H205" s="1622" t="s">
        <v>1920</v>
      </c>
      <c r="I205" s="1199" t="s">
        <v>1765</v>
      </c>
      <c r="J205" s="1200"/>
      <c r="K205" s="1218"/>
      <c r="N205" s="32" t="s">
        <v>23</v>
      </c>
      <c r="O205" s="580">
        <f>SUM(O204)</f>
        <v>41656.500000000007</v>
      </c>
    </row>
    <row r="206" spans="1:15" ht="15">
      <c r="B206" s="1182"/>
      <c r="C206" s="1175" t="s">
        <v>1662</v>
      </c>
      <c r="D206" s="1176"/>
      <c r="E206" s="1183"/>
      <c r="F206" s="1213"/>
      <c r="G206" s="1213"/>
      <c r="H206" s="1201"/>
      <c r="I206" s="822" t="s">
        <v>1672</v>
      </c>
      <c r="J206" s="1202"/>
      <c r="K206" s="1219"/>
      <c r="O206" s="31"/>
    </row>
    <row r="207" spans="1:15" ht="15">
      <c r="B207" s="1182"/>
      <c r="C207" s="1175" t="s">
        <v>530</v>
      </c>
      <c r="D207" s="1176"/>
      <c r="E207" s="1183"/>
      <c r="F207" s="1213"/>
      <c r="G207" s="1213"/>
      <c r="H207" s="1201"/>
      <c r="I207" s="822" t="s">
        <v>576</v>
      </c>
      <c r="J207" s="1202"/>
      <c r="K207" s="1219"/>
      <c r="O207" s="31"/>
    </row>
    <row r="208" spans="1:15" ht="15.75" thickBot="1">
      <c r="B208" s="1215" t="s">
        <v>160</v>
      </c>
      <c r="C208" s="1175" t="s">
        <v>1664</v>
      </c>
      <c r="D208" s="1176"/>
      <c r="E208" s="1183"/>
      <c r="F208" s="1213"/>
      <c r="G208" s="1213"/>
      <c r="H208" s="1208"/>
      <c r="I208" s="920"/>
      <c r="J208" s="1210"/>
      <c r="K208" s="1220"/>
      <c r="O208" s="31"/>
    </row>
    <row r="209" spans="1:20" ht="15.75" thickBot="1">
      <c r="A209" s="287"/>
      <c r="B209" s="1184" t="s">
        <v>1061</v>
      </c>
      <c r="C209" s="1178" t="s">
        <v>1076</v>
      </c>
      <c r="D209" s="1179"/>
      <c r="E209" s="1185"/>
      <c r="F209" s="1213"/>
      <c r="G209" s="1213"/>
      <c r="H209" s="1213"/>
      <c r="I209" s="1213"/>
      <c r="J209" s="1214"/>
      <c r="K209" s="1222"/>
      <c r="O209" s="31"/>
    </row>
    <row r="210" spans="1:20">
      <c r="I210" s="1"/>
      <c r="J210" s="287"/>
      <c r="K210" s="7"/>
      <c r="O210" s="31"/>
    </row>
    <row r="211" spans="1:20" ht="15" thickBot="1">
      <c r="I211" s="1"/>
      <c r="J211" s="287"/>
      <c r="K211" s="7"/>
      <c r="O211" s="31"/>
    </row>
    <row r="212" spans="1:20" ht="44.25" customHeight="1">
      <c r="A212" s="1657" t="s">
        <v>6</v>
      </c>
      <c r="B212" s="1657" t="s">
        <v>7</v>
      </c>
      <c r="C212" s="1657" t="s">
        <v>8</v>
      </c>
      <c r="D212" s="1657" t="s">
        <v>9</v>
      </c>
      <c r="E212" s="1657" t="s">
        <v>10</v>
      </c>
      <c r="F212" s="1657" t="s">
        <v>11</v>
      </c>
      <c r="G212" s="1657" t="s">
        <v>12</v>
      </c>
      <c r="H212" s="1657" t="s">
        <v>13</v>
      </c>
      <c r="I212" s="1677" t="s">
        <v>269</v>
      </c>
      <c r="J212" s="1657" t="s">
        <v>59</v>
      </c>
      <c r="K212" s="1720" t="s">
        <v>15</v>
      </c>
      <c r="L212" s="1668" t="s">
        <v>636</v>
      </c>
      <c r="M212" s="1650"/>
      <c r="N212" s="1650"/>
      <c r="O212" s="1669"/>
    </row>
    <row r="213" spans="1:20" ht="39" customHeight="1">
      <c r="A213" s="1657"/>
      <c r="B213" s="1657"/>
      <c r="C213" s="1657"/>
      <c r="D213" s="1657"/>
      <c r="E213" s="1657"/>
      <c r="F213" s="1657"/>
      <c r="G213" s="1657"/>
      <c r="H213" s="1657"/>
      <c r="I213" s="1677"/>
      <c r="J213" s="1657"/>
      <c r="K213" s="1720"/>
      <c r="L213" s="1679" t="s">
        <v>637</v>
      </c>
      <c r="M213" s="1654"/>
      <c r="N213" s="1654"/>
      <c r="O213" s="1680"/>
    </row>
    <row r="214" spans="1:20" ht="30.75" customHeight="1" thickBot="1">
      <c r="A214" s="1657"/>
      <c r="B214" s="1657"/>
      <c r="C214" s="1657"/>
      <c r="D214" s="1657"/>
      <c r="E214" s="1657"/>
      <c r="F214" s="1657"/>
      <c r="G214" s="1657"/>
      <c r="H214" s="1657"/>
      <c r="I214" s="1677"/>
      <c r="J214" s="1657"/>
      <c r="K214" s="1720"/>
      <c r="L214" s="263" t="s">
        <v>638</v>
      </c>
      <c r="M214" s="270" t="s">
        <v>639</v>
      </c>
      <c r="N214" s="270" t="s">
        <v>640</v>
      </c>
      <c r="O214" s="265" t="s">
        <v>16</v>
      </c>
    </row>
    <row r="215" spans="1:20" ht="30" thickBot="1">
      <c r="A215" s="579" t="s">
        <v>26</v>
      </c>
      <c r="B215" s="9" t="s">
        <v>590</v>
      </c>
      <c r="C215" s="6" t="s">
        <v>525</v>
      </c>
      <c r="D215" s="9" t="s">
        <v>526</v>
      </c>
      <c r="E215" s="6">
        <v>47</v>
      </c>
      <c r="F215" s="4" t="s">
        <v>527</v>
      </c>
      <c r="G215" s="4" t="s">
        <v>525</v>
      </c>
      <c r="H215" s="695" t="s">
        <v>903</v>
      </c>
      <c r="I215" s="22">
        <v>357149</v>
      </c>
      <c r="J215" s="386" t="s">
        <v>28</v>
      </c>
      <c r="K215" s="8">
        <v>25</v>
      </c>
      <c r="L215" s="32">
        <f>88942-67781</f>
        <v>21161</v>
      </c>
      <c r="M215" s="33"/>
      <c r="N215" s="33"/>
      <c r="O215" s="32">
        <f>L215</f>
        <v>21161</v>
      </c>
    </row>
    <row r="216" spans="1:20" ht="15">
      <c r="B216" s="1180" t="s">
        <v>22</v>
      </c>
      <c r="C216" s="1171" t="s">
        <v>586</v>
      </c>
      <c r="D216" s="1172"/>
      <c r="E216" s="1181"/>
      <c r="F216" s="1213"/>
      <c r="G216" s="1213"/>
      <c r="H216" s="1622" t="s">
        <v>1920</v>
      </c>
      <c r="I216" s="1199" t="s">
        <v>590</v>
      </c>
      <c r="J216" s="1200"/>
      <c r="K216" s="1218"/>
      <c r="N216" s="32" t="s">
        <v>23</v>
      </c>
      <c r="O216" s="580">
        <f>SUM(O215)</f>
        <v>21161</v>
      </c>
    </row>
    <row r="217" spans="1:20" ht="15">
      <c r="B217" s="1182"/>
      <c r="C217" s="1175" t="s">
        <v>1662</v>
      </c>
      <c r="D217" s="1176"/>
      <c r="E217" s="1183"/>
      <c r="F217" s="1213"/>
      <c r="G217" s="1213"/>
      <c r="H217" s="1201"/>
      <c r="I217" s="822" t="s">
        <v>1673</v>
      </c>
      <c r="J217" s="1202"/>
      <c r="K217" s="1219"/>
    </row>
    <row r="218" spans="1:20" ht="15">
      <c r="B218" s="1182"/>
      <c r="C218" s="1175" t="s">
        <v>530</v>
      </c>
      <c r="D218" s="1176"/>
      <c r="E218" s="1183"/>
      <c r="F218" s="1213"/>
      <c r="G218" s="1213"/>
      <c r="H218" s="1201"/>
      <c r="I218" s="822" t="s">
        <v>530</v>
      </c>
      <c r="J218" s="1202"/>
      <c r="K218" s="1219"/>
    </row>
    <row r="219" spans="1:20" ht="15.75" thickBot="1">
      <c r="B219" s="1215" t="s">
        <v>160</v>
      </c>
      <c r="C219" s="1175" t="s">
        <v>1664</v>
      </c>
      <c r="D219" s="1176"/>
      <c r="E219" s="1183"/>
      <c r="F219" s="1213"/>
      <c r="G219" s="1213"/>
      <c r="H219" s="1208"/>
      <c r="I219" s="920"/>
      <c r="J219" s="1210"/>
      <c r="K219" s="1220"/>
    </row>
    <row r="220" spans="1:20" ht="15.75" thickBot="1">
      <c r="A220" s="287"/>
      <c r="B220" s="1184" t="s">
        <v>1061</v>
      </c>
      <c r="C220" s="1178" t="s">
        <v>1076</v>
      </c>
      <c r="D220" s="1179"/>
      <c r="E220" s="1185"/>
      <c r="F220" s="1213"/>
      <c r="G220" s="1213"/>
      <c r="H220" s="1213"/>
      <c r="I220" s="1214"/>
      <c r="J220" s="1222"/>
      <c r="K220" s="1223"/>
    </row>
    <row r="221" spans="1:20" ht="15">
      <c r="A221" s="739"/>
      <c r="B221" s="453"/>
      <c r="C221" s="43"/>
      <c r="D221" s="19"/>
      <c r="E221" s="54"/>
      <c r="I221" s="739"/>
      <c r="N221" s="391"/>
    </row>
    <row r="222" spans="1:20" ht="15.75" thickBot="1">
      <c r="A222" s="739"/>
      <c r="B222" s="453"/>
      <c r="C222" s="43"/>
      <c r="D222" s="19"/>
      <c r="E222" s="54"/>
      <c r="I222" s="739"/>
    </row>
    <row r="223" spans="1:20" ht="44.25" customHeight="1">
      <c r="A223" s="1662" t="s">
        <v>6</v>
      </c>
      <c r="B223" s="1656" t="s">
        <v>7</v>
      </c>
      <c r="C223" s="1656" t="s">
        <v>8</v>
      </c>
      <c r="D223" s="1656" t="s">
        <v>9</v>
      </c>
      <c r="E223" s="1656" t="s">
        <v>10</v>
      </c>
      <c r="F223" s="1656" t="s">
        <v>11</v>
      </c>
      <c r="G223" s="1656" t="s">
        <v>12</v>
      </c>
      <c r="H223" s="1656" t="s">
        <v>14</v>
      </c>
      <c r="I223" s="1656" t="s">
        <v>269</v>
      </c>
      <c r="J223" s="1656" t="s">
        <v>59</v>
      </c>
      <c r="K223" s="1659" t="s">
        <v>15</v>
      </c>
      <c r="L223" s="1650" t="s">
        <v>641</v>
      </c>
      <c r="M223" s="1650"/>
      <c r="N223" s="1650"/>
      <c r="O223" s="1650"/>
      <c r="P223" s="1650" t="s">
        <v>642</v>
      </c>
      <c r="Q223" s="1650"/>
      <c r="R223" s="1650"/>
      <c r="S223" s="1650"/>
      <c r="T223" s="1790" t="s">
        <v>1620</v>
      </c>
    </row>
    <row r="224" spans="1:20" ht="28.5" customHeight="1">
      <c r="A224" s="1663"/>
      <c r="B224" s="1657"/>
      <c r="C224" s="1657"/>
      <c r="D224" s="1657"/>
      <c r="E224" s="1657"/>
      <c r="F224" s="1657"/>
      <c r="G224" s="1657"/>
      <c r="H224" s="1657"/>
      <c r="I224" s="1657"/>
      <c r="J224" s="1657"/>
      <c r="K224" s="1660"/>
      <c r="L224" s="1654" t="s">
        <v>638</v>
      </c>
      <c r="M224" s="1654" t="s">
        <v>639</v>
      </c>
      <c r="N224" s="1654" t="s">
        <v>640</v>
      </c>
      <c r="O224" s="1654" t="s">
        <v>643</v>
      </c>
      <c r="P224" s="1654" t="s">
        <v>638</v>
      </c>
      <c r="Q224" s="1654" t="s">
        <v>639</v>
      </c>
      <c r="R224" s="1654" t="s">
        <v>640</v>
      </c>
      <c r="S224" s="1654" t="s">
        <v>643</v>
      </c>
      <c r="T224" s="1791"/>
    </row>
    <row r="225" spans="1:20" ht="36" customHeight="1" thickBot="1">
      <c r="A225" s="1664"/>
      <c r="B225" s="1658"/>
      <c r="C225" s="1658"/>
      <c r="D225" s="1658"/>
      <c r="E225" s="1658"/>
      <c r="F225" s="1658"/>
      <c r="G225" s="1658"/>
      <c r="H225" s="1658"/>
      <c r="I225" s="1658"/>
      <c r="J225" s="1658"/>
      <c r="K225" s="1661"/>
      <c r="L225" s="1655"/>
      <c r="M225" s="1655"/>
      <c r="N225" s="1655"/>
      <c r="O225" s="1655"/>
      <c r="P225" s="1655"/>
      <c r="Q225" s="1655"/>
      <c r="R225" s="1655"/>
      <c r="S225" s="1655"/>
      <c r="T225" s="1792"/>
    </row>
    <row r="226" spans="1:20" ht="53.25" customHeight="1" thickBot="1">
      <c r="A226" s="579" t="s">
        <v>17</v>
      </c>
      <c r="B226" s="266" t="s">
        <v>1779</v>
      </c>
      <c r="C226" s="691" t="s">
        <v>525</v>
      </c>
      <c r="D226" s="266" t="s">
        <v>1780</v>
      </c>
      <c r="E226" s="266" t="s">
        <v>1781</v>
      </c>
      <c r="F226" s="182" t="s">
        <v>527</v>
      </c>
      <c r="G226" s="182" t="s">
        <v>525</v>
      </c>
      <c r="H226" s="780" t="s">
        <v>1782</v>
      </c>
      <c r="I226" s="692">
        <v>91471698</v>
      </c>
      <c r="J226" s="430" t="s">
        <v>28</v>
      </c>
      <c r="K226" s="267">
        <v>14</v>
      </c>
      <c r="L226" s="268">
        <f>33*15</f>
        <v>495</v>
      </c>
      <c r="M226" s="269"/>
      <c r="N226" s="269"/>
      <c r="O226" s="268">
        <f>L226</f>
        <v>495</v>
      </c>
      <c r="P226" s="268">
        <f>L226</f>
        <v>495</v>
      </c>
      <c r="Q226" s="269"/>
      <c r="R226" s="269"/>
      <c r="S226" s="268">
        <f>P226</f>
        <v>495</v>
      </c>
      <c r="T226" s="616" t="s">
        <v>1783</v>
      </c>
    </row>
    <row r="227" spans="1:20" ht="22.5" customHeight="1">
      <c r="A227" s="739"/>
      <c r="B227" s="1180" t="s">
        <v>22</v>
      </c>
      <c r="C227" s="1171" t="s">
        <v>586</v>
      </c>
      <c r="D227" s="1172"/>
      <c r="E227" s="1181"/>
      <c r="F227" s="1194"/>
      <c r="G227" s="1194"/>
      <c r="H227" s="1622" t="s">
        <v>1920</v>
      </c>
      <c r="I227" s="1171" t="s">
        <v>535</v>
      </c>
      <c r="J227" s="1224"/>
      <c r="K227" s="1195"/>
      <c r="R227" s="268" t="s">
        <v>23</v>
      </c>
      <c r="S227" s="921">
        <f>SUM(S226)</f>
        <v>495</v>
      </c>
    </row>
    <row r="228" spans="1:20" ht="15">
      <c r="A228" s="739"/>
      <c r="B228" s="1182"/>
      <c r="C228" s="1175" t="s">
        <v>1662</v>
      </c>
      <c r="D228" s="1176"/>
      <c r="E228" s="1183"/>
      <c r="F228" s="1194"/>
      <c r="G228" s="1194"/>
      <c r="H228" s="1174"/>
      <c r="I228" s="1175" t="s">
        <v>1663</v>
      </c>
      <c r="J228" s="1225"/>
      <c r="K228" s="1196"/>
    </row>
    <row r="229" spans="1:20" ht="15">
      <c r="A229" s="739"/>
      <c r="B229" s="1182"/>
      <c r="C229" s="1175" t="s">
        <v>530</v>
      </c>
      <c r="D229" s="1176"/>
      <c r="E229" s="1183"/>
      <c r="F229" s="1194"/>
      <c r="G229" s="1194"/>
      <c r="H229" s="1174"/>
      <c r="I229" s="1175" t="s">
        <v>530</v>
      </c>
      <c r="J229" s="1225"/>
      <c r="K229" s="1196"/>
    </row>
    <row r="230" spans="1:20" ht="15.75" thickBot="1">
      <c r="A230" s="739"/>
      <c r="B230" s="1215" t="s">
        <v>160</v>
      </c>
      <c r="C230" s="1175" t="s">
        <v>1664</v>
      </c>
      <c r="D230" s="1176"/>
      <c r="E230" s="1183"/>
      <c r="F230" s="1194"/>
      <c r="G230" s="1194"/>
      <c r="H230" s="1191"/>
      <c r="I230" s="1178"/>
      <c r="J230" s="1226"/>
      <c r="K230" s="1197"/>
    </row>
    <row r="231" spans="1:20" ht="15.75" thickBot="1">
      <c r="A231" s="739"/>
      <c r="B231" s="1184" t="s">
        <v>1061</v>
      </c>
      <c r="C231" s="1178" t="s">
        <v>1076</v>
      </c>
      <c r="D231" s="1179"/>
      <c r="E231" s="1185"/>
      <c r="F231" s="1194"/>
      <c r="G231" s="1194"/>
      <c r="H231" s="1194"/>
      <c r="I231" s="1216"/>
      <c r="J231" s="1217"/>
      <c r="K231" s="1227"/>
    </row>
    <row r="232" spans="1:20" ht="15">
      <c r="A232" s="1290"/>
      <c r="B232" s="1490"/>
      <c r="C232" s="1175"/>
      <c r="D232" s="1176"/>
      <c r="E232" s="1186"/>
      <c r="F232" s="1194"/>
      <c r="G232" s="1194"/>
      <c r="H232" s="1194"/>
      <c r="I232" s="1216"/>
      <c r="J232" s="1217"/>
      <c r="K232" s="1227"/>
    </row>
    <row r="233" spans="1:20">
      <c r="A233" s="287"/>
      <c r="B233" s="1"/>
      <c r="E233" s="54"/>
      <c r="I233" s="287"/>
      <c r="L233" s="31" t="s">
        <v>23</v>
      </c>
      <c r="M233" s="31">
        <f>O19+O78+O91+O103+O115+O126+O137+O148+O160+O205+O216+S227+O171+O182+O194</f>
        <v>2475793.7999999993</v>
      </c>
    </row>
    <row r="234" spans="1:20" ht="15.75" thickBot="1">
      <c r="A234" s="287"/>
      <c r="B234" s="19"/>
      <c r="C234" s="43"/>
      <c r="D234" s="19"/>
      <c r="E234" s="54"/>
      <c r="I234" s="287"/>
    </row>
    <row r="235" spans="1:20" ht="56.25" customHeight="1">
      <c r="K235" s="1778" t="s">
        <v>59</v>
      </c>
      <c r="L235" s="1777" t="s">
        <v>644</v>
      </c>
      <c r="M235" s="1777"/>
      <c r="N235" s="1777"/>
      <c r="O235" s="1775" t="s">
        <v>60</v>
      </c>
    </row>
    <row r="236" spans="1:20" ht="27.75" customHeight="1" thickBot="1">
      <c r="K236" s="1779"/>
      <c r="L236" s="274" t="s">
        <v>61</v>
      </c>
      <c r="M236" s="274" t="s">
        <v>639</v>
      </c>
      <c r="N236" s="274" t="s">
        <v>640</v>
      </c>
      <c r="O236" s="1776"/>
    </row>
    <row r="237" spans="1:20" ht="21.75" customHeight="1">
      <c r="K237" s="406" t="s">
        <v>28</v>
      </c>
      <c r="L237" s="1007">
        <f>O32+O33+O34+O35+O36+O37+O38+O39+O40+O41+O42+O43+O44+O45+O46+O47+O48+O49+O50+O51+O52+O53+O54+O55+O56+O57+O58+O59+O60+O61+O62+O63+O64+O65+O66+O67+O68+O69+O70+O71+O72+O73+O74+O75+O76+O88+O89+O101+O102+O113+O114+O125+O158+O159+O192+O193+O215+S226</f>
        <v>404251</v>
      </c>
      <c r="M237" s="946"/>
      <c r="N237" s="947"/>
      <c r="O237" s="408">
        <v>58</v>
      </c>
    </row>
    <row r="238" spans="1:20" ht="21.75" customHeight="1">
      <c r="K238" s="977" t="s">
        <v>21</v>
      </c>
      <c r="L238" s="959">
        <f>O30+O31+O136+O204+O77+O170+O191</f>
        <v>2005515.2999999993</v>
      </c>
      <c r="M238" s="323"/>
      <c r="N238" s="948"/>
      <c r="O238" s="952">
        <v>7</v>
      </c>
    </row>
    <row r="239" spans="1:20" ht="21.75" customHeight="1" thickBot="1">
      <c r="K239" s="795" t="s">
        <v>65</v>
      </c>
      <c r="L239" s="329"/>
      <c r="M239" s="330">
        <f>M18+M90+M147+M181</f>
        <v>20470.5</v>
      </c>
      <c r="N239" s="331">
        <f>N18+N90+N147+N181</f>
        <v>45557</v>
      </c>
      <c r="O239" s="949">
        <v>4</v>
      </c>
    </row>
    <row r="240" spans="1:20" ht="21.75" customHeight="1" thickBot="1">
      <c r="K240" s="341" t="s">
        <v>62</v>
      </c>
      <c r="L240" s="285">
        <f>SUM(L237:L239)</f>
        <v>2409766.2999999993</v>
      </c>
      <c r="M240" s="116">
        <f>SUM(M237:M239)</f>
        <v>20470.5</v>
      </c>
      <c r="N240" s="122">
        <f>SUM(N237:N239)</f>
        <v>45557</v>
      </c>
      <c r="O240" s="693">
        <f>SUM(O237:O239)</f>
        <v>69</v>
      </c>
    </row>
    <row r="241" spans="9:15" ht="21.75" customHeight="1" thickBot="1">
      <c r="K241" s="1"/>
      <c r="L241" s="123" t="s">
        <v>63</v>
      </c>
      <c r="M241" s="694">
        <f>SUM(L240:N240)</f>
        <v>2475793.7999999993</v>
      </c>
      <c r="O241" s="31"/>
    </row>
    <row r="242" spans="9:15">
      <c r="K242" s="1"/>
      <c r="L242" s="1"/>
      <c r="N242" s="1"/>
    </row>
    <row r="243" spans="9:15">
      <c r="I243" s="1"/>
      <c r="J243" s="1"/>
      <c r="K243" s="1"/>
      <c r="N243" s="1"/>
    </row>
    <row r="244" spans="9:15">
      <c r="I244" s="1"/>
      <c r="J244" s="1"/>
      <c r="K244" s="1"/>
      <c r="L244" s="1"/>
      <c r="M244" s="1"/>
      <c r="N244" s="5"/>
    </row>
    <row r="245" spans="9:15">
      <c r="I245" s="1"/>
      <c r="J245" s="1"/>
      <c r="K245" s="1"/>
      <c r="L245" s="1"/>
      <c r="M245" s="1"/>
      <c r="N245" s="5"/>
    </row>
    <row r="246" spans="9:15">
      <c r="I246" s="1"/>
      <c r="J246" s="1"/>
      <c r="K246" s="1"/>
      <c r="L246" s="1"/>
      <c r="N246" s="5"/>
    </row>
    <row r="247" spans="9:15">
      <c r="I247" s="1"/>
      <c r="J247" s="1"/>
      <c r="K247" s="1"/>
      <c r="L247" s="1"/>
      <c r="M247" s="1"/>
      <c r="N247" s="5"/>
    </row>
    <row r="248" spans="9:15">
      <c r="I248" s="1"/>
      <c r="J248" s="1"/>
      <c r="K248" s="1"/>
      <c r="L248" s="1"/>
      <c r="M248" s="1"/>
      <c r="N248" s="5"/>
    </row>
    <row r="249" spans="9:15">
      <c r="I249" s="1"/>
      <c r="J249" s="1"/>
      <c r="K249" s="1"/>
      <c r="L249" s="1"/>
      <c r="M249" s="1"/>
      <c r="N249" s="5"/>
    </row>
  </sheetData>
  <mergeCells count="212">
    <mergeCell ref="A155:A157"/>
    <mergeCell ref="B155:B157"/>
    <mergeCell ref="C155:C157"/>
    <mergeCell ref="D155:D157"/>
    <mergeCell ref="E155:E157"/>
    <mergeCell ref="F155:F157"/>
    <mergeCell ref="E212:E214"/>
    <mergeCell ref="F212:F214"/>
    <mergeCell ref="C201:C203"/>
    <mergeCell ref="D201:D203"/>
    <mergeCell ref="E201:E203"/>
    <mergeCell ref="F201:F203"/>
    <mergeCell ref="A201:A203"/>
    <mergeCell ref="B201:B203"/>
    <mergeCell ref="A212:A214"/>
    <mergeCell ref="B212:B214"/>
    <mergeCell ref="C212:C214"/>
    <mergeCell ref="D212:D214"/>
    <mergeCell ref="A144:A146"/>
    <mergeCell ref="B144:B146"/>
    <mergeCell ref="H133:H135"/>
    <mergeCell ref="C144:C146"/>
    <mergeCell ref="D144:D146"/>
    <mergeCell ref="E144:E146"/>
    <mergeCell ref="F144:F146"/>
    <mergeCell ref="G133:G135"/>
    <mergeCell ref="G144:G146"/>
    <mergeCell ref="A133:A135"/>
    <mergeCell ref="B133:B135"/>
    <mergeCell ref="C133:C135"/>
    <mergeCell ref="D133:D135"/>
    <mergeCell ref="E133:E135"/>
    <mergeCell ref="F133:F135"/>
    <mergeCell ref="A122:A124"/>
    <mergeCell ref="B122:B124"/>
    <mergeCell ref="C122:C124"/>
    <mergeCell ref="A98:A100"/>
    <mergeCell ref="B98:B100"/>
    <mergeCell ref="C98:C100"/>
    <mergeCell ref="D98:D100"/>
    <mergeCell ref="E98:E100"/>
    <mergeCell ref="F98:F100"/>
    <mergeCell ref="H110:H112"/>
    <mergeCell ref="A110:A112"/>
    <mergeCell ref="D122:D124"/>
    <mergeCell ref="E122:E124"/>
    <mergeCell ref="F122:F124"/>
    <mergeCell ref="C110:C112"/>
    <mergeCell ref="D110:D112"/>
    <mergeCell ref="E110:E112"/>
    <mergeCell ref="F110:F112"/>
    <mergeCell ref="B110:B112"/>
    <mergeCell ref="G122:G124"/>
    <mergeCell ref="L15:O15"/>
    <mergeCell ref="L16:O16"/>
    <mergeCell ref="C27:C29"/>
    <mergeCell ref="D27:D29"/>
    <mergeCell ref="E27:E29"/>
    <mergeCell ref="F27:F29"/>
    <mergeCell ref="G27:G29"/>
    <mergeCell ref="C85:C87"/>
    <mergeCell ref="G98:G100"/>
    <mergeCell ref="H98:H100"/>
    <mergeCell ref="A15:A17"/>
    <mergeCell ref="B15:B17"/>
    <mergeCell ref="C15:C17"/>
    <mergeCell ref="D15:D17"/>
    <mergeCell ref="E15:E17"/>
    <mergeCell ref="F15:F17"/>
    <mergeCell ref="G15:G17"/>
    <mergeCell ref="K27:K29"/>
    <mergeCell ref="H85:H87"/>
    <mergeCell ref="H15:H17"/>
    <mergeCell ref="I15:I17"/>
    <mergeCell ref="J15:J17"/>
    <mergeCell ref="K15:K17"/>
    <mergeCell ref="A27:A29"/>
    <mergeCell ref="B27:B29"/>
    <mergeCell ref="H27:H29"/>
    <mergeCell ref="I27:I29"/>
    <mergeCell ref="J27:J29"/>
    <mergeCell ref="F85:F87"/>
    <mergeCell ref="A85:A87"/>
    <mergeCell ref="B85:B87"/>
    <mergeCell ref="D85:D87"/>
    <mergeCell ref="E85:E87"/>
    <mergeCell ref="L27:O27"/>
    <mergeCell ref="L28:O28"/>
    <mergeCell ref="I85:I87"/>
    <mergeCell ref="J85:J87"/>
    <mergeCell ref="K85:K87"/>
    <mergeCell ref="L85:O85"/>
    <mergeCell ref="L86:O86"/>
    <mergeCell ref="O235:O236"/>
    <mergeCell ref="G85:G87"/>
    <mergeCell ref="K235:K236"/>
    <mergeCell ref="L235:N235"/>
    <mergeCell ref="G110:G112"/>
    <mergeCell ref="H201:H203"/>
    <mergeCell ref="G212:G214"/>
    <mergeCell ref="G201:G203"/>
    <mergeCell ref="G155:G157"/>
    <mergeCell ref="K144:K146"/>
    <mergeCell ref="L144:O144"/>
    <mergeCell ref="I122:I124"/>
    <mergeCell ref="J122:J124"/>
    <mergeCell ref="K122:K124"/>
    <mergeCell ref="L122:O122"/>
    <mergeCell ref="L123:O123"/>
    <mergeCell ref="I98:I100"/>
    <mergeCell ref="J98:J100"/>
    <mergeCell ref="K98:K100"/>
    <mergeCell ref="L98:O98"/>
    <mergeCell ref="L99:O99"/>
    <mergeCell ref="I110:I112"/>
    <mergeCell ref="J110:J112"/>
    <mergeCell ref="K110:K112"/>
    <mergeCell ref="L110:O110"/>
    <mergeCell ref="B1:I1"/>
    <mergeCell ref="K155:K157"/>
    <mergeCell ref="L155:O155"/>
    <mergeCell ref="L156:O156"/>
    <mergeCell ref="L145:O145"/>
    <mergeCell ref="H144:H146"/>
    <mergeCell ref="L111:O111"/>
    <mergeCell ref="H122:H124"/>
    <mergeCell ref="K212:K214"/>
    <mergeCell ref="L212:O212"/>
    <mergeCell ref="L213:O213"/>
    <mergeCell ref="I201:I203"/>
    <mergeCell ref="J201:J203"/>
    <mergeCell ref="K201:K203"/>
    <mergeCell ref="L201:O201"/>
    <mergeCell ref="L202:O202"/>
    <mergeCell ref="K167:K169"/>
    <mergeCell ref="I133:I135"/>
    <mergeCell ref="J133:J135"/>
    <mergeCell ref="K133:K135"/>
    <mergeCell ref="L133:O133"/>
    <mergeCell ref="L134:O134"/>
    <mergeCell ref="I144:I146"/>
    <mergeCell ref="J144:J146"/>
    <mergeCell ref="H155:H157"/>
    <mergeCell ref="I155:I157"/>
    <mergeCell ref="J155:J157"/>
    <mergeCell ref="H167:H169"/>
    <mergeCell ref="I167:I169"/>
    <mergeCell ref="J167:J169"/>
    <mergeCell ref="I178:I180"/>
    <mergeCell ref="B3:J3"/>
    <mergeCell ref="B5:J5"/>
    <mergeCell ref="A223:A225"/>
    <mergeCell ref="B223:B225"/>
    <mergeCell ref="C223:C225"/>
    <mergeCell ref="D223:D225"/>
    <mergeCell ref="E223:E225"/>
    <mergeCell ref="F223:F225"/>
    <mergeCell ref="H212:H214"/>
    <mergeCell ref="I212:I214"/>
    <mergeCell ref="J212:J214"/>
    <mergeCell ref="C160:D160"/>
    <mergeCell ref="I160:J160"/>
    <mergeCell ref="S224:S225"/>
    <mergeCell ref="P223:S223"/>
    <mergeCell ref="T223:T225"/>
    <mergeCell ref="L224:L225"/>
    <mergeCell ref="M224:M225"/>
    <mergeCell ref="N224:N225"/>
    <mergeCell ref="O224:O225"/>
    <mergeCell ref="P224:P225"/>
    <mergeCell ref="Q224:Q225"/>
    <mergeCell ref="R224:R225"/>
    <mergeCell ref="G223:G225"/>
    <mergeCell ref="H223:H225"/>
    <mergeCell ref="I223:I225"/>
    <mergeCell ref="J223:J225"/>
    <mergeCell ref="K223:K225"/>
    <mergeCell ref="L223:O223"/>
    <mergeCell ref="A188:A190"/>
    <mergeCell ref="L188:O188"/>
    <mergeCell ref="G188:G190"/>
    <mergeCell ref="H188:H190"/>
    <mergeCell ref="I188:I190"/>
    <mergeCell ref="J188:J190"/>
    <mergeCell ref="K188:K190"/>
    <mergeCell ref="L189:O189"/>
    <mergeCell ref="B188:B190"/>
    <mergeCell ref="C188:C190"/>
    <mergeCell ref="D188:D190"/>
    <mergeCell ref="E188:E190"/>
    <mergeCell ref="F188:F190"/>
    <mergeCell ref="A167:A169"/>
    <mergeCell ref="L167:O167"/>
    <mergeCell ref="L168:O168"/>
    <mergeCell ref="A178:A180"/>
    <mergeCell ref="L178:O178"/>
    <mergeCell ref="L179:O179"/>
    <mergeCell ref="J178:J180"/>
    <mergeCell ref="K178:K180"/>
    <mergeCell ref="G178:G180"/>
    <mergeCell ref="H178:H180"/>
    <mergeCell ref="B178:B180"/>
    <mergeCell ref="C178:C180"/>
    <mergeCell ref="D178:D180"/>
    <mergeCell ref="E178:E180"/>
    <mergeCell ref="F178:F180"/>
    <mergeCell ref="B167:B169"/>
    <mergeCell ref="C167:C169"/>
    <mergeCell ref="D167:D169"/>
    <mergeCell ref="E167:E169"/>
    <mergeCell ref="F167:F169"/>
    <mergeCell ref="G167:G169"/>
  </mergeCells>
  <pageMargins left="0.7" right="0.7" top="0.75" bottom="0.75" header="0.3" footer="0.3"/>
  <pageSetup paperSize="9" orientation="portrait" horizontalDpi="0" verticalDpi="0" r:id="rId1"/>
  <ignoredErrors>
    <ignoredError sqref="H22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opLeftCell="A67" zoomScale="80" zoomScaleNormal="80" workbookViewId="0">
      <selection activeCell="O85" sqref="O85"/>
    </sheetView>
  </sheetViews>
  <sheetFormatPr defaultRowHeight="14.25"/>
  <cols>
    <col min="1" max="1" width="13.125" style="5" customWidth="1"/>
    <col min="2" max="2" width="16" style="2" customWidth="1"/>
    <col min="3" max="3" width="14" style="1" customWidth="1"/>
    <col min="4" max="4" width="17.5" style="1" customWidth="1"/>
    <col min="5" max="5" width="11.25" style="1" customWidth="1"/>
    <col min="6" max="6" width="9" style="1"/>
    <col min="7" max="7" width="16.25" style="1" customWidth="1"/>
    <col min="8" max="8" width="27.875" style="1" customWidth="1"/>
    <col min="9" max="9" width="14.625" style="1" customWidth="1"/>
    <col min="10" max="10" width="12.125" style="5" customWidth="1"/>
    <col min="11" max="11" width="9" style="109"/>
    <col min="12" max="12" width="14.875" style="1" customWidth="1"/>
    <col min="13" max="13" width="15" style="1" customWidth="1"/>
    <col min="14" max="14" width="16.875" style="1" customWidth="1"/>
    <col min="15" max="15" width="16.375" style="1" customWidth="1"/>
    <col min="16" max="16" width="13.125" style="1" customWidth="1"/>
    <col min="17" max="17" width="13.875" style="1" customWidth="1"/>
    <col min="18" max="18" width="17.75" style="1" customWidth="1"/>
    <col min="19" max="19" width="10.625" style="1" customWidth="1"/>
    <col min="20" max="20" width="23.875" style="1" customWidth="1"/>
    <col min="21" max="21" width="21.5" style="1" customWidth="1"/>
    <col min="22" max="16384" width="9" style="1"/>
  </cols>
  <sheetData>
    <row r="1" spans="1:15" ht="18">
      <c r="A1" s="287"/>
      <c r="B1" s="1691" t="s">
        <v>1174</v>
      </c>
      <c r="C1" s="1691"/>
      <c r="D1" s="1691"/>
      <c r="E1" s="1691"/>
      <c r="F1" s="1691"/>
      <c r="G1" s="1691"/>
      <c r="H1" s="1691"/>
      <c r="I1" s="1691"/>
      <c r="J1" s="287"/>
    </row>
    <row r="2" spans="1:15">
      <c r="A2" s="287"/>
      <c r="J2" s="287"/>
    </row>
    <row r="3" spans="1:15" ht="32.25" customHeight="1">
      <c r="A3" s="287"/>
      <c r="B3" s="1727" t="s">
        <v>702</v>
      </c>
      <c r="C3" s="1728"/>
      <c r="D3" s="1728"/>
      <c r="E3" s="1728"/>
      <c r="F3" s="1728"/>
      <c r="G3" s="1728"/>
      <c r="H3" s="1728"/>
      <c r="I3" s="1729"/>
      <c r="J3" s="287"/>
    </row>
    <row r="4" spans="1:15" ht="15">
      <c r="A4" s="1"/>
      <c r="B4" s="469"/>
      <c r="C4" s="469"/>
      <c r="D4" s="469"/>
      <c r="E4" s="469"/>
      <c r="F4" s="469"/>
      <c r="G4" s="469"/>
      <c r="H4" s="469"/>
      <c r="I4" s="469"/>
      <c r="J4" s="31"/>
      <c r="K4" s="7"/>
      <c r="M4" s="31"/>
      <c r="N4" s="31"/>
    </row>
    <row r="5" spans="1:15" ht="25.5" customHeight="1">
      <c r="A5" s="1"/>
      <c r="B5" s="1756" t="s">
        <v>1052</v>
      </c>
      <c r="C5" s="1757"/>
      <c r="D5" s="1757"/>
      <c r="E5" s="1757"/>
      <c r="F5" s="1757"/>
      <c r="G5" s="1757"/>
      <c r="H5" s="1757"/>
      <c r="I5" s="1758"/>
      <c r="J5" s="31"/>
      <c r="K5" s="7"/>
      <c r="M5" s="31"/>
      <c r="N5" s="31"/>
    </row>
    <row r="6" spans="1:15" ht="15">
      <c r="A6" s="1"/>
      <c r="B6" s="469"/>
      <c r="C6" s="469"/>
      <c r="D6" s="469"/>
      <c r="E6" s="469"/>
      <c r="F6" s="469"/>
      <c r="G6" s="469"/>
      <c r="H6" s="472"/>
      <c r="I6" s="471"/>
      <c r="J6" s="31"/>
      <c r="K6" s="7"/>
      <c r="M6" s="31"/>
      <c r="N6" s="31"/>
    </row>
    <row r="7" spans="1:15" ht="15.75">
      <c r="A7" s="1"/>
      <c r="B7" s="470" t="s">
        <v>1</v>
      </c>
      <c r="C7" s="471"/>
      <c r="D7" s="469"/>
      <c r="E7" s="469"/>
      <c r="F7" s="469"/>
      <c r="G7" s="471"/>
      <c r="H7" s="472"/>
      <c r="I7" s="471"/>
      <c r="J7" s="31"/>
      <c r="K7" s="7"/>
      <c r="M7" s="31"/>
      <c r="N7" s="31"/>
    </row>
    <row r="8" spans="1:15" ht="15.75">
      <c r="A8" s="1"/>
      <c r="B8" s="1307" t="s">
        <v>1921</v>
      </c>
      <c r="C8" s="471"/>
      <c r="D8" s="469"/>
      <c r="E8" s="469"/>
      <c r="F8" s="469"/>
      <c r="G8" s="471"/>
      <c r="H8" s="472"/>
      <c r="I8" s="471"/>
      <c r="J8" s="31"/>
      <c r="K8" s="7"/>
      <c r="M8" s="31"/>
      <c r="N8" s="31"/>
    </row>
    <row r="9" spans="1:15" ht="15.75">
      <c r="A9" s="1"/>
      <c r="B9" s="473" t="s">
        <v>1872</v>
      </c>
      <c r="C9" s="471"/>
      <c r="D9" s="474"/>
      <c r="E9" s="469"/>
      <c r="F9" s="469"/>
      <c r="G9" s="471"/>
      <c r="H9" s="472"/>
      <c r="I9" s="471"/>
      <c r="J9" s="31"/>
      <c r="K9" s="7"/>
      <c r="M9" s="31"/>
      <c r="N9" s="31"/>
    </row>
    <row r="10" spans="1:15" ht="15.75">
      <c r="A10" s="1"/>
      <c r="B10" s="473" t="s">
        <v>1045</v>
      </c>
      <c r="C10" s="471"/>
      <c r="D10" s="474"/>
      <c r="E10" s="469"/>
      <c r="F10" s="469"/>
      <c r="G10" s="471"/>
      <c r="H10" s="472"/>
      <c r="I10" s="471"/>
      <c r="J10" s="31"/>
      <c r="K10" s="7"/>
      <c r="M10" s="31"/>
      <c r="N10" s="31"/>
    </row>
    <row r="11" spans="1:15" ht="15">
      <c r="A11" s="1"/>
      <c r="B11" s="471" t="s">
        <v>1044</v>
      </c>
      <c r="C11" s="471"/>
      <c r="D11" s="471"/>
      <c r="E11" s="471"/>
      <c r="F11" s="471"/>
      <c r="G11" s="471"/>
      <c r="H11" s="472"/>
      <c r="I11" s="471"/>
      <c r="J11" s="31"/>
      <c r="K11" s="7"/>
      <c r="M11" s="31"/>
      <c r="N11" s="31"/>
    </row>
    <row r="12" spans="1:15" ht="15.75">
      <c r="A12" s="1"/>
      <c r="B12" s="475" t="s">
        <v>2</v>
      </c>
      <c r="C12" s="470" t="s">
        <v>3</v>
      </c>
      <c r="D12" s="474"/>
      <c r="E12" s="474"/>
      <c r="F12" s="474"/>
      <c r="G12" s="474"/>
      <c r="H12" s="157"/>
      <c r="I12" s="471"/>
      <c r="J12" s="31"/>
      <c r="K12" s="7"/>
      <c r="M12" s="31"/>
      <c r="N12" s="31"/>
    </row>
    <row r="13" spans="1:15" ht="15.75">
      <c r="A13" s="1"/>
      <c r="B13" s="475" t="s">
        <v>4</v>
      </c>
      <c r="C13" s="470" t="s">
        <v>5</v>
      </c>
      <c r="D13" s="474"/>
      <c r="E13" s="474"/>
      <c r="F13" s="474"/>
      <c r="G13" s="474"/>
      <c r="H13" s="157"/>
      <c r="I13" s="471"/>
      <c r="J13" s="31"/>
      <c r="K13" s="7"/>
      <c r="M13" s="31"/>
      <c r="N13" s="31"/>
    </row>
    <row r="14" spans="1:15" ht="15" thickBot="1">
      <c r="A14" s="57"/>
      <c r="B14" s="286"/>
      <c r="C14" s="57"/>
      <c r="D14" s="57"/>
      <c r="E14" s="57"/>
      <c r="F14" s="57"/>
      <c r="G14" s="57"/>
      <c r="H14" s="57"/>
      <c r="J14" s="1"/>
      <c r="K14" s="7"/>
      <c r="M14" s="31"/>
      <c r="N14" s="31"/>
    </row>
    <row r="15" spans="1:15" ht="50.25" customHeight="1">
      <c r="A15" s="1670" t="s">
        <v>6</v>
      </c>
      <c r="B15" s="1673" t="s">
        <v>633</v>
      </c>
      <c r="C15" s="1676" t="s">
        <v>8</v>
      </c>
      <c r="D15" s="1676" t="s">
        <v>9</v>
      </c>
      <c r="E15" s="1656" t="s">
        <v>634</v>
      </c>
      <c r="F15" s="1656" t="s">
        <v>11</v>
      </c>
      <c r="G15" s="1676" t="s">
        <v>12</v>
      </c>
      <c r="H15" s="1656" t="s">
        <v>13</v>
      </c>
      <c r="I15" s="1656" t="s">
        <v>269</v>
      </c>
      <c r="J15" s="1656" t="s">
        <v>59</v>
      </c>
      <c r="K15" s="1665" t="s">
        <v>635</v>
      </c>
      <c r="L15" s="1725" t="s">
        <v>636</v>
      </c>
      <c r="M15" s="1719"/>
      <c r="N15" s="1719"/>
      <c r="O15" s="1726"/>
    </row>
    <row r="16" spans="1:15" ht="43.5" customHeight="1">
      <c r="A16" s="1671"/>
      <c r="B16" s="1674"/>
      <c r="C16" s="1677"/>
      <c r="D16" s="1677"/>
      <c r="E16" s="1657"/>
      <c r="F16" s="1657"/>
      <c r="G16" s="1677"/>
      <c r="H16" s="1657"/>
      <c r="I16" s="1698"/>
      <c r="J16" s="1657"/>
      <c r="K16" s="1666"/>
      <c r="L16" s="1679" t="s">
        <v>637</v>
      </c>
      <c r="M16" s="1654"/>
      <c r="N16" s="1654"/>
      <c r="O16" s="1680"/>
    </row>
    <row r="17" spans="1:19" ht="30" customHeight="1" thickBot="1">
      <c r="A17" s="1672"/>
      <c r="B17" s="1675"/>
      <c r="C17" s="1678"/>
      <c r="D17" s="1678"/>
      <c r="E17" s="1658"/>
      <c r="F17" s="1658"/>
      <c r="G17" s="1678"/>
      <c r="H17" s="1658"/>
      <c r="I17" s="1699"/>
      <c r="J17" s="1658"/>
      <c r="K17" s="1667"/>
      <c r="L17" s="263" t="s">
        <v>638</v>
      </c>
      <c r="M17" s="270" t="s">
        <v>639</v>
      </c>
      <c r="N17" s="270" t="s">
        <v>640</v>
      </c>
      <c r="O17" s="265" t="s">
        <v>16</v>
      </c>
    </row>
    <row r="18" spans="1:19" ht="18">
      <c r="A18" s="552" t="s">
        <v>26</v>
      </c>
      <c r="B18" s="3" t="s">
        <v>351</v>
      </c>
      <c r="C18" s="4" t="s">
        <v>591</v>
      </c>
      <c r="D18" s="4" t="s">
        <v>181</v>
      </c>
      <c r="E18" s="4" t="s">
        <v>858</v>
      </c>
      <c r="F18" s="4" t="s">
        <v>592</v>
      </c>
      <c r="G18" s="4" t="s">
        <v>591</v>
      </c>
      <c r="H18" s="695" t="s">
        <v>593</v>
      </c>
      <c r="I18" s="22">
        <v>39846</v>
      </c>
      <c r="J18" s="29" t="s">
        <v>65</v>
      </c>
      <c r="K18" s="8">
        <v>23</v>
      </c>
      <c r="L18" s="30"/>
      <c r="M18" s="32">
        <f>13901-13893</f>
        <v>8</v>
      </c>
      <c r="N18" s="32">
        <f>42460-42437</f>
        <v>23</v>
      </c>
      <c r="O18" s="32">
        <f t="shared" ref="O18:O30" si="0">SUM(M18:N18)</f>
        <v>31</v>
      </c>
      <c r="P18" s="54"/>
      <c r="Q18" s="54"/>
      <c r="R18" s="54"/>
      <c r="S18" s="54"/>
    </row>
    <row r="19" spans="1:19" ht="18">
      <c r="A19" s="552" t="s">
        <v>26</v>
      </c>
      <c r="B19" s="3" t="s">
        <v>224</v>
      </c>
      <c r="C19" s="4" t="s">
        <v>594</v>
      </c>
      <c r="D19" s="4"/>
      <c r="E19" s="4" t="s">
        <v>854</v>
      </c>
      <c r="F19" s="4" t="s">
        <v>592</v>
      </c>
      <c r="G19" s="4" t="s">
        <v>591</v>
      </c>
      <c r="H19" s="695" t="s">
        <v>595</v>
      </c>
      <c r="I19" s="22">
        <v>70526307</v>
      </c>
      <c r="J19" s="29" t="s">
        <v>65</v>
      </c>
      <c r="K19" s="8">
        <v>7.5</v>
      </c>
      <c r="L19" s="30"/>
      <c r="M19" s="32">
        <f>100-99</f>
        <v>1</v>
      </c>
      <c r="N19" s="32">
        <f>154-153</f>
        <v>1</v>
      </c>
      <c r="O19" s="32">
        <f t="shared" si="0"/>
        <v>2</v>
      </c>
      <c r="P19" s="54"/>
      <c r="Q19" s="54"/>
      <c r="R19" s="54"/>
      <c r="S19" s="54"/>
    </row>
    <row r="20" spans="1:19" ht="18">
      <c r="A20" s="552" t="s">
        <v>26</v>
      </c>
      <c r="B20" s="3" t="s">
        <v>855</v>
      </c>
      <c r="C20" s="4" t="s">
        <v>591</v>
      </c>
      <c r="D20" s="4" t="s">
        <v>91</v>
      </c>
      <c r="E20" s="4">
        <v>1</v>
      </c>
      <c r="F20" s="4" t="s">
        <v>592</v>
      </c>
      <c r="G20" s="4" t="s">
        <v>591</v>
      </c>
      <c r="H20" s="695" t="s">
        <v>596</v>
      </c>
      <c r="I20" s="22">
        <v>91419360</v>
      </c>
      <c r="J20" s="29" t="s">
        <v>65</v>
      </c>
      <c r="K20" s="8">
        <v>6.6</v>
      </c>
      <c r="L20" s="30"/>
      <c r="M20" s="32">
        <f>(14410-14342)+(63-0)</f>
        <v>131</v>
      </c>
      <c r="N20" s="32">
        <f>(28342-28047)+(188-8)</f>
        <v>475</v>
      </c>
      <c r="O20" s="32">
        <f t="shared" si="0"/>
        <v>606</v>
      </c>
      <c r="P20" s="54"/>
      <c r="Q20" s="54"/>
      <c r="R20" s="54"/>
      <c r="S20" s="54"/>
    </row>
    <row r="21" spans="1:19" ht="18">
      <c r="A21" s="552" t="s">
        <v>26</v>
      </c>
      <c r="B21" s="3" t="s">
        <v>226</v>
      </c>
      <c r="C21" s="4" t="s">
        <v>591</v>
      </c>
      <c r="D21" s="4" t="s">
        <v>91</v>
      </c>
      <c r="E21" s="4" t="s">
        <v>856</v>
      </c>
      <c r="F21" s="4" t="s">
        <v>592</v>
      </c>
      <c r="G21" s="4" t="s">
        <v>591</v>
      </c>
      <c r="H21" s="695" t="s">
        <v>597</v>
      </c>
      <c r="I21" s="22">
        <v>36650</v>
      </c>
      <c r="J21" s="29" t="s">
        <v>65</v>
      </c>
      <c r="K21" s="8">
        <v>9</v>
      </c>
      <c r="L21" s="30"/>
      <c r="M21" s="32">
        <f>77647-67325</f>
        <v>10322</v>
      </c>
      <c r="N21" s="32">
        <f>197101-168926</f>
        <v>28175</v>
      </c>
      <c r="O21" s="32">
        <f t="shared" si="0"/>
        <v>38497</v>
      </c>
      <c r="P21" s="54"/>
      <c r="Q21" s="54"/>
      <c r="R21" s="54"/>
      <c r="S21" s="54"/>
    </row>
    <row r="22" spans="1:19" ht="18">
      <c r="A22" s="552" t="s">
        <v>26</v>
      </c>
      <c r="B22" s="3" t="s">
        <v>226</v>
      </c>
      <c r="C22" s="4" t="s">
        <v>591</v>
      </c>
      <c r="D22" s="4" t="s">
        <v>91</v>
      </c>
      <c r="E22" s="4" t="s">
        <v>857</v>
      </c>
      <c r="F22" s="4" t="s">
        <v>592</v>
      </c>
      <c r="G22" s="4" t="s">
        <v>591</v>
      </c>
      <c r="H22" s="695" t="s">
        <v>598</v>
      </c>
      <c r="I22" s="22">
        <v>41894</v>
      </c>
      <c r="J22" s="29" t="s">
        <v>65</v>
      </c>
      <c r="K22" s="8">
        <v>4</v>
      </c>
      <c r="L22" s="30"/>
      <c r="M22" s="32">
        <f>8206-6903</f>
        <v>1303</v>
      </c>
      <c r="N22" s="32">
        <f>14224-11769</f>
        <v>2455</v>
      </c>
      <c r="O22" s="32">
        <f t="shared" si="0"/>
        <v>3758</v>
      </c>
      <c r="P22" s="54"/>
      <c r="Q22" s="54"/>
      <c r="R22" s="54"/>
      <c r="S22" s="54"/>
    </row>
    <row r="23" spans="1:19" ht="29.25">
      <c r="A23" s="552" t="s">
        <v>26</v>
      </c>
      <c r="B23" s="3" t="s">
        <v>256</v>
      </c>
      <c r="C23" s="4" t="s">
        <v>599</v>
      </c>
      <c r="D23" s="4"/>
      <c r="E23" s="4"/>
      <c r="F23" s="4" t="s">
        <v>592</v>
      </c>
      <c r="G23" s="4" t="s">
        <v>591</v>
      </c>
      <c r="H23" s="695" t="s">
        <v>853</v>
      </c>
      <c r="I23" s="22">
        <v>70526316</v>
      </c>
      <c r="J23" s="29" t="s">
        <v>65</v>
      </c>
      <c r="K23" s="8">
        <v>10</v>
      </c>
      <c r="L23" s="30"/>
      <c r="M23" s="32">
        <f>162183-135150</f>
        <v>27033</v>
      </c>
      <c r="N23" s="32">
        <f>516335-431103</f>
        <v>85232</v>
      </c>
      <c r="O23" s="32">
        <f t="shared" si="0"/>
        <v>112265</v>
      </c>
      <c r="P23" s="54"/>
      <c r="Q23" s="54"/>
      <c r="R23" s="54"/>
      <c r="S23" s="54"/>
    </row>
    <row r="24" spans="1:19" ht="18">
      <c r="A24" s="552" t="s">
        <v>26</v>
      </c>
      <c r="B24" s="3" t="s">
        <v>184</v>
      </c>
      <c r="C24" s="4" t="s">
        <v>600</v>
      </c>
      <c r="D24" s="4"/>
      <c r="E24" s="4" t="s">
        <v>854</v>
      </c>
      <c r="F24" s="4" t="s">
        <v>592</v>
      </c>
      <c r="G24" s="4" t="s">
        <v>591</v>
      </c>
      <c r="H24" s="695" t="s">
        <v>601</v>
      </c>
      <c r="I24" s="22">
        <v>39867</v>
      </c>
      <c r="J24" s="29" t="s">
        <v>65</v>
      </c>
      <c r="K24" s="8">
        <v>3.5</v>
      </c>
      <c r="L24" s="30"/>
      <c r="M24" s="32">
        <f>279-228</f>
        <v>51</v>
      </c>
      <c r="N24" s="32">
        <f>599-483</f>
        <v>116</v>
      </c>
      <c r="O24" s="32">
        <f t="shared" si="0"/>
        <v>167</v>
      </c>
      <c r="P24" s="54"/>
      <c r="Q24" s="54"/>
      <c r="R24" s="54"/>
      <c r="S24" s="54"/>
    </row>
    <row r="25" spans="1:19" ht="18">
      <c r="A25" s="552" t="s">
        <v>26</v>
      </c>
      <c r="B25" s="3" t="s">
        <v>184</v>
      </c>
      <c r="C25" s="4" t="s">
        <v>602</v>
      </c>
      <c r="D25" s="4"/>
      <c r="E25" s="4" t="s">
        <v>859</v>
      </c>
      <c r="F25" s="4" t="s">
        <v>592</v>
      </c>
      <c r="G25" s="4" t="s">
        <v>591</v>
      </c>
      <c r="H25" s="695" t="s">
        <v>603</v>
      </c>
      <c r="I25" s="22">
        <v>39864</v>
      </c>
      <c r="J25" s="29" t="s">
        <v>65</v>
      </c>
      <c r="K25" s="8">
        <v>1</v>
      </c>
      <c r="L25" s="30"/>
      <c r="M25" s="32">
        <f>309-309</f>
        <v>0</v>
      </c>
      <c r="N25" s="32">
        <f>694-671</f>
        <v>23</v>
      </c>
      <c r="O25" s="32">
        <f t="shared" si="0"/>
        <v>23</v>
      </c>
      <c r="P25" s="54"/>
      <c r="Q25" s="54"/>
      <c r="R25" s="54"/>
      <c r="S25" s="54"/>
    </row>
    <row r="26" spans="1:19" ht="18">
      <c r="A26" s="552" t="s">
        <v>26</v>
      </c>
      <c r="B26" s="3" t="s">
        <v>184</v>
      </c>
      <c r="C26" s="4" t="s">
        <v>604</v>
      </c>
      <c r="D26" s="4"/>
      <c r="E26" s="4" t="s">
        <v>860</v>
      </c>
      <c r="F26" s="4" t="s">
        <v>592</v>
      </c>
      <c r="G26" s="4" t="s">
        <v>591</v>
      </c>
      <c r="H26" s="695" t="s">
        <v>605</v>
      </c>
      <c r="I26" s="22">
        <v>39870</v>
      </c>
      <c r="J26" s="29" t="s">
        <v>65</v>
      </c>
      <c r="K26" s="8">
        <v>6</v>
      </c>
      <c r="L26" s="30"/>
      <c r="M26" s="32">
        <f>671-590</f>
        <v>81</v>
      </c>
      <c r="N26" s="32">
        <f>1833-1569</f>
        <v>264</v>
      </c>
      <c r="O26" s="32">
        <f t="shared" si="0"/>
        <v>345</v>
      </c>
      <c r="P26" s="54"/>
      <c r="Q26" s="54"/>
      <c r="R26" s="54"/>
      <c r="S26" s="54"/>
    </row>
    <row r="27" spans="1:19" ht="18">
      <c r="A27" s="552" t="s">
        <v>26</v>
      </c>
      <c r="B27" s="3" t="s">
        <v>184</v>
      </c>
      <c r="C27" s="4" t="s">
        <v>606</v>
      </c>
      <c r="D27" s="4"/>
      <c r="E27" s="4" t="s">
        <v>854</v>
      </c>
      <c r="F27" s="4" t="s">
        <v>592</v>
      </c>
      <c r="G27" s="4" t="s">
        <v>591</v>
      </c>
      <c r="H27" s="695" t="s">
        <v>607</v>
      </c>
      <c r="I27" s="22">
        <v>39871</v>
      </c>
      <c r="J27" s="29" t="s">
        <v>65</v>
      </c>
      <c r="K27" s="8">
        <v>16</v>
      </c>
      <c r="L27" s="30"/>
      <c r="M27" s="32">
        <f>3301-2693</f>
        <v>608</v>
      </c>
      <c r="N27" s="32">
        <f>6911-5531</f>
        <v>1380</v>
      </c>
      <c r="O27" s="32">
        <f t="shared" si="0"/>
        <v>1988</v>
      </c>
      <c r="P27" s="54"/>
      <c r="Q27" s="54"/>
      <c r="R27" s="54"/>
      <c r="S27" s="54"/>
    </row>
    <row r="28" spans="1:19" ht="18">
      <c r="A28" s="552" t="s">
        <v>26</v>
      </c>
      <c r="B28" s="3" t="s">
        <v>184</v>
      </c>
      <c r="C28" s="4" t="s">
        <v>606</v>
      </c>
      <c r="D28" s="4"/>
      <c r="E28" s="4" t="s">
        <v>860</v>
      </c>
      <c r="F28" s="4" t="s">
        <v>592</v>
      </c>
      <c r="G28" s="4" t="s">
        <v>591</v>
      </c>
      <c r="H28" s="695" t="s">
        <v>608</v>
      </c>
      <c r="I28" s="22">
        <v>39866</v>
      </c>
      <c r="J28" s="29" t="s">
        <v>65</v>
      </c>
      <c r="K28" s="8">
        <v>10</v>
      </c>
      <c r="L28" s="30"/>
      <c r="M28" s="32">
        <f>381-319</f>
        <v>62</v>
      </c>
      <c r="N28" s="32">
        <f>1237-1035</f>
        <v>202</v>
      </c>
      <c r="O28" s="32">
        <f t="shared" si="0"/>
        <v>264</v>
      </c>
      <c r="P28" s="54"/>
      <c r="Q28" s="54"/>
      <c r="R28" s="54"/>
      <c r="S28" s="54"/>
    </row>
    <row r="29" spans="1:19" ht="18">
      <c r="A29" s="552" t="s">
        <v>26</v>
      </c>
      <c r="B29" s="3" t="s">
        <v>184</v>
      </c>
      <c r="C29" s="4" t="s">
        <v>609</v>
      </c>
      <c r="D29" s="4"/>
      <c r="E29" s="4" t="s">
        <v>854</v>
      </c>
      <c r="F29" s="4" t="s">
        <v>592</v>
      </c>
      <c r="G29" s="4" t="s">
        <v>591</v>
      </c>
      <c r="H29" s="695" t="s">
        <v>610</v>
      </c>
      <c r="I29" s="22">
        <v>39869</v>
      </c>
      <c r="J29" s="29" t="s">
        <v>65</v>
      </c>
      <c r="K29" s="8">
        <v>4</v>
      </c>
      <c r="L29" s="30"/>
      <c r="M29" s="32">
        <f>864-680</f>
        <v>184</v>
      </c>
      <c r="N29" s="32">
        <f>2268-1680</f>
        <v>588</v>
      </c>
      <c r="O29" s="32">
        <f t="shared" si="0"/>
        <v>772</v>
      </c>
      <c r="P29" s="54"/>
      <c r="Q29" s="54"/>
      <c r="R29" s="54"/>
      <c r="S29" s="54"/>
    </row>
    <row r="30" spans="1:19" ht="29.25">
      <c r="A30" s="552" t="s">
        <v>26</v>
      </c>
      <c r="B30" s="3" t="s">
        <v>138</v>
      </c>
      <c r="C30" s="4" t="s">
        <v>591</v>
      </c>
      <c r="D30" s="4" t="s">
        <v>611</v>
      </c>
      <c r="E30" s="4"/>
      <c r="F30" s="4" t="s">
        <v>592</v>
      </c>
      <c r="G30" s="4" t="s">
        <v>591</v>
      </c>
      <c r="H30" s="695" t="s">
        <v>612</v>
      </c>
      <c r="I30" s="22">
        <v>10220</v>
      </c>
      <c r="J30" s="29" t="s">
        <v>65</v>
      </c>
      <c r="K30" s="8">
        <v>4</v>
      </c>
      <c r="L30" s="30"/>
      <c r="M30" s="32">
        <f>12529-11414</f>
        <v>1115</v>
      </c>
      <c r="N30" s="32">
        <f>18820-15911</f>
        <v>2909</v>
      </c>
      <c r="O30" s="32">
        <f t="shared" si="0"/>
        <v>4024</v>
      </c>
      <c r="P30" s="54"/>
      <c r="Q30" s="54"/>
      <c r="R30" s="54"/>
      <c r="S30" s="54"/>
    </row>
    <row r="31" spans="1:19" ht="29.25">
      <c r="A31" s="552" t="s">
        <v>26</v>
      </c>
      <c r="B31" s="3" t="s">
        <v>613</v>
      </c>
      <c r="C31" s="4" t="s">
        <v>614</v>
      </c>
      <c r="D31" s="4"/>
      <c r="E31" s="4"/>
      <c r="F31" s="4" t="s">
        <v>592</v>
      </c>
      <c r="G31" s="4" t="s">
        <v>591</v>
      </c>
      <c r="H31" s="695" t="s">
        <v>615</v>
      </c>
      <c r="I31" s="22">
        <v>4145096</v>
      </c>
      <c r="J31" s="377" t="s">
        <v>21</v>
      </c>
      <c r="K31" s="8">
        <v>40</v>
      </c>
      <c r="L31" s="32">
        <f>2400*12</f>
        <v>28800</v>
      </c>
      <c r="M31" s="33"/>
      <c r="N31" s="33"/>
      <c r="O31" s="32">
        <f>L31</f>
        <v>28800</v>
      </c>
      <c r="P31" s="54"/>
      <c r="Q31" s="54"/>
      <c r="R31" s="54"/>
      <c r="S31" s="54"/>
    </row>
    <row r="32" spans="1:19" s="25" customFormat="1" ht="29.25">
      <c r="A32" s="552" t="s">
        <v>26</v>
      </c>
      <c r="B32" s="23" t="s">
        <v>613</v>
      </c>
      <c r="C32" s="22" t="s">
        <v>591</v>
      </c>
      <c r="D32" s="22" t="s">
        <v>220</v>
      </c>
      <c r="E32" s="22"/>
      <c r="F32" s="22" t="s">
        <v>592</v>
      </c>
      <c r="G32" s="22" t="s">
        <v>591</v>
      </c>
      <c r="H32" s="695" t="s">
        <v>616</v>
      </c>
      <c r="I32" s="22">
        <v>4146537</v>
      </c>
      <c r="J32" s="388" t="s">
        <v>21</v>
      </c>
      <c r="K32" s="24">
        <v>102</v>
      </c>
      <c r="L32" s="34">
        <f>(27063.4-22355.7)*30</f>
        <v>141231.00000000003</v>
      </c>
      <c r="M32" s="33"/>
      <c r="N32" s="33"/>
      <c r="O32" s="34">
        <f>L32</f>
        <v>141231.00000000003</v>
      </c>
      <c r="P32" s="54"/>
      <c r="Q32" s="57"/>
      <c r="R32" s="57"/>
      <c r="S32" s="57"/>
    </row>
    <row r="33" spans="1:19" ht="29.25">
      <c r="A33" s="552" t="s">
        <v>26</v>
      </c>
      <c r="B33" s="3" t="s">
        <v>251</v>
      </c>
      <c r="C33" s="4" t="s">
        <v>609</v>
      </c>
      <c r="D33" s="4"/>
      <c r="E33" s="4" t="s">
        <v>860</v>
      </c>
      <c r="F33" s="4" t="s">
        <v>592</v>
      </c>
      <c r="G33" s="4" t="s">
        <v>591</v>
      </c>
      <c r="H33" s="695" t="s">
        <v>617</v>
      </c>
      <c r="I33" s="22">
        <v>613842</v>
      </c>
      <c r="J33" s="29" t="s">
        <v>65</v>
      </c>
      <c r="K33" s="8">
        <v>25</v>
      </c>
      <c r="L33" s="30"/>
      <c r="M33" s="32">
        <f>(8055.26-6426.45)*15</f>
        <v>24432.150000000005</v>
      </c>
      <c r="N33" s="32">
        <f>(23073.67-18276.99)*15</f>
        <v>71950.199999999953</v>
      </c>
      <c r="O33" s="32">
        <f>SUM(M33:N33)</f>
        <v>96382.349999999962</v>
      </c>
      <c r="P33" s="54"/>
      <c r="Q33" s="54"/>
      <c r="R33" s="54"/>
      <c r="S33" s="54"/>
    </row>
    <row r="34" spans="1:19" ht="29.25">
      <c r="A34" s="552" t="s">
        <v>26</v>
      </c>
      <c r="B34" s="3" t="s">
        <v>491</v>
      </c>
      <c r="C34" s="4" t="s">
        <v>600</v>
      </c>
      <c r="D34" s="4"/>
      <c r="E34" s="4" t="s">
        <v>859</v>
      </c>
      <c r="F34" s="4" t="s">
        <v>592</v>
      </c>
      <c r="G34" s="4" t="s">
        <v>591</v>
      </c>
      <c r="H34" s="695" t="s">
        <v>618</v>
      </c>
      <c r="I34" s="22">
        <v>39872</v>
      </c>
      <c r="J34" s="29" t="s">
        <v>65</v>
      </c>
      <c r="K34" s="8">
        <v>3</v>
      </c>
      <c r="L34" s="30"/>
      <c r="M34" s="32">
        <f>46-36</f>
        <v>10</v>
      </c>
      <c r="N34" s="32">
        <f>229-172</f>
        <v>57</v>
      </c>
      <c r="O34" s="32">
        <f>SUM(M34:N34)</f>
        <v>67</v>
      </c>
      <c r="P34" s="54"/>
      <c r="Q34" s="54"/>
      <c r="R34" s="54"/>
      <c r="S34" s="54"/>
    </row>
    <row r="35" spans="1:19" ht="29.25">
      <c r="A35" s="552" t="s">
        <v>26</v>
      </c>
      <c r="B35" s="3" t="s">
        <v>138</v>
      </c>
      <c r="C35" s="4" t="s">
        <v>591</v>
      </c>
      <c r="D35" s="4" t="s">
        <v>220</v>
      </c>
      <c r="E35" s="4" t="s">
        <v>620</v>
      </c>
      <c r="F35" s="4" t="s">
        <v>592</v>
      </c>
      <c r="G35" s="4" t="s">
        <v>591</v>
      </c>
      <c r="H35" s="695" t="s">
        <v>621</v>
      </c>
      <c r="I35" s="22">
        <v>8558</v>
      </c>
      <c r="J35" s="29" t="s">
        <v>65</v>
      </c>
      <c r="K35" s="8">
        <v>7.5</v>
      </c>
      <c r="L35" s="30"/>
      <c r="M35" s="32">
        <f>18820-16520</f>
        <v>2300</v>
      </c>
      <c r="N35" s="32">
        <f>43336-37420</f>
        <v>5916</v>
      </c>
      <c r="O35" s="32">
        <f>SUM(M35:N35)</f>
        <v>8216</v>
      </c>
      <c r="P35" s="54"/>
      <c r="Q35" s="54"/>
      <c r="R35" s="54"/>
      <c r="S35" s="54"/>
    </row>
    <row r="36" spans="1:19" ht="29.25">
      <c r="A36" s="552" t="s">
        <v>26</v>
      </c>
      <c r="B36" s="3" t="s">
        <v>138</v>
      </c>
      <c r="C36" s="4" t="s">
        <v>622</v>
      </c>
      <c r="D36" s="4"/>
      <c r="E36" s="4"/>
      <c r="F36" s="4" t="s">
        <v>592</v>
      </c>
      <c r="G36" s="4" t="s">
        <v>591</v>
      </c>
      <c r="H36" s="695" t="s">
        <v>623</v>
      </c>
      <c r="I36" s="22">
        <v>879950</v>
      </c>
      <c r="J36" s="29" t="s">
        <v>65</v>
      </c>
      <c r="K36" s="8">
        <v>7</v>
      </c>
      <c r="L36" s="30"/>
      <c r="M36" s="32">
        <f>7614-7150</f>
        <v>464</v>
      </c>
      <c r="N36" s="32">
        <f>4612-3359</f>
        <v>1253</v>
      </c>
      <c r="O36" s="32">
        <f>SUM(M36:N36)</f>
        <v>1717</v>
      </c>
      <c r="P36" s="54"/>
      <c r="Q36" s="54"/>
      <c r="R36" s="54"/>
      <c r="S36" s="54"/>
    </row>
    <row r="37" spans="1:19" ht="18">
      <c r="A37" s="552" t="s">
        <v>26</v>
      </c>
      <c r="B37" s="9" t="s">
        <v>624</v>
      </c>
      <c r="C37" s="6" t="s">
        <v>625</v>
      </c>
      <c r="D37" s="6"/>
      <c r="E37" s="4">
        <v>31</v>
      </c>
      <c r="F37" s="4" t="s">
        <v>592</v>
      </c>
      <c r="G37" s="4" t="s">
        <v>591</v>
      </c>
      <c r="H37" s="695" t="s">
        <v>626</v>
      </c>
      <c r="I37" s="22">
        <v>44918</v>
      </c>
      <c r="J37" s="29" t="s">
        <v>65</v>
      </c>
      <c r="K37" s="8">
        <v>2</v>
      </c>
      <c r="L37" s="30"/>
      <c r="M37" s="32">
        <f>12333-10164</f>
        <v>2169</v>
      </c>
      <c r="N37" s="32">
        <f>29984-24691</f>
        <v>5293</v>
      </c>
      <c r="O37" s="32">
        <f>SUM(M37:N37)</f>
        <v>7462</v>
      </c>
      <c r="P37" s="54"/>
      <c r="Q37" s="54"/>
      <c r="R37" s="54"/>
      <c r="S37" s="54"/>
    </row>
    <row r="38" spans="1:19" ht="20.25">
      <c r="A38" s="683" t="s">
        <v>26</v>
      </c>
      <c r="B38" s="646" t="s">
        <v>861</v>
      </c>
      <c r="C38" s="606" t="s">
        <v>591</v>
      </c>
      <c r="D38" s="3" t="s">
        <v>220</v>
      </c>
      <c r="E38" s="46">
        <v>1</v>
      </c>
      <c r="F38" s="4" t="s">
        <v>592</v>
      </c>
      <c r="G38" s="4" t="s">
        <v>591</v>
      </c>
      <c r="H38" s="695" t="s">
        <v>1196</v>
      </c>
      <c r="I38" s="4">
        <v>317631</v>
      </c>
      <c r="J38" s="386" t="s">
        <v>28</v>
      </c>
      <c r="K38" s="8">
        <v>8</v>
      </c>
      <c r="L38" s="32">
        <f>89661-68154</f>
        <v>21507</v>
      </c>
      <c r="M38" s="33"/>
      <c r="N38" s="33"/>
      <c r="O38" s="32">
        <f>L38</f>
        <v>21507</v>
      </c>
    </row>
    <row r="39" spans="1:19" ht="43.5">
      <c r="A39" s="683" t="s">
        <v>26</v>
      </c>
      <c r="B39" s="266" t="s">
        <v>1407</v>
      </c>
      <c r="C39" s="182" t="s">
        <v>1406</v>
      </c>
      <c r="D39" s="182"/>
      <c r="E39" s="182">
        <v>3</v>
      </c>
      <c r="F39" s="182" t="s">
        <v>592</v>
      </c>
      <c r="G39" s="104" t="s">
        <v>591</v>
      </c>
      <c r="H39" s="695" t="s">
        <v>1790</v>
      </c>
      <c r="I39" s="182">
        <v>90599948</v>
      </c>
      <c r="J39" s="483" t="s">
        <v>65</v>
      </c>
      <c r="K39" s="829">
        <v>7</v>
      </c>
      <c r="L39" s="269"/>
      <c r="M39" s="268">
        <f>2320-1094</f>
        <v>1226</v>
      </c>
      <c r="N39" s="268">
        <f>5044-2264</f>
        <v>2780</v>
      </c>
      <c r="O39" s="268">
        <f>M39+N39</f>
        <v>4006</v>
      </c>
      <c r="P39" s="1064"/>
    </row>
    <row r="40" spans="1:19" ht="18">
      <c r="A40" s="552" t="s">
        <v>26</v>
      </c>
      <c r="B40" s="3" t="s">
        <v>861</v>
      </c>
      <c r="C40" s="4" t="s">
        <v>591</v>
      </c>
      <c r="D40" s="4" t="s">
        <v>181</v>
      </c>
      <c r="E40" s="4">
        <v>21</v>
      </c>
      <c r="F40" s="4" t="s">
        <v>592</v>
      </c>
      <c r="G40" s="4" t="s">
        <v>591</v>
      </c>
      <c r="H40" s="695" t="s">
        <v>1791</v>
      </c>
      <c r="I40" s="4">
        <v>70907486</v>
      </c>
      <c r="J40" s="386" t="s">
        <v>28</v>
      </c>
      <c r="K40" s="86">
        <v>6.6</v>
      </c>
      <c r="L40" s="32">
        <v>1200</v>
      </c>
      <c r="M40" s="33"/>
      <c r="N40" s="33"/>
      <c r="O40" s="32">
        <f>L40</f>
        <v>1200</v>
      </c>
      <c r="P40" s="1064"/>
    </row>
    <row r="41" spans="1:19" ht="20.25">
      <c r="A41" s="683" t="s">
        <v>26</v>
      </c>
      <c r="B41" s="3" t="s">
        <v>861</v>
      </c>
      <c r="C41" s="4" t="s">
        <v>591</v>
      </c>
      <c r="D41" s="4" t="s">
        <v>91</v>
      </c>
      <c r="E41" s="4">
        <v>2</v>
      </c>
      <c r="F41" s="4" t="s">
        <v>592</v>
      </c>
      <c r="G41" s="4" t="s">
        <v>591</v>
      </c>
      <c r="H41" s="695" t="s">
        <v>1792</v>
      </c>
      <c r="I41" s="4">
        <v>90018539</v>
      </c>
      <c r="J41" s="29" t="s">
        <v>65</v>
      </c>
      <c r="K41" s="86">
        <v>8</v>
      </c>
      <c r="L41" s="33"/>
      <c r="M41" s="32">
        <f>857-854</f>
        <v>3</v>
      </c>
      <c r="N41" s="32">
        <f>3351-3350</f>
        <v>1</v>
      </c>
      <c r="O41" s="32">
        <f>M41+N41</f>
        <v>4</v>
      </c>
      <c r="P41" s="1064"/>
    </row>
    <row r="42" spans="1:19" ht="43.5">
      <c r="A42" s="683" t="s">
        <v>26</v>
      </c>
      <c r="B42" s="3" t="s">
        <v>1675</v>
      </c>
      <c r="C42" s="4" t="s">
        <v>591</v>
      </c>
      <c r="D42" s="4" t="s">
        <v>181</v>
      </c>
      <c r="E42" s="3"/>
      <c r="F42" s="4" t="s">
        <v>592</v>
      </c>
      <c r="G42" s="4" t="s">
        <v>591</v>
      </c>
      <c r="H42" s="695" t="s">
        <v>1793</v>
      </c>
      <c r="I42" s="4">
        <v>90114677</v>
      </c>
      <c r="J42" s="29" t="s">
        <v>65</v>
      </c>
      <c r="K42" s="86">
        <v>14</v>
      </c>
      <c r="L42" s="33"/>
      <c r="M42" s="32">
        <v>1000</v>
      </c>
      <c r="N42" s="32">
        <v>1500</v>
      </c>
      <c r="O42" s="32">
        <f>SUM(M42:N42)</f>
        <v>2500</v>
      </c>
      <c r="P42" s="1064"/>
    </row>
    <row r="43" spans="1:19" ht="21" thickBot="1">
      <c r="A43" s="683" t="s">
        <v>26</v>
      </c>
      <c r="B43" s="3" t="s">
        <v>619</v>
      </c>
      <c r="C43" s="4" t="s">
        <v>591</v>
      </c>
      <c r="D43" s="4" t="s">
        <v>1404</v>
      </c>
      <c r="E43" s="4" t="s">
        <v>1408</v>
      </c>
      <c r="F43" s="4" t="s">
        <v>592</v>
      </c>
      <c r="G43" s="4" t="s">
        <v>591</v>
      </c>
      <c r="H43" s="695" t="s">
        <v>1794</v>
      </c>
      <c r="I43" s="4">
        <v>90976341</v>
      </c>
      <c r="J43" s="29" t="s">
        <v>65</v>
      </c>
      <c r="K43" s="86">
        <v>25</v>
      </c>
      <c r="L43" s="33"/>
      <c r="M43" s="32">
        <v>500</v>
      </c>
      <c r="N43" s="32">
        <v>1000</v>
      </c>
      <c r="O43" s="32">
        <f>M43+N43</f>
        <v>1500</v>
      </c>
      <c r="P43" s="1064"/>
    </row>
    <row r="44" spans="1:19" ht="45">
      <c r="B44" s="1231" t="s">
        <v>22</v>
      </c>
      <c r="C44" s="121" t="s">
        <v>861</v>
      </c>
      <c r="D44" s="42"/>
      <c r="E44" s="260"/>
      <c r="F44" s="260"/>
      <c r="G44" s="1622" t="s">
        <v>1920</v>
      </c>
      <c r="H44" s="1229" t="s">
        <v>1676</v>
      </c>
      <c r="N44" s="182" t="s">
        <v>23</v>
      </c>
      <c r="O44" s="567">
        <f>SUM(O18:O43)</f>
        <v>477334.35</v>
      </c>
    </row>
    <row r="45" spans="1:19" ht="15">
      <c r="B45" s="13"/>
      <c r="C45" s="43" t="s">
        <v>862</v>
      </c>
      <c r="D45" s="40"/>
      <c r="E45" s="260"/>
      <c r="F45" s="260"/>
      <c r="G45" s="13"/>
      <c r="H45" s="1230" t="s">
        <v>1788</v>
      </c>
      <c r="M45" s="31"/>
      <c r="N45" s="31"/>
    </row>
    <row r="46" spans="1:19" ht="15">
      <c r="B46" s="13"/>
      <c r="C46" s="110" t="s">
        <v>627</v>
      </c>
      <c r="D46" s="40"/>
      <c r="E46" s="260"/>
      <c r="F46" s="260"/>
      <c r="G46" s="13"/>
      <c r="H46" s="1230" t="s">
        <v>627</v>
      </c>
    </row>
    <row r="47" spans="1:19" ht="15.75" thickBot="1">
      <c r="B47" s="553" t="s">
        <v>160</v>
      </c>
      <c r="C47" s="43" t="s">
        <v>1677</v>
      </c>
      <c r="D47" s="40"/>
      <c r="E47" s="260"/>
      <c r="F47" s="260"/>
      <c r="G47" s="71"/>
      <c r="H47" s="18"/>
    </row>
    <row r="48" spans="1:19" ht="15.75" thickBot="1">
      <c r="A48" s="287"/>
      <c r="B48" s="433" t="s">
        <v>1061</v>
      </c>
      <c r="C48" s="97" t="s">
        <v>1787</v>
      </c>
      <c r="D48" s="231"/>
      <c r="J48" s="287"/>
    </row>
    <row r="49" spans="1:19" ht="15" thickBot="1"/>
    <row r="50" spans="1:19" ht="48.75" customHeight="1">
      <c r="A50" s="1670" t="s">
        <v>6</v>
      </c>
      <c r="B50" s="1673" t="s">
        <v>633</v>
      </c>
      <c r="C50" s="1676" t="s">
        <v>8</v>
      </c>
      <c r="D50" s="1676" t="s">
        <v>9</v>
      </c>
      <c r="E50" s="1656" t="s">
        <v>634</v>
      </c>
      <c r="F50" s="1656" t="s">
        <v>11</v>
      </c>
      <c r="G50" s="1676" t="s">
        <v>12</v>
      </c>
      <c r="H50" s="1656" t="s">
        <v>13</v>
      </c>
      <c r="I50" s="1656" t="s">
        <v>269</v>
      </c>
      <c r="J50" s="1656" t="s">
        <v>59</v>
      </c>
      <c r="K50" s="1665" t="s">
        <v>635</v>
      </c>
      <c r="L50" s="1725" t="s">
        <v>636</v>
      </c>
      <c r="M50" s="1719"/>
      <c r="N50" s="1719"/>
      <c r="O50" s="1726"/>
    </row>
    <row r="51" spans="1:19" ht="43.5" customHeight="1">
      <c r="A51" s="1671"/>
      <c r="B51" s="1674"/>
      <c r="C51" s="1677"/>
      <c r="D51" s="1677"/>
      <c r="E51" s="1657"/>
      <c r="F51" s="1657"/>
      <c r="G51" s="1677"/>
      <c r="H51" s="1657"/>
      <c r="I51" s="1698"/>
      <c r="J51" s="1657"/>
      <c r="K51" s="1666"/>
      <c r="L51" s="1679" t="s">
        <v>637</v>
      </c>
      <c r="M51" s="1654"/>
      <c r="N51" s="1654"/>
      <c r="O51" s="1680"/>
    </row>
    <row r="52" spans="1:19" ht="27.75" customHeight="1" thickBot="1">
      <c r="A52" s="1672"/>
      <c r="B52" s="1675"/>
      <c r="C52" s="1678"/>
      <c r="D52" s="1678"/>
      <c r="E52" s="1658"/>
      <c r="F52" s="1658"/>
      <c r="G52" s="1678"/>
      <c r="H52" s="1658"/>
      <c r="I52" s="1699"/>
      <c r="J52" s="1658"/>
      <c r="K52" s="1667"/>
      <c r="L52" s="263" t="s">
        <v>638</v>
      </c>
      <c r="M52" s="270" t="s">
        <v>639</v>
      </c>
      <c r="N52" s="270" t="s">
        <v>640</v>
      </c>
      <c r="O52" s="265" t="s">
        <v>16</v>
      </c>
      <c r="P52" s="54"/>
      <c r="Q52" s="54"/>
      <c r="R52" s="54"/>
      <c r="S52" s="54"/>
    </row>
    <row r="53" spans="1:19" ht="29.25">
      <c r="A53" s="552" t="s">
        <v>26</v>
      </c>
      <c r="B53" s="3" t="s">
        <v>154</v>
      </c>
      <c r="C53" s="4" t="s">
        <v>591</v>
      </c>
      <c r="D53" s="4" t="s">
        <v>162</v>
      </c>
      <c r="E53" s="4">
        <v>3</v>
      </c>
      <c r="F53" s="4" t="s">
        <v>592</v>
      </c>
      <c r="G53" s="4" t="s">
        <v>591</v>
      </c>
      <c r="H53" s="695" t="s">
        <v>1795</v>
      </c>
      <c r="I53" s="22">
        <v>50436086</v>
      </c>
      <c r="J53" s="377" t="s">
        <v>21</v>
      </c>
      <c r="K53" s="8">
        <v>85</v>
      </c>
      <c r="L53" s="32">
        <f>(6847.3-2906.1)*20</f>
        <v>78824</v>
      </c>
      <c r="M53" s="33"/>
      <c r="N53" s="33"/>
      <c r="O53" s="32">
        <f>L53</f>
        <v>78824</v>
      </c>
      <c r="P53" s="54"/>
      <c r="Q53" s="54"/>
      <c r="R53" s="54"/>
      <c r="S53" s="54"/>
    </row>
    <row r="54" spans="1:19" ht="29.25">
      <c r="A54" s="552" t="s">
        <v>26</v>
      </c>
      <c r="B54" s="3" t="s">
        <v>628</v>
      </c>
      <c r="C54" s="4" t="s">
        <v>591</v>
      </c>
      <c r="D54" s="4" t="s">
        <v>181</v>
      </c>
      <c r="E54" s="4" t="s">
        <v>948</v>
      </c>
      <c r="F54" s="4" t="s">
        <v>592</v>
      </c>
      <c r="G54" s="4" t="s">
        <v>591</v>
      </c>
      <c r="H54" s="695" t="s">
        <v>629</v>
      </c>
      <c r="I54" s="22">
        <v>14141</v>
      </c>
      <c r="J54" s="29" t="s">
        <v>65</v>
      </c>
      <c r="K54" s="8">
        <v>8</v>
      </c>
      <c r="L54" s="33"/>
      <c r="M54" s="32">
        <f>11226-11081</f>
        <v>145</v>
      </c>
      <c r="N54" s="32">
        <f>19288-18460</f>
        <v>828</v>
      </c>
      <c r="O54" s="32">
        <f>SUM(M54:N54)</f>
        <v>973</v>
      </c>
      <c r="P54" s="54"/>
      <c r="Q54" s="54"/>
      <c r="R54" s="54"/>
      <c r="S54" s="54"/>
    </row>
    <row r="55" spans="1:19" ht="29.25">
      <c r="A55" s="552" t="s">
        <v>26</v>
      </c>
      <c r="B55" s="3" t="s">
        <v>154</v>
      </c>
      <c r="C55" s="4" t="s">
        <v>625</v>
      </c>
      <c r="D55" s="4"/>
      <c r="E55" s="4" t="s">
        <v>859</v>
      </c>
      <c r="F55" s="4" t="s">
        <v>592</v>
      </c>
      <c r="G55" s="4" t="s">
        <v>591</v>
      </c>
      <c r="H55" s="695" t="s">
        <v>630</v>
      </c>
      <c r="I55" s="22">
        <v>70526239</v>
      </c>
      <c r="J55" s="29" t="s">
        <v>65</v>
      </c>
      <c r="K55" s="8">
        <v>5</v>
      </c>
      <c r="L55" s="33"/>
      <c r="M55" s="32">
        <f>17104-15098</f>
        <v>2006</v>
      </c>
      <c r="N55" s="32">
        <f>37709-32434</f>
        <v>5275</v>
      </c>
      <c r="O55" s="32">
        <f>SUM(M55:N55)</f>
        <v>7281</v>
      </c>
      <c r="P55" s="54"/>
      <c r="Q55" s="54"/>
      <c r="R55" s="54"/>
      <c r="S55" s="54"/>
    </row>
    <row r="56" spans="1:19" ht="29.25">
      <c r="A56" s="552" t="s">
        <v>26</v>
      </c>
      <c r="B56" s="3" t="s">
        <v>154</v>
      </c>
      <c r="C56" s="4" t="s">
        <v>614</v>
      </c>
      <c r="D56" s="4"/>
      <c r="E56" s="4" t="s">
        <v>854</v>
      </c>
      <c r="F56" s="4" t="s">
        <v>592</v>
      </c>
      <c r="G56" s="4" t="s">
        <v>591</v>
      </c>
      <c r="H56" s="695" t="s">
        <v>631</v>
      </c>
      <c r="I56" s="22">
        <v>41707</v>
      </c>
      <c r="J56" s="29" t="s">
        <v>65</v>
      </c>
      <c r="K56" s="8">
        <v>4</v>
      </c>
      <c r="L56" s="33"/>
      <c r="M56" s="32">
        <f>3615-3083</f>
        <v>532</v>
      </c>
      <c r="N56" s="32">
        <f>6844-5745</f>
        <v>1099</v>
      </c>
      <c r="O56" s="32">
        <f>SUM(M56:N56)</f>
        <v>1631</v>
      </c>
      <c r="P56" s="54"/>
      <c r="Q56" s="54"/>
      <c r="R56" s="54"/>
      <c r="S56" s="54"/>
    </row>
    <row r="57" spans="1:19" ht="29.25">
      <c r="A57" s="552" t="s">
        <v>26</v>
      </c>
      <c r="B57" s="3" t="s">
        <v>154</v>
      </c>
      <c r="C57" s="4" t="s">
        <v>614</v>
      </c>
      <c r="D57" s="4"/>
      <c r="E57" s="4">
        <v>51</v>
      </c>
      <c r="F57" s="4" t="s">
        <v>592</v>
      </c>
      <c r="G57" s="4" t="s">
        <v>591</v>
      </c>
      <c r="H57" s="695" t="s">
        <v>632</v>
      </c>
      <c r="I57" s="22">
        <v>70526244</v>
      </c>
      <c r="J57" s="29" t="s">
        <v>65</v>
      </c>
      <c r="K57" s="8">
        <v>5</v>
      </c>
      <c r="L57" s="33"/>
      <c r="M57" s="32">
        <f>16939-15027</f>
        <v>1912</v>
      </c>
      <c r="N57" s="32">
        <f>35992-31459</f>
        <v>4533</v>
      </c>
      <c r="O57" s="32">
        <f>SUM(M57:N57)</f>
        <v>6445</v>
      </c>
      <c r="P57" s="54"/>
      <c r="Q57" s="54"/>
      <c r="R57" s="54"/>
      <c r="S57" s="54"/>
    </row>
    <row r="58" spans="1:19" ht="29.25">
      <c r="A58" s="552" t="s">
        <v>26</v>
      </c>
      <c r="B58" s="9" t="s">
        <v>154</v>
      </c>
      <c r="C58" s="6" t="s">
        <v>625</v>
      </c>
      <c r="D58" s="6"/>
      <c r="E58" s="4" t="s">
        <v>860</v>
      </c>
      <c r="F58" s="4" t="s">
        <v>592</v>
      </c>
      <c r="G58" s="4" t="s">
        <v>591</v>
      </c>
      <c r="H58" s="696" t="s">
        <v>650</v>
      </c>
      <c r="I58" s="22">
        <v>37031</v>
      </c>
      <c r="J58" s="29" t="s">
        <v>65</v>
      </c>
      <c r="K58" s="8">
        <v>3</v>
      </c>
      <c r="L58" s="33"/>
      <c r="M58" s="32">
        <f>1178-1019</f>
        <v>159</v>
      </c>
      <c r="N58" s="32">
        <f>1345-1162</f>
        <v>183</v>
      </c>
      <c r="O58" s="32">
        <f>SUM(M58:N58)</f>
        <v>342</v>
      </c>
      <c r="P58" s="54"/>
      <c r="Q58" s="54"/>
      <c r="R58" s="54"/>
      <c r="S58" s="54"/>
    </row>
    <row r="59" spans="1:19" ht="30" thickBot="1">
      <c r="A59" s="552" t="s">
        <v>26</v>
      </c>
      <c r="B59" s="454" t="s">
        <v>154</v>
      </c>
      <c r="C59" s="769" t="s">
        <v>614</v>
      </c>
      <c r="D59" s="266" t="s">
        <v>1405</v>
      </c>
      <c r="E59" s="669">
        <v>1</v>
      </c>
      <c r="F59" s="182" t="s">
        <v>592</v>
      </c>
      <c r="G59" s="182" t="s">
        <v>591</v>
      </c>
      <c r="H59" s="696" t="s">
        <v>1789</v>
      </c>
      <c r="I59" s="182">
        <v>83698520</v>
      </c>
      <c r="J59" s="430" t="s">
        <v>716</v>
      </c>
      <c r="K59" s="829">
        <v>3</v>
      </c>
      <c r="L59" s="182">
        <v>600</v>
      </c>
      <c r="M59" s="482"/>
      <c r="N59" s="482"/>
      <c r="O59" s="182">
        <f>L59</f>
        <v>600</v>
      </c>
      <c r="P59" s="54"/>
      <c r="Q59" s="54"/>
      <c r="R59" s="54"/>
      <c r="S59" s="54"/>
    </row>
    <row r="60" spans="1:19" ht="48" customHeight="1">
      <c r="B60" s="1231" t="s">
        <v>22</v>
      </c>
      <c r="C60" s="121" t="s">
        <v>861</v>
      </c>
      <c r="D60" s="42"/>
      <c r="E60" s="260"/>
      <c r="F60" s="260"/>
      <c r="G60" s="1622" t="s">
        <v>1920</v>
      </c>
      <c r="H60" s="1229" t="s">
        <v>1676</v>
      </c>
      <c r="M60" s="31"/>
      <c r="N60" s="32" t="s">
        <v>23</v>
      </c>
      <c r="O60" s="556">
        <f>SUM(O53:O59)</f>
        <v>96096</v>
      </c>
      <c r="P60" s="54"/>
      <c r="Q60" s="54"/>
      <c r="R60" s="54"/>
      <c r="S60" s="54"/>
    </row>
    <row r="61" spans="1:19" ht="15">
      <c r="B61" s="13"/>
      <c r="C61" s="43" t="s">
        <v>862</v>
      </c>
      <c r="D61" s="40"/>
      <c r="E61" s="260"/>
      <c r="F61" s="260"/>
      <c r="G61" s="13"/>
      <c r="H61" s="1230" t="s">
        <v>1788</v>
      </c>
    </row>
    <row r="62" spans="1:19" ht="15">
      <c r="A62" s="287"/>
      <c r="B62" s="13"/>
      <c r="C62" s="110" t="s">
        <v>627</v>
      </c>
      <c r="D62" s="40"/>
      <c r="E62" s="260"/>
      <c r="F62" s="260"/>
      <c r="G62" s="13"/>
      <c r="H62" s="1230" t="s">
        <v>627</v>
      </c>
      <c r="J62" s="287"/>
    </row>
    <row r="63" spans="1:19" ht="15.75" thickBot="1">
      <c r="A63" s="287"/>
      <c r="B63" s="553" t="s">
        <v>160</v>
      </c>
      <c r="C63" s="43" t="s">
        <v>1677</v>
      </c>
      <c r="D63" s="40"/>
      <c r="E63" s="260"/>
      <c r="F63" s="260"/>
      <c r="G63" s="71"/>
      <c r="H63" s="18"/>
      <c r="J63" s="287"/>
    </row>
    <row r="64" spans="1:19" ht="15.75" thickBot="1">
      <c r="A64" s="1290"/>
      <c r="B64" s="433" t="s">
        <v>1061</v>
      </c>
      <c r="C64" s="97" t="s">
        <v>1787</v>
      </c>
      <c r="D64" s="231"/>
      <c r="E64" s="260"/>
      <c r="F64" s="260"/>
      <c r="G64" s="14"/>
      <c r="H64" s="14"/>
      <c r="J64" s="1290"/>
    </row>
    <row r="65" spans="1:21" ht="15">
      <c r="A65" s="912"/>
      <c r="B65" s="577"/>
      <c r="C65" s="68"/>
      <c r="D65" s="53"/>
      <c r="E65" s="14"/>
      <c r="F65" s="54"/>
      <c r="J65" s="912"/>
    </row>
    <row r="66" spans="1:21" ht="15.75" thickBot="1">
      <c r="A66" s="912"/>
      <c r="B66" s="577"/>
      <c r="C66" s="68"/>
      <c r="D66" s="53"/>
      <c r="E66" s="14"/>
      <c r="F66" s="54"/>
      <c r="J66" s="912"/>
    </row>
    <row r="67" spans="1:21" ht="50.25" customHeight="1">
      <c r="A67" s="1662" t="s">
        <v>6</v>
      </c>
      <c r="B67" s="1656" t="s">
        <v>7</v>
      </c>
      <c r="C67" s="1656" t="s">
        <v>8</v>
      </c>
      <c r="D67" s="1656" t="s">
        <v>9</v>
      </c>
      <c r="E67" s="1656" t="s">
        <v>10</v>
      </c>
      <c r="F67" s="1656" t="s">
        <v>11</v>
      </c>
      <c r="G67" s="1656" t="s">
        <v>12</v>
      </c>
      <c r="H67" s="1656" t="s">
        <v>14</v>
      </c>
      <c r="I67" s="1656" t="s">
        <v>269</v>
      </c>
      <c r="J67" s="1656" t="s">
        <v>59</v>
      </c>
      <c r="K67" s="1659" t="s">
        <v>15</v>
      </c>
      <c r="L67" s="1650" t="s">
        <v>641</v>
      </c>
      <c r="M67" s="1650"/>
      <c r="N67" s="1650"/>
      <c r="O67" s="1650"/>
      <c r="P67" s="1650" t="s">
        <v>642</v>
      </c>
      <c r="Q67" s="1650"/>
      <c r="R67" s="1650"/>
      <c r="S67" s="1650"/>
      <c r="T67" s="1695" t="s">
        <v>1175</v>
      </c>
      <c r="U67" s="1651" t="s">
        <v>1127</v>
      </c>
    </row>
    <row r="68" spans="1:21" ht="50.25" customHeight="1">
      <c r="A68" s="1663"/>
      <c r="B68" s="1657"/>
      <c r="C68" s="1657"/>
      <c r="D68" s="1657"/>
      <c r="E68" s="1657"/>
      <c r="F68" s="1657"/>
      <c r="G68" s="1657"/>
      <c r="H68" s="1657"/>
      <c r="I68" s="1657"/>
      <c r="J68" s="1657"/>
      <c r="K68" s="1660"/>
      <c r="L68" s="1654" t="s">
        <v>638</v>
      </c>
      <c r="M68" s="1654" t="s">
        <v>639</v>
      </c>
      <c r="N68" s="1654" t="s">
        <v>640</v>
      </c>
      <c r="O68" s="1654" t="s">
        <v>643</v>
      </c>
      <c r="P68" s="1654" t="s">
        <v>638</v>
      </c>
      <c r="Q68" s="1654" t="s">
        <v>639</v>
      </c>
      <c r="R68" s="1654" t="s">
        <v>640</v>
      </c>
      <c r="S68" s="1654" t="s">
        <v>643</v>
      </c>
      <c r="T68" s="1696"/>
      <c r="U68" s="1652"/>
    </row>
    <row r="69" spans="1:21" ht="15" thickBot="1">
      <c r="A69" s="1664"/>
      <c r="B69" s="1658"/>
      <c r="C69" s="1658"/>
      <c r="D69" s="1658"/>
      <c r="E69" s="1658"/>
      <c r="F69" s="1658"/>
      <c r="G69" s="1658"/>
      <c r="H69" s="1658"/>
      <c r="I69" s="1658"/>
      <c r="J69" s="1658"/>
      <c r="K69" s="1661"/>
      <c r="L69" s="1655"/>
      <c r="M69" s="1655"/>
      <c r="N69" s="1655"/>
      <c r="O69" s="1655"/>
      <c r="P69" s="1655"/>
      <c r="Q69" s="1655"/>
      <c r="R69" s="1655"/>
      <c r="S69" s="1655"/>
      <c r="T69" s="1747"/>
      <c r="U69" s="1748"/>
    </row>
    <row r="70" spans="1:21" ht="44.25" thickBot="1">
      <c r="A70" s="552" t="s">
        <v>17</v>
      </c>
      <c r="B70" s="454" t="s">
        <v>138</v>
      </c>
      <c r="C70" s="769" t="s">
        <v>591</v>
      </c>
      <c r="D70" s="266" t="s">
        <v>249</v>
      </c>
      <c r="E70" s="669" t="s">
        <v>1796</v>
      </c>
      <c r="F70" s="182" t="s">
        <v>592</v>
      </c>
      <c r="G70" s="182" t="s">
        <v>591</v>
      </c>
      <c r="H70" s="696">
        <v>53856166</v>
      </c>
      <c r="I70" s="182">
        <v>91419390</v>
      </c>
      <c r="J70" s="483" t="s">
        <v>65</v>
      </c>
      <c r="K70" s="829">
        <v>14</v>
      </c>
      <c r="L70" s="33"/>
      <c r="M70" s="32">
        <v>500</v>
      </c>
      <c r="N70" s="32">
        <v>1000</v>
      </c>
      <c r="O70" s="32">
        <f>SUM(M70:N70)</f>
        <v>1500</v>
      </c>
      <c r="P70" s="33"/>
      <c r="Q70" s="32">
        <f>M70</f>
        <v>500</v>
      </c>
      <c r="R70" s="32">
        <f>N70</f>
        <v>1000</v>
      </c>
      <c r="S70" s="32">
        <f>SUM(Q70:R70)</f>
        <v>1500</v>
      </c>
      <c r="T70" s="266" t="s">
        <v>1456</v>
      </c>
      <c r="U70" s="182" t="s">
        <v>1752</v>
      </c>
    </row>
    <row r="71" spans="1:21" ht="48.75" customHeight="1">
      <c r="A71" s="912"/>
      <c r="B71" s="1231" t="s">
        <v>22</v>
      </c>
      <c r="C71" s="121" t="s">
        <v>861</v>
      </c>
      <c r="D71" s="42"/>
      <c r="E71" s="260"/>
      <c r="F71" s="260"/>
      <c r="G71" s="1622" t="s">
        <v>1920</v>
      </c>
      <c r="H71" s="1229" t="s">
        <v>1676</v>
      </c>
      <c r="J71" s="912"/>
      <c r="R71" s="268" t="s">
        <v>23</v>
      </c>
      <c r="S71" s="567">
        <f>SUM(S70:S70)</f>
        <v>1500</v>
      </c>
    </row>
    <row r="72" spans="1:21" ht="14.25" customHeight="1">
      <c r="A72" s="912"/>
      <c r="B72" s="13"/>
      <c r="C72" s="43" t="s">
        <v>862</v>
      </c>
      <c r="D72" s="40"/>
      <c r="E72" s="260"/>
      <c r="F72" s="260"/>
      <c r="G72" s="13"/>
      <c r="H72" s="1230" t="s">
        <v>862</v>
      </c>
      <c r="J72" s="912"/>
    </row>
    <row r="73" spans="1:21" ht="14.25" customHeight="1">
      <c r="A73" s="912"/>
      <c r="B73" s="13"/>
      <c r="C73" s="110" t="s">
        <v>627</v>
      </c>
      <c r="D73" s="40"/>
      <c r="E73" s="260"/>
      <c r="F73" s="260"/>
      <c r="G73" s="13"/>
      <c r="H73" s="1230" t="s">
        <v>627</v>
      </c>
      <c r="J73" s="912"/>
    </row>
    <row r="74" spans="1:21" ht="14.25" customHeight="1" thickBot="1">
      <c r="A74" s="912"/>
      <c r="B74" s="433" t="s">
        <v>160</v>
      </c>
      <c r="C74" s="113" t="s">
        <v>1677</v>
      </c>
      <c r="D74" s="41"/>
      <c r="E74" s="260"/>
      <c r="F74" s="260"/>
      <c r="G74" s="71"/>
      <c r="H74" s="18"/>
      <c r="J74" s="912"/>
    </row>
    <row r="75" spans="1:21" ht="15">
      <c r="A75" s="912"/>
      <c r="B75" s="577"/>
      <c r="C75" s="68"/>
      <c r="D75" s="53"/>
      <c r="E75" s="14"/>
      <c r="F75" s="54"/>
      <c r="J75" s="912"/>
    </row>
    <row r="76" spans="1:21" ht="15">
      <c r="A76" s="287"/>
      <c r="B76" s="577"/>
      <c r="C76" s="68"/>
      <c r="D76" s="53"/>
      <c r="E76" s="14"/>
      <c r="F76" s="54"/>
      <c r="J76" s="287"/>
      <c r="L76" s="1" t="s">
        <v>62</v>
      </c>
      <c r="M76" s="31">
        <f>O44+O60+S71</f>
        <v>574930.35</v>
      </c>
    </row>
    <row r="77" spans="1:21" ht="15.75" thickBot="1">
      <c r="A77" s="287"/>
      <c r="B77" s="577"/>
      <c r="C77" s="68"/>
      <c r="D77" s="53"/>
      <c r="E77" s="14"/>
      <c r="F77" s="54"/>
      <c r="J77" s="287"/>
    </row>
    <row r="78" spans="1:21" ht="44.25" customHeight="1">
      <c r="K78" s="1706" t="s">
        <v>59</v>
      </c>
      <c r="L78" s="1708" t="s">
        <v>644</v>
      </c>
      <c r="M78" s="1709"/>
      <c r="N78" s="1710"/>
      <c r="O78" s="1711" t="s">
        <v>60</v>
      </c>
    </row>
    <row r="79" spans="1:21" ht="28.5" customHeight="1" thickBot="1">
      <c r="K79" s="1707"/>
      <c r="L79" s="274" t="s">
        <v>61</v>
      </c>
      <c r="M79" s="274" t="s">
        <v>639</v>
      </c>
      <c r="N79" s="274" t="s">
        <v>640</v>
      </c>
      <c r="O79" s="1712"/>
    </row>
    <row r="80" spans="1:21" ht="28.5" customHeight="1">
      <c r="A80" s="928"/>
      <c r="J80" s="928"/>
      <c r="K80" s="1014" t="s">
        <v>716</v>
      </c>
      <c r="L80" s="1015">
        <f>O59</f>
        <v>600</v>
      </c>
      <c r="M80" s="1016"/>
      <c r="N80" s="1017"/>
      <c r="O80" s="793">
        <v>1</v>
      </c>
    </row>
    <row r="81" spans="1:15" ht="23.25" customHeight="1">
      <c r="A81" s="287"/>
      <c r="J81" s="287"/>
      <c r="K81" s="977" t="s">
        <v>28</v>
      </c>
      <c r="L81" s="959">
        <f>O38+O40</f>
        <v>22707</v>
      </c>
      <c r="M81" s="1013"/>
      <c r="N81" s="1018"/>
      <c r="O81" s="794">
        <v>2</v>
      </c>
    </row>
    <row r="82" spans="1:15" ht="23.25" customHeight="1">
      <c r="K82" s="977" t="s">
        <v>21</v>
      </c>
      <c r="L82" s="959">
        <f>O31+O32+O53</f>
        <v>248855.00000000003</v>
      </c>
      <c r="M82" s="671"/>
      <c r="N82" s="991"/>
      <c r="O82" s="952">
        <v>3</v>
      </c>
    </row>
    <row r="83" spans="1:15" ht="23.25" customHeight="1" thickBot="1">
      <c r="K83" s="1008" t="s">
        <v>65</v>
      </c>
      <c r="L83" s="993"/>
      <c r="M83" s="994">
        <f>SUM(M18:M30,M33:M37,M39,M41:M43,M54:M58,Q70)</f>
        <v>78257.150000000009</v>
      </c>
      <c r="N83" s="995">
        <f>SUM(N18:N30,N33:N37,N39,N41:N43,N54:N58,R70)</f>
        <v>224511.19999999995</v>
      </c>
      <c r="O83" s="953">
        <v>28</v>
      </c>
    </row>
    <row r="84" spans="1:15" ht="23.25" customHeight="1" thickBot="1">
      <c r="K84" s="341" t="s">
        <v>62</v>
      </c>
      <c r="L84" s="1010">
        <f>SUM(L80:L83)</f>
        <v>272162</v>
      </c>
      <c r="M84" s="1011">
        <f>SUM(M80:M83)</f>
        <v>78257.150000000009</v>
      </c>
      <c r="N84" s="1012">
        <f>SUM(N80:N83)</f>
        <v>224511.19999999995</v>
      </c>
      <c r="O84" s="1009">
        <f>SUM(O80:O83)</f>
        <v>34</v>
      </c>
    </row>
    <row r="85" spans="1:15" ht="23.25" customHeight="1" thickBot="1">
      <c r="K85" s="1"/>
      <c r="L85" s="123" t="s">
        <v>63</v>
      </c>
      <c r="M85" s="674">
        <f>SUM(L84:N84)</f>
        <v>574930.35</v>
      </c>
      <c r="N85" s="123"/>
      <c r="O85" s="31"/>
    </row>
    <row r="87" spans="1:15" ht="14.25" customHeight="1"/>
  </sheetData>
  <mergeCells count="55">
    <mergeCell ref="S68:S69"/>
    <mergeCell ref="P67:S67"/>
    <mergeCell ref="T67:T69"/>
    <mergeCell ref="U67:U69"/>
    <mergeCell ref="L68:L69"/>
    <mergeCell ref="M68:M69"/>
    <mergeCell ref="N68:N69"/>
    <mergeCell ref="O68:O69"/>
    <mergeCell ref="P68:P69"/>
    <mergeCell ref="Q68:Q69"/>
    <mergeCell ref="F67:F69"/>
    <mergeCell ref="R68:R69"/>
    <mergeCell ref="G67:G69"/>
    <mergeCell ref="H67:H69"/>
    <mergeCell ref="I67:I69"/>
    <mergeCell ref="J67:J69"/>
    <mergeCell ref="K67:K69"/>
    <mergeCell ref="L67:O67"/>
    <mergeCell ref="A67:A69"/>
    <mergeCell ref="B67:B69"/>
    <mergeCell ref="C67:C69"/>
    <mergeCell ref="D67:D69"/>
    <mergeCell ref="E67:E69"/>
    <mergeCell ref="A15:A17"/>
    <mergeCell ref="I50:I52"/>
    <mergeCell ref="D15:D17"/>
    <mergeCell ref="H15:H17"/>
    <mergeCell ref="H50:H52"/>
    <mergeCell ref="A50:A52"/>
    <mergeCell ref="B50:B52"/>
    <mergeCell ref="C15:C17"/>
    <mergeCell ref="B1:I1"/>
    <mergeCell ref="L50:O50"/>
    <mergeCell ref="L15:O15"/>
    <mergeCell ref="J50:J52"/>
    <mergeCell ref="J15:J17"/>
    <mergeCell ref="E50:E52"/>
    <mergeCell ref="I15:I17"/>
    <mergeCell ref="B5:I5"/>
    <mergeCell ref="C50:C52"/>
    <mergeCell ref="F50:F52"/>
    <mergeCell ref="B3:I3"/>
    <mergeCell ref="L51:O51"/>
    <mergeCell ref="F15:F17"/>
    <mergeCell ref="E15:E17"/>
    <mergeCell ref="B15:B17"/>
    <mergeCell ref="D50:D52"/>
    <mergeCell ref="O78:O79"/>
    <mergeCell ref="G50:G52"/>
    <mergeCell ref="G15:G17"/>
    <mergeCell ref="K78:K79"/>
    <mergeCell ref="L16:O16"/>
    <mergeCell ref="L78:N78"/>
    <mergeCell ref="K15:K17"/>
    <mergeCell ref="K50:K52"/>
  </mergeCells>
  <pageMargins left="0.7" right="0.7" top="0.75" bottom="0.75" header="0.3" footer="0.3"/>
  <pageSetup paperSize="9" orientation="portrait" r:id="rId1"/>
  <ignoredErrors>
    <ignoredError sqref="O42 O3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opLeftCell="B91" zoomScale="80" zoomScaleNormal="80" workbookViewId="0">
      <selection activeCell="M108" sqref="M108"/>
    </sheetView>
  </sheetViews>
  <sheetFormatPr defaultRowHeight="14.25"/>
  <cols>
    <col min="1" max="1" width="13.25" customWidth="1"/>
    <col min="2" max="2" width="16.375" customWidth="1"/>
    <col min="3" max="3" width="15.625" customWidth="1"/>
    <col min="4" max="4" width="12.875" customWidth="1"/>
    <col min="5" max="5" width="11" customWidth="1"/>
    <col min="6" max="6" width="12.75" customWidth="1"/>
    <col min="7" max="7" width="17.5" customWidth="1"/>
    <col min="8" max="8" width="25.875" style="1" customWidth="1"/>
    <col min="9" max="9" width="14.625" style="1" customWidth="1"/>
    <col min="10" max="10" width="16.625" customWidth="1"/>
    <col min="11" max="11" width="14" customWidth="1"/>
    <col min="12" max="12" width="13.625" customWidth="1"/>
    <col min="13" max="13" width="16.5" customWidth="1"/>
    <col min="14" max="14" width="17.25" customWidth="1"/>
    <col min="15" max="15" width="16.625" customWidth="1"/>
    <col min="16" max="16" width="14.375" customWidth="1"/>
    <col min="17" max="17" width="13.5" customWidth="1"/>
    <col min="18" max="18" width="17.875" customWidth="1"/>
    <col min="19" max="19" width="14.75" customWidth="1"/>
    <col min="20" max="21" width="32.375" customWidth="1"/>
    <col min="22" max="22" width="36.5" customWidth="1"/>
  </cols>
  <sheetData>
    <row r="1" spans="1:15" s="1" customFormat="1" ht="18">
      <c r="B1" s="1691" t="s">
        <v>1174</v>
      </c>
      <c r="C1" s="1691"/>
      <c r="D1" s="1691"/>
      <c r="E1" s="1691"/>
      <c r="F1" s="1691"/>
      <c r="G1" s="1691"/>
      <c r="H1" s="1691"/>
      <c r="I1" s="1691"/>
    </row>
    <row r="2" spans="1:15" s="1" customFormat="1"/>
    <row r="3" spans="1:15" s="1" customFormat="1" ht="29.25" customHeight="1">
      <c r="B3" s="1727" t="s">
        <v>703</v>
      </c>
      <c r="C3" s="1728"/>
      <c r="D3" s="1728"/>
      <c r="E3" s="1728"/>
      <c r="F3" s="1728"/>
      <c r="G3" s="1728"/>
      <c r="H3" s="1728"/>
      <c r="I3" s="1728"/>
      <c r="J3" s="1729"/>
    </row>
    <row r="4" spans="1:15" ht="15">
      <c r="A4" s="1"/>
      <c r="B4" s="469"/>
      <c r="C4" s="469"/>
      <c r="D4" s="469"/>
      <c r="E4" s="469"/>
      <c r="F4" s="469"/>
      <c r="G4" s="469"/>
      <c r="H4" s="469"/>
      <c r="I4" s="469"/>
      <c r="J4" s="469"/>
    </row>
    <row r="5" spans="1:15" s="1" customFormat="1" ht="15">
      <c r="B5" s="1796" t="s">
        <v>1052</v>
      </c>
      <c r="C5" s="1749"/>
      <c r="D5" s="1749"/>
      <c r="E5" s="1749"/>
      <c r="F5" s="1749"/>
      <c r="G5" s="1749"/>
      <c r="H5" s="1749"/>
      <c r="I5" s="1749"/>
      <c r="J5" s="1797"/>
    </row>
    <row r="6" spans="1:15" s="1" customFormat="1" ht="15">
      <c r="B6" s="469"/>
      <c r="C6" s="469"/>
      <c r="D6" s="469"/>
      <c r="E6" s="469"/>
      <c r="F6" s="469"/>
      <c r="G6" s="469"/>
      <c r="H6" s="472"/>
      <c r="I6" s="472"/>
      <c r="J6" s="471"/>
    </row>
    <row r="7" spans="1:15" s="1" customFormat="1" ht="15.75">
      <c r="B7" s="470" t="s">
        <v>1</v>
      </c>
      <c r="C7" s="469"/>
      <c r="D7" s="469"/>
      <c r="E7" s="469"/>
      <c r="F7" s="471"/>
      <c r="G7" s="469"/>
      <c r="H7" s="472"/>
      <c r="I7" s="472"/>
      <c r="J7" s="471"/>
    </row>
    <row r="8" spans="1:15" s="1" customFormat="1" ht="15.75">
      <c r="B8" s="1307" t="s">
        <v>1921</v>
      </c>
      <c r="C8" s="469"/>
      <c r="D8" s="469"/>
      <c r="E8" s="469"/>
      <c r="F8" s="471"/>
      <c r="G8" s="469"/>
      <c r="H8" s="472"/>
      <c r="I8" s="472"/>
      <c r="J8" s="471"/>
    </row>
    <row r="9" spans="1:15" ht="15.75">
      <c r="A9" s="1"/>
      <c r="B9" s="473" t="s">
        <v>1872</v>
      </c>
      <c r="C9" s="471"/>
      <c r="D9" s="474"/>
      <c r="E9" s="469"/>
      <c r="F9" s="469"/>
      <c r="G9" s="471"/>
      <c r="H9" s="472"/>
      <c r="I9" s="472"/>
      <c r="J9" s="471"/>
    </row>
    <row r="10" spans="1:15" ht="15.75">
      <c r="A10" s="1"/>
      <c r="B10" s="473" t="s">
        <v>1045</v>
      </c>
      <c r="C10" s="471"/>
      <c r="D10" s="474"/>
      <c r="E10" s="469"/>
      <c r="F10" s="469"/>
      <c r="G10" s="471"/>
      <c r="H10" s="472"/>
      <c r="I10" s="472"/>
      <c r="J10" s="471"/>
    </row>
    <row r="11" spans="1:15" ht="15">
      <c r="A11" s="1"/>
      <c r="B11" s="471" t="s">
        <v>1044</v>
      </c>
      <c r="C11" s="471"/>
      <c r="D11" s="471"/>
      <c r="E11" s="471"/>
      <c r="F11" s="471"/>
      <c r="G11" s="471"/>
      <c r="H11" s="472"/>
      <c r="I11" s="472"/>
      <c r="J11" s="471"/>
    </row>
    <row r="12" spans="1:15" ht="15.75">
      <c r="A12" s="1"/>
      <c r="B12" s="475" t="s">
        <v>4</v>
      </c>
      <c r="C12" s="470" t="s">
        <v>5</v>
      </c>
      <c r="D12" s="474"/>
      <c r="E12" s="477"/>
      <c r="F12" s="471"/>
      <c r="G12" s="471"/>
      <c r="H12" s="471"/>
      <c r="I12" s="471"/>
      <c r="J12" s="471"/>
    </row>
    <row r="13" spans="1:15" s="1" customFormat="1" ht="15.75">
      <c r="B13" s="475" t="s">
        <v>2</v>
      </c>
      <c r="C13" s="470" t="s">
        <v>3</v>
      </c>
      <c r="D13" s="474"/>
      <c r="E13" s="477"/>
      <c r="F13" s="471"/>
      <c r="G13" s="471"/>
      <c r="H13" s="1627"/>
      <c r="I13" s="471"/>
      <c r="J13" s="471"/>
    </row>
    <row r="14" spans="1:15" ht="15" thickBot="1">
      <c r="A14" s="1"/>
      <c r="B14" s="1"/>
      <c r="C14" s="287"/>
      <c r="D14" s="287"/>
      <c r="E14" s="287"/>
      <c r="F14" s="287"/>
      <c r="G14" s="287"/>
      <c r="H14" s="287"/>
      <c r="I14" s="287"/>
      <c r="J14" s="1"/>
      <c r="K14" s="287"/>
      <c r="L14" s="1"/>
      <c r="M14" s="1"/>
      <c r="N14" s="1"/>
      <c r="O14" s="1"/>
    </row>
    <row r="15" spans="1:15" ht="39" customHeight="1">
      <c r="A15" s="1662" t="s">
        <v>6</v>
      </c>
      <c r="B15" s="1673" t="s">
        <v>633</v>
      </c>
      <c r="C15" s="1676" t="s">
        <v>8</v>
      </c>
      <c r="D15" s="1676" t="s">
        <v>9</v>
      </c>
      <c r="E15" s="1656" t="s">
        <v>634</v>
      </c>
      <c r="F15" s="1656" t="s">
        <v>11</v>
      </c>
      <c r="G15" s="1676" t="s">
        <v>12</v>
      </c>
      <c r="H15" s="1656" t="s">
        <v>13</v>
      </c>
      <c r="I15" s="1656" t="s">
        <v>757</v>
      </c>
      <c r="J15" s="1656" t="s">
        <v>59</v>
      </c>
      <c r="K15" s="1793" t="s">
        <v>635</v>
      </c>
      <c r="L15" s="1719" t="s">
        <v>636</v>
      </c>
      <c r="M15" s="1719"/>
      <c r="N15" s="1719"/>
      <c r="O15" s="1726"/>
    </row>
    <row r="16" spans="1:15" ht="39" customHeight="1">
      <c r="A16" s="1663"/>
      <c r="B16" s="1674"/>
      <c r="C16" s="1677"/>
      <c r="D16" s="1677"/>
      <c r="E16" s="1657"/>
      <c r="F16" s="1657"/>
      <c r="G16" s="1677"/>
      <c r="H16" s="1657"/>
      <c r="I16" s="1698"/>
      <c r="J16" s="1657"/>
      <c r="K16" s="1794"/>
      <c r="L16" s="1654" t="s">
        <v>637</v>
      </c>
      <c r="M16" s="1654"/>
      <c r="N16" s="1654"/>
      <c r="O16" s="1680"/>
    </row>
    <row r="17" spans="1:15" ht="28.5" customHeight="1" thickBot="1">
      <c r="A17" s="1664"/>
      <c r="B17" s="1675"/>
      <c r="C17" s="1678"/>
      <c r="D17" s="1717"/>
      <c r="E17" s="1658"/>
      <c r="F17" s="1658"/>
      <c r="G17" s="1678"/>
      <c r="H17" s="1658"/>
      <c r="I17" s="1699"/>
      <c r="J17" s="1658"/>
      <c r="K17" s="1795"/>
      <c r="L17" s="826" t="s">
        <v>638</v>
      </c>
      <c r="M17" s="826" t="s">
        <v>639</v>
      </c>
      <c r="N17" s="826" t="s">
        <v>640</v>
      </c>
      <c r="O17" s="827" t="s">
        <v>16</v>
      </c>
    </row>
    <row r="18" spans="1:15" ht="29.25">
      <c r="A18" s="601" t="s">
        <v>26</v>
      </c>
      <c r="B18" s="266" t="s">
        <v>654</v>
      </c>
      <c r="C18" s="337" t="s">
        <v>655</v>
      </c>
      <c r="D18" s="4"/>
      <c r="E18" s="337"/>
      <c r="F18" s="337" t="s">
        <v>652</v>
      </c>
      <c r="G18" s="337" t="s">
        <v>651</v>
      </c>
      <c r="H18" s="705" t="s">
        <v>849</v>
      </c>
      <c r="I18" s="182">
        <v>41356</v>
      </c>
      <c r="J18" s="483" t="s">
        <v>65</v>
      </c>
      <c r="K18" s="338">
        <v>4</v>
      </c>
      <c r="L18" s="33"/>
      <c r="M18" s="32">
        <f>10043-10043</f>
        <v>0</v>
      </c>
      <c r="N18" s="32">
        <f>24211-23876</f>
        <v>335</v>
      </c>
      <c r="O18" s="32">
        <f>M18+N18</f>
        <v>335</v>
      </c>
    </row>
    <row r="19" spans="1:15" ht="18">
      <c r="A19" s="601" t="s">
        <v>26</v>
      </c>
      <c r="B19" s="4" t="s">
        <v>226</v>
      </c>
      <c r="C19" s="333" t="s">
        <v>651</v>
      </c>
      <c r="D19" s="4"/>
      <c r="E19" s="112">
        <v>55</v>
      </c>
      <c r="F19" s="112" t="s">
        <v>652</v>
      </c>
      <c r="G19" s="112" t="s">
        <v>651</v>
      </c>
      <c r="H19" s="706" t="s">
        <v>851</v>
      </c>
      <c r="I19" s="4">
        <v>91302250</v>
      </c>
      <c r="J19" s="377" t="s">
        <v>442</v>
      </c>
      <c r="K19" s="326">
        <v>8</v>
      </c>
      <c r="L19" s="33"/>
      <c r="M19" s="32">
        <v>3000</v>
      </c>
      <c r="N19" s="32">
        <v>1000</v>
      </c>
      <c r="O19" s="32">
        <f t="shared" ref="O19:O24" si="0">M19+N19</f>
        <v>4000</v>
      </c>
    </row>
    <row r="20" spans="1:15" ht="18">
      <c r="A20" s="601" t="s">
        <v>26</v>
      </c>
      <c r="B20" s="4" t="s">
        <v>226</v>
      </c>
      <c r="C20" s="333" t="s">
        <v>651</v>
      </c>
      <c r="D20" s="4"/>
      <c r="E20" s="112"/>
      <c r="F20" s="112" t="s">
        <v>652</v>
      </c>
      <c r="G20" s="112" t="s">
        <v>651</v>
      </c>
      <c r="H20" s="705" t="s">
        <v>852</v>
      </c>
      <c r="I20" s="4">
        <v>38689</v>
      </c>
      <c r="J20" s="29" t="s">
        <v>65</v>
      </c>
      <c r="K20" s="326">
        <v>19</v>
      </c>
      <c r="L20" s="33"/>
      <c r="M20" s="32">
        <f>64567-54486</f>
        <v>10081</v>
      </c>
      <c r="N20" s="32">
        <f>162571-136153</f>
        <v>26418</v>
      </c>
      <c r="O20" s="32">
        <f t="shared" si="0"/>
        <v>36499</v>
      </c>
    </row>
    <row r="21" spans="1:15" ht="18">
      <c r="A21" s="601" t="s">
        <v>26</v>
      </c>
      <c r="B21" s="6" t="s">
        <v>500</v>
      </c>
      <c r="C21" s="333" t="s">
        <v>651</v>
      </c>
      <c r="D21" s="6"/>
      <c r="E21" s="112">
        <v>41</v>
      </c>
      <c r="F21" s="112" t="s">
        <v>652</v>
      </c>
      <c r="G21" s="112" t="s">
        <v>651</v>
      </c>
      <c r="H21" s="706" t="s">
        <v>848</v>
      </c>
      <c r="I21" s="4">
        <v>907709</v>
      </c>
      <c r="J21" s="29" t="s">
        <v>65</v>
      </c>
      <c r="K21" s="326">
        <v>6.6</v>
      </c>
      <c r="L21" s="33"/>
      <c r="M21" s="32">
        <f>11158-9371</f>
        <v>1787</v>
      </c>
      <c r="N21" s="32">
        <f>21791-18517</f>
        <v>3274</v>
      </c>
      <c r="O21" s="32">
        <f t="shared" si="0"/>
        <v>5061</v>
      </c>
    </row>
    <row r="22" spans="1:15" s="1" customFormat="1" ht="18">
      <c r="A22" s="601" t="s">
        <v>26</v>
      </c>
      <c r="B22" s="6"/>
      <c r="C22" s="333" t="s">
        <v>1275</v>
      </c>
      <c r="D22" s="6"/>
      <c r="E22" s="112" t="s">
        <v>1276</v>
      </c>
      <c r="F22" s="112" t="s">
        <v>652</v>
      </c>
      <c r="G22" s="112" t="s">
        <v>651</v>
      </c>
      <c r="H22" s="706" t="s">
        <v>1277</v>
      </c>
      <c r="I22" s="4">
        <v>90054664</v>
      </c>
      <c r="J22" s="29" t="s">
        <v>65</v>
      </c>
      <c r="K22" s="326">
        <v>4</v>
      </c>
      <c r="L22" s="33"/>
      <c r="M22" s="32">
        <f>413-251</f>
        <v>162</v>
      </c>
      <c r="N22" s="32">
        <f>963-519</f>
        <v>444</v>
      </c>
      <c r="O22" s="32">
        <f t="shared" si="0"/>
        <v>606</v>
      </c>
    </row>
    <row r="23" spans="1:15" s="1" customFormat="1" ht="18">
      <c r="A23" s="601" t="s">
        <v>26</v>
      </c>
      <c r="B23" s="6"/>
      <c r="C23" s="333" t="s">
        <v>1275</v>
      </c>
      <c r="D23" s="6"/>
      <c r="E23" s="112" t="s">
        <v>1278</v>
      </c>
      <c r="F23" s="112" t="s">
        <v>652</v>
      </c>
      <c r="G23" s="112" t="s">
        <v>651</v>
      </c>
      <c r="H23" s="706" t="s">
        <v>1279</v>
      </c>
      <c r="I23" s="4">
        <v>90030871</v>
      </c>
      <c r="J23" s="29" t="s">
        <v>65</v>
      </c>
      <c r="K23" s="326">
        <v>2</v>
      </c>
      <c r="L23" s="33"/>
      <c r="M23" s="32">
        <f>585-359</f>
        <v>226</v>
      </c>
      <c r="N23" s="32">
        <f>1682-1106</f>
        <v>576</v>
      </c>
      <c r="O23" s="32">
        <f t="shared" si="0"/>
        <v>802</v>
      </c>
    </row>
    <row r="24" spans="1:15" s="1" customFormat="1" ht="18">
      <c r="A24" s="601" t="s">
        <v>26</v>
      </c>
      <c r="B24" s="6"/>
      <c r="C24" s="333" t="s">
        <v>1275</v>
      </c>
      <c r="D24" s="6"/>
      <c r="E24" s="112" t="s">
        <v>1280</v>
      </c>
      <c r="F24" s="112" t="s">
        <v>652</v>
      </c>
      <c r="G24" s="112" t="s">
        <v>651</v>
      </c>
      <c r="H24" s="706" t="s">
        <v>1281</v>
      </c>
      <c r="I24" s="4">
        <v>71870627</v>
      </c>
      <c r="J24" s="29" t="s">
        <v>65</v>
      </c>
      <c r="K24" s="326">
        <v>4</v>
      </c>
      <c r="L24" s="33"/>
      <c r="M24" s="32">
        <f>595-392</f>
        <v>203</v>
      </c>
      <c r="N24" s="32">
        <f>1439-949</f>
        <v>490</v>
      </c>
      <c r="O24" s="32">
        <f t="shared" si="0"/>
        <v>693</v>
      </c>
    </row>
    <row r="25" spans="1:15" s="1" customFormat="1" ht="18">
      <c r="A25" s="601" t="s">
        <v>26</v>
      </c>
      <c r="B25" s="332" t="s">
        <v>850</v>
      </c>
      <c r="C25" s="200" t="s">
        <v>656</v>
      </c>
      <c r="D25" s="112"/>
      <c r="E25" s="112" t="s">
        <v>1276</v>
      </c>
      <c r="F25" s="112" t="s">
        <v>652</v>
      </c>
      <c r="G25" s="112" t="s">
        <v>651</v>
      </c>
      <c r="H25" s="706" t="s">
        <v>1458</v>
      </c>
      <c r="I25" s="181">
        <v>90054664</v>
      </c>
      <c r="J25" s="29" t="s">
        <v>65</v>
      </c>
      <c r="K25" s="673">
        <v>4</v>
      </c>
      <c r="L25" s="33"/>
      <c r="M25" s="32">
        <f>242-105</f>
        <v>137</v>
      </c>
      <c r="N25" s="32">
        <f>482-121</f>
        <v>361</v>
      </c>
      <c r="O25" s="788">
        <f>SUM(M25:N25)</f>
        <v>498</v>
      </c>
    </row>
    <row r="26" spans="1:15" s="1" customFormat="1" ht="29.25">
      <c r="A26" s="601" t="s">
        <v>26</v>
      </c>
      <c r="B26" s="332" t="s">
        <v>280</v>
      </c>
      <c r="C26" s="200" t="s">
        <v>656</v>
      </c>
      <c r="D26" s="112"/>
      <c r="E26" s="112" t="s">
        <v>1323</v>
      </c>
      <c r="F26" s="112" t="s">
        <v>652</v>
      </c>
      <c r="G26" s="112" t="s">
        <v>651</v>
      </c>
      <c r="H26" s="706" t="s">
        <v>1459</v>
      </c>
      <c r="I26" s="181">
        <v>71870629</v>
      </c>
      <c r="J26" s="29" t="s">
        <v>65</v>
      </c>
      <c r="K26" s="673">
        <v>22</v>
      </c>
      <c r="L26" s="33"/>
      <c r="M26" s="32">
        <f>27257-20612</f>
        <v>6645</v>
      </c>
      <c r="N26" s="32">
        <f>84106-61888</f>
        <v>22218</v>
      </c>
      <c r="O26" s="788">
        <f>SUM(M26:N26)</f>
        <v>28863</v>
      </c>
    </row>
    <row r="27" spans="1:15" s="1" customFormat="1" ht="18">
      <c r="A27" s="601" t="s">
        <v>26</v>
      </c>
      <c r="B27" s="332" t="s">
        <v>850</v>
      </c>
      <c r="C27" s="200" t="s">
        <v>655</v>
      </c>
      <c r="D27" s="112"/>
      <c r="E27" s="112" t="s">
        <v>1324</v>
      </c>
      <c r="F27" s="112" t="s">
        <v>652</v>
      </c>
      <c r="G27" s="112" t="s">
        <v>651</v>
      </c>
      <c r="H27" s="706" t="s">
        <v>1460</v>
      </c>
      <c r="I27" s="112">
        <v>23060970</v>
      </c>
      <c r="J27" s="386" t="s">
        <v>716</v>
      </c>
      <c r="K27" s="673">
        <v>3</v>
      </c>
      <c r="L27" s="34">
        <f>4266-3131</f>
        <v>1135</v>
      </c>
      <c r="M27" s="33"/>
      <c r="N27" s="33"/>
      <c r="O27" s="34">
        <f>L27</f>
        <v>1135</v>
      </c>
    </row>
    <row r="28" spans="1:15" s="1" customFormat="1" ht="18">
      <c r="A28" s="601" t="s">
        <v>26</v>
      </c>
      <c r="B28" s="336" t="s">
        <v>1320</v>
      </c>
      <c r="C28" s="792" t="s">
        <v>1321</v>
      </c>
      <c r="D28" s="337"/>
      <c r="E28" s="337" t="s">
        <v>1322</v>
      </c>
      <c r="F28" s="337" t="s">
        <v>652</v>
      </c>
      <c r="G28" s="337" t="s">
        <v>651</v>
      </c>
      <c r="H28" s="706" t="s">
        <v>1461</v>
      </c>
      <c r="I28" s="337">
        <v>90113933</v>
      </c>
      <c r="J28" s="430" t="s">
        <v>28</v>
      </c>
      <c r="K28" s="672">
        <v>14</v>
      </c>
      <c r="L28" s="34">
        <f>66003-49426</f>
        <v>16577</v>
      </c>
      <c r="M28" s="33"/>
      <c r="N28" s="33"/>
      <c r="O28" s="34">
        <f>L28</f>
        <v>16577</v>
      </c>
    </row>
    <row r="29" spans="1:15" s="1" customFormat="1" ht="18">
      <c r="A29" s="601" t="s">
        <v>26</v>
      </c>
      <c r="B29" s="332" t="s">
        <v>850</v>
      </c>
      <c r="C29" s="200" t="s">
        <v>1198</v>
      </c>
      <c r="D29" s="112"/>
      <c r="E29" s="112" t="s">
        <v>1199</v>
      </c>
      <c r="F29" s="112" t="s">
        <v>652</v>
      </c>
      <c r="G29" s="112" t="s">
        <v>651</v>
      </c>
      <c r="H29" s="706" t="s">
        <v>1462</v>
      </c>
      <c r="I29" s="112">
        <v>18666577</v>
      </c>
      <c r="J29" s="386" t="s">
        <v>716</v>
      </c>
      <c r="K29" s="673">
        <v>3</v>
      </c>
      <c r="L29" s="34">
        <v>10</v>
      </c>
      <c r="M29" s="33"/>
      <c r="N29" s="33"/>
      <c r="O29" s="34">
        <f>L29</f>
        <v>10</v>
      </c>
    </row>
    <row r="30" spans="1:15" s="1" customFormat="1" ht="18">
      <c r="A30" s="601" t="s">
        <v>26</v>
      </c>
      <c r="B30" s="332" t="s">
        <v>850</v>
      </c>
      <c r="C30" s="200" t="s">
        <v>656</v>
      </c>
      <c r="D30" s="112"/>
      <c r="E30" s="112" t="s">
        <v>1466</v>
      </c>
      <c r="F30" s="112" t="s">
        <v>652</v>
      </c>
      <c r="G30" s="112" t="s">
        <v>651</v>
      </c>
      <c r="H30" s="706" t="s">
        <v>1797</v>
      </c>
      <c r="I30" s="112">
        <v>90599971</v>
      </c>
      <c r="J30" s="29" t="s">
        <v>65</v>
      </c>
      <c r="K30" s="673">
        <v>2</v>
      </c>
      <c r="L30" s="33"/>
      <c r="M30" s="32">
        <f>38-28</f>
        <v>10</v>
      </c>
      <c r="N30" s="32">
        <f>76-55</f>
        <v>21</v>
      </c>
      <c r="O30" s="788">
        <f>SUM(M30:N30)</f>
        <v>31</v>
      </c>
    </row>
    <row r="31" spans="1:15" s="1" customFormat="1" ht="18">
      <c r="A31" s="601" t="s">
        <v>26</v>
      </c>
      <c r="B31" s="332" t="s">
        <v>850</v>
      </c>
      <c r="C31" s="200" t="s">
        <v>656</v>
      </c>
      <c r="D31" s="112"/>
      <c r="E31" s="112" t="s">
        <v>1467</v>
      </c>
      <c r="F31" s="112" t="s">
        <v>652</v>
      </c>
      <c r="G31" s="112" t="s">
        <v>651</v>
      </c>
      <c r="H31" s="706" t="s">
        <v>1798</v>
      </c>
      <c r="I31" s="112">
        <v>90599961</v>
      </c>
      <c r="J31" s="29" t="s">
        <v>65</v>
      </c>
      <c r="K31" s="673">
        <v>1.1000000000000001</v>
      </c>
      <c r="L31" s="33"/>
      <c r="M31" s="32">
        <f>31-29</f>
        <v>2</v>
      </c>
      <c r="N31" s="32">
        <f>62-38</f>
        <v>24</v>
      </c>
      <c r="O31" s="788">
        <f>SUM(M31:N31)</f>
        <v>26</v>
      </c>
    </row>
    <row r="32" spans="1:15" s="1" customFormat="1" ht="18">
      <c r="A32" s="601" t="s">
        <v>26</v>
      </c>
      <c r="B32" s="332" t="s">
        <v>850</v>
      </c>
      <c r="C32" s="200" t="s">
        <v>656</v>
      </c>
      <c r="D32" s="112"/>
      <c r="E32" s="112" t="s">
        <v>1468</v>
      </c>
      <c r="F32" s="112" t="s">
        <v>652</v>
      </c>
      <c r="G32" s="112" t="s">
        <v>651</v>
      </c>
      <c r="H32" s="706" t="s">
        <v>1799</v>
      </c>
      <c r="I32" s="112">
        <v>90599874</v>
      </c>
      <c r="J32" s="29" t="s">
        <v>65</v>
      </c>
      <c r="K32" s="673">
        <v>7</v>
      </c>
      <c r="L32" s="33"/>
      <c r="M32" s="32">
        <f>235-90</f>
        <v>145</v>
      </c>
      <c r="N32" s="32">
        <f>628-175</f>
        <v>453</v>
      </c>
      <c r="O32" s="788">
        <f>SUM(M32:N32)</f>
        <v>598</v>
      </c>
    </row>
    <row r="33" spans="1:15" s="1" customFormat="1" ht="18">
      <c r="A33" s="601" t="s">
        <v>26</v>
      </c>
      <c r="B33" s="332" t="s">
        <v>850</v>
      </c>
      <c r="C33" s="200" t="s">
        <v>656</v>
      </c>
      <c r="D33" s="112"/>
      <c r="E33" s="112" t="s">
        <v>1469</v>
      </c>
      <c r="F33" s="112" t="s">
        <v>652</v>
      </c>
      <c r="G33" s="112" t="s">
        <v>651</v>
      </c>
      <c r="H33" s="706" t="s">
        <v>1800</v>
      </c>
      <c r="I33" s="112">
        <v>90599970</v>
      </c>
      <c r="J33" s="29" t="s">
        <v>65</v>
      </c>
      <c r="K33" s="673">
        <v>2</v>
      </c>
      <c r="L33" s="33"/>
      <c r="M33" s="32">
        <f>418-166</f>
        <v>252</v>
      </c>
      <c r="N33" s="32">
        <f>1035-384</f>
        <v>651</v>
      </c>
      <c r="O33" s="788">
        <f>SUM(M33:N33)</f>
        <v>903</v>
      </c>
    </row>
    <row r="34" spans="1:15" s="1" customFormat="1" ht="18">
      <c r="A34" s="601" t="s">
        <v>26</v>
      </c>
      <c r="B34" s="332" t="s">
        <v>850</v>
      </c>
      <c r="C34" s="200" t="s">
        <v>651</v>
      </c>
      <c r="D34" s="112" t="s">
        <v>754</v>
      </c>
      <c r="E34" s="112">
        <v>15</v>
      </c>
      <c r="F34" s="112" t="s">
        <v>652</v>
      </c>
      <c r="G34" s="112" t="s">
        <v>651</v>
      </c>
      <c r="H34" s="706" t="s">
        <v>1801</v>
      </c>
      <c r="I34" s="112">
        <v>91262851</v>
      </c>
      <c r="J34" s="29" t="s">
        <v>65</v>
      </c>
      <c r="K34" s="673">
        <v>22</v>
      </c>
      <c r="L34" s="33"/>
      <c r="M34" s="32">
        <f>213*14</f>
        <v>2982</v>
      </c>
      <c r="N34" s="32">
        <f>843*14</f>
        <v>11802</v>
      </c>
      <c r="O34" s="788">
        <f>SUM(M34:N34)</f>
        <v>14784</v>
      </c>
    </row>
    <row r="35" spans="1:15" s="1" customFormat="1" ht="18">
      <c r="A35" s="601" t="s">
        <v>26</v>
      </c>
      <c r="B35" s="332" t="s">
        <v>850</v>
      </c>
      <c r="C35" s="200" t="s">
        <v>653</v>
      </c>
      <c r="D35" s="112" t="s">
        <v>162</v>
      </c>
      <c r="E35" s="112" t="s">
        <v>1465</v>
      </c>
      <c r="F35" s="112" t="s">
        <v>652</v>
      </c>
      <c r="G35" s="112" t="s">
        <v>651</v>
      </c>
      <c r="H35" s="706" t="s">
        <v>1802</v>
      </c>
      <c r="I35" s="112">
        <v>90904799</v>
      </c>
      <c r="J35" s="386" t="s">
        <v>28</v>
      </c>
      <c r="K35" s="673">
        <v>11</v>
      </c>
      <c r="L35" s="32">
        <f>5505-12</f>
        <v>5493</v>
      </c>
      <c r="M35" s="33"/>
      <c r="N35" s="33"/>
      <c r="O35" s="788">
        <f>L35</f>
        <v>5493</v>
      </c>
    </row>
    <row r="36" spans="1:15" s="1" customFormat="1" ht="18">
      <c r="A36" s="601" t="s">
        <v>26</v>
      </c>
      <c r="B36" s="332" t="s">
        <v>850</v>
      </c>
      <c r="C36" s="200" t="s">
        <v>651</v>
      </c>
      <c r="D36" s="112" t="s">
        <v>1316</v>
      </c>
      <c r="E36" s="112" t="s">
        <v>1803</v>
      </c>
      <c r="F36" s="112" t="s">
        <v>652</v>
      </c>
      <c r="G36" s="112" t="s">
        <v>651</v>
      </c>
      <c r="H36" s="706" t="s">
        <v>1804</v>
      </c>
      <c r="I36" s="112">
        <v>90025556</v>
      </c>
      <c r="J36" s="29" t="s">
        <v>65</v>
      </c>
      <c r="K36" s="673">
        <v>7</v>
      </c>
      <c r="L36" s="33"/>
      <c r="M36" s="32">
        <f>154*12</f>
        <v>1848</v>
      </c>
      <c r="N36" s="32">
        <f>533*12</f>
        <v>6396</v>
      </c>
      <c r="O36" s="788">
        <f>SUM(M36:N36)</f>
        <v>8244</v>
      </c>
    </row>
    <row r="37" spans="1:15" s="1" customFormat="1" ht="18.75" thickBot="1">
      <c r="A37" s="601" t="s">
        <v>26</v>
      </c>
      <c r="B37" s="4" t="s">
        <v>314</v>
      </c>
      <c r="C37" s="112" t="s">
        <v>653</v>
      </c>
      <c r="D37" s="4"/>
      <c r="E37" s="4"/>
      <c r="F37" s="112" t="s">
        <v>652</v>
      </c>
      <c r="G37" s="112" t="s">
        <v>651</v>
      </c>
      <c r="H37" s="706" t="s">
        <v>847</v>
      </c>
      <c r="I37" s="4">
        <v>4099751</v>
      </c>
      <c r="J37" s="377" t="s">
        <v>21</v>
      </c>
      <c r="K37" s="1541">
        <v>35</v>
      </c>
      <c r="L37" s="32">
        <f>(9523.71-4299.69)*30</f>
        <v>156720.59999999998</v>
      </c>
      <c r="M37" s="33"/>
      <c r="N37" s="33"/>
      <c r="O37" s="32">
        <f>L37</f>
        <v>156720.59999999998</v>
      </c>
    </row>
    <row r="38" spans="1:15" ht="40.5" customHeight="1">
      <c r="B38" s="1141" t="s">
        <v>22</v>
      </c>
      <c r="C38" s="700" t="s">
        <v>850</v>
      </c>
      <c r="D38" s="1238"/>
      <c r="E38" s="1237"/>
      <c r="F38" s="1237"/>
      <c r="G38" s="1622" t="s">
        <v>1920</v>
      </c>
      <c r="H38" s="1238" t="s">
        <v>850</v>
      </c>
      <c r="I38" s="287"/>
      <c r="J38" s="1"/>
      <c r="K38" s="287"/>
      <c r="L38" s="1"/>
      <c r="M38" s="1"/>
      <c r="N38" s="268" t="s">
        <v>23</v>
      </c>
      <c r="O38" s="567">
        <f>SUM(O18:O37)</f>
        <v>281878.59999999998</v>
      </c>
    </row>
    <row r="39" spans="1:15" s="1" customFormat="1" ht="15">
      <c r="B39" s="13"/>
      <c r="C39" s="700" t="s">
        <v>1164</v>
      </c>
      <c r="D39" s="1238"/>
      <c r="E39" s="1237"/>
      <c r="F39" s="1237"/>
      <c r="G39" s="1123"/>
      <c r="H39" s="1238" t="s">
        <v>1164</v>
      </c>
      <c r="I39" s="287"/>
      <c r="K39" s="287"/>
      <c r="N39" s="70"/>
      <c r="O39" s="70"/>
    </row>
    <row r="40" spans="1:15" ht="15.75" thickBot="1">
      <c r="B40" s="13"/>
      <c r="C40" s="700" t="s">
        <v>659</v>
      </c>
      <c r="D40" s="1238"/>
      <c r="E40" s="1237"/>
      <c r="F40" s="1237"/>
      <c r="G40" s="1239"/>
      <c r="H40" s="1105" t="s">
        <v>659</v>
      </c>
      <c r="I40" s="287"/>
      <c r="J40" s="1"/>
      <c r="K40" s="287"/>
      <c r="L40" s="1"/>
      <c r="M40" s="1"/>
      <c r="N40" s="1"/>
      <c r="O40" s="1"/>
    </row>
    <row r="41" spans="1:15" ht="15">
      <c r="B41" s="553" t="s">
        <v>160</v>
      </c>
      <c r="C41" s="700">
        <v>8222146582</v>
      </c>
      <c r="D41" s="701"/>
      <c r="E41" s="1237"/>
      <c r="F41" s="1237"/>
      <c r="G41" s="1237"/>
      <c r="H41" s="1237"/>
      <c r="I41" s="287"/>
      <c r="J41" s="1"/>
      <c r="K41" s="287"/>
      <c r="L41" s="1"/>
      <c r="M41" s="31"/>
      <c r="N41" s="31"/>
      <c r="O41" s="1"/>
    </row>
    <row r="42" spans="1:15" s="1" customFormat="1" ht="15.75" thickBot="1">
      <c r="B42" s="433" t="s">
        <v>1061</v>
      </c>
      <c r="C42" s="702" t="s">
        <v>1165</v>
      </c>
      <c r="D42" s="704"/>
      <c r="E42" s="1237"/>
      <c r="F42" s="1237"/>
      <c r="G42" s="1237"/>
      <c r="H42" s="1237"/>
      <c r="I42" s="287"/>
      <c r="K42" s="287"/>
      <c r="M42" s="31"/>
      <c r="N42" s="31"/>
    </row>
    <row r="43" spans="1:15">
      <c r="A43" s="1"/>
      <c r="B43" s="1"/>
      <c r="C43" s="287"/>
      <c r="D43" s="287"/>
      <c r="E43" s="287"/>
      <c r="F43" s="287"/>
      <c r="G43" s="287"/>
      <c r="H43" s="287"/>
      <c r="I43" s="287"/>
      <c r="J43" s="1"/>
      <c r="K43" s="287"/>
      <c r="L43" s="1"/>
      <c r="M43" s="1"/>
      <c r="N43" s="1"/>
      <c r="O43" s="1"/>
    </row>
    <row r="44" spans="1:15" ht="15" thickBot="1">
      <c r="A44" s="1"/>
      <c r="B44" s="1"/>
      <c r="C44" s="287"/>
      <c r="D44" s="287"/>
      <c r="E44" s="287"/>
      <c r="F44" s="287"/>
      <c r="G44" s="287"/>
      <c r="H44" s="287"/>
      <c r="I44" s="287"/>
      <c r="J44" s="1"/>
      <c r="K44" s="287"/>
      <c r="L44" s="1"/>
      <c r="M44" s="1"/>
      <c r="N44" s="1"/>
      <c r="O44" s="1"/>
    </row>
    <row r="45" spans="1:15" ht="44.25" customHeight="1">
      <c r="A45" s="1662" t="s">
        <v>6</v>
      </c>
      <c r="B45" s="1673" t="s">
        <v>633</v>
      </c>
      <c r="C45" s="1676" t="s">
        <v>8</v>
      </c>
      <c r="D45" s="1676" t="s">
        <v>9</v>
      </c>
      <c r="E45" s="1656" t="s">
        <v>634</v>
      </c>
      <c r="F45" s="1656" t="s">
        <v>11</v>
      </c>
      <c r="G45" s="1676" t="s">
        <v>12</v>
      </c>
      <c r="H45" s="1656" t="s">
        <v>13</v>
      </c>
      <c r="I45" s="1656" t="s">
        <v>757</v>
      </c>
      <c r="J45" s="1656" t="s">
        <v>59</v>
      </c>
      <c r="K45" s="1793" t="s">
        <v>635</v>
      </c>
      <c r="L45" s="1719" t="s">
        <v>636</v>
      </c>
      <c r="M45" s="1719"/>
      <c r="N45" s="1719"/>
      <c r="O45" s="1726"/>
    </row>
    <row r="46" spans="1:15" ht="43.5" customHeight="1">
      <c r="A46" s="1663"/>
      <c r="B46" s="1674"/>
      <c r="C46" s="1677"/>
      <c r="D46" s="1677"/>
      <c r="E46" s="1657"/>
      <c r="F46" s="1657"/>
      <c r="G46" s="1677"/>
      <c r="H46" s="1657"/>
      <c r="I46" s="1698"/>
      <c r="J46" s="1657"/>
      <c r="K46" s="1794"/>
      <c r="L46" s="1654" t="s">
        <v>637</v>
      </c>
      <c r="M46" s="1654"/>
      <c r="N46" s="1654"/>
      <c r="O46" s="1680"/>
    </row>
    <row r="47" spans="1:15" ht="33.75" customHeight="1" thickBot="1">
      <c r="A47" s="1664"/>
      <c r="B47" s="1675"/>
      <c r="C47" s="1678"/>
      <c r="D47" s="1678"/>
      <c r="E47" s="1658"/>
      <c r="F47" s="1658"/>
      <c r="G47" s="1678"/>
      <c r="H47" s="1658"/>
      <c r="I47" s="1699"/>
      <c r="J47" s="1658"/>
      <c r="K47" s="1795"/>
      <c r="L47" s="270" t="s">
        <v>638</v>
      </c>
      <c r="M47" s="270" t="s">
        <v>639</v>
      </c>
      <c r="N47" s="270" t="s">
        <v>640</v>
      </c>
      <c r="O47" s="265" t="s">
        <v>16</v>
      </c>
    </row>
    <row r="48" spans="1:15" ht="30" thickBot="1">
      <c r="A48" s="601" t="s">
        <v>26</v>
      </c>
      <c r="B48" s="266" t="s">
        <v>154</v>
      </c>
      <c r="C48" s="336" t="s">
        <v>656</v>
      </c>
      <c r="D48" s="182"/>
      <c r="E48" s="337">
        <v>30</v>
      </c>
      <c r="F48" s="337" t="s">
        <v>652</v>
      </c>
      <c r="G48" s="438" t="s">
        <v>651</v>
      </c>
      <c r="H48" s="1498" t="s">
        <v>843</v>
      </c>
      <c r="I48" s="360">
        <v>907708</v>
      </c>
      <c r="J48" s="738" t="s">
        <v>65</v>
      </c>
      <c r="K48" s="1240">
        <v>4</v>
      </c>
      <c r="L48" s="339"/>
      <c r="M48" s="268">
        <f>34236-28079</f>
        <v>6157</v>
      </c>
      <c r="N48" s="268">
        <f>66425-54643</f>
        <v>11782</v>
      </c>
      <c r="O48" s="340">
        <f>M48+N48</f>
        <v>17939</v>
      </c>
    </row>
    <row r="49" spans="1:16" s="25" customFormat="1" ht="41.25" customHeight="1">
      <c r="A49" s="288"/>
      <c r="B49" s="1130" t="s">
        <v>22</v>
      </c>
      <c r="C49" s="118" t="s">
        <v>850</v>
      </c>
      <c r="D49" s="1236"/>
      <c r="E49" s="56"/>
      <c r="F49" s="56"/>
      <c r="G49" s="1622" t="s">
        <v>1920</v>
      </c>
      <c r="H49" s="698" t="s">
        <v>1895</v>
      </c>
      <c r="I49" s="121"/>
      <c r="J49" s="1241"/>
      <c r="K49" s="1242"/>
      <c r="L49" s="59"/>
      <c r="M49" s="59"/>
      <c r="N49" s="32" t="s">
        <v>23</v>
      </c>
      <c r="O49" s="556">
        <f>SUM(O42:O48)</f>
        <v>17939</v>
      </c>
    </row>
    <row r="50" spans="1:16" s="25" customFormat="1" ht="18">
      <c r="A50" s="288"/>
      <c r="B50" s="13"/>
      <c r="C50" s="700" t="s">
        <v>1164</v>
      </c>
      <c r="D50" s="1238"/>
      <c r="E50" s="56"/>
      <c r="F50" s="56"/>
      <c r="G50" s="1243"/>
      <c r="H50" s="582" t="s">
        <v>1678</v>
      </c>
      <c r="I50" s="43"/>
      <c r="J50" s="1234"/>
      <c r="K50" s="1244"/>
      <c r="L50" s="59"/>
      <c r="M50" s="59"/>
      <c r="N50" s="59"/>
      <c r="O50" s="59"/>
    </row>
    <row r="51" spans="1:16" s="25" customFormat="1" ht="18.75" thickBot="1">
      <c r="A51" s="288"/>
      <c r="B51" s="13"/>
      <c r="C51" s="700" t="s">
        <v>659</v>
      </c>
      <c r="D51" s="1238"/>
      <c r="E51" s="56"/>
      <c r="F51" s="56"/>
      <c r="G51" s="1245"/>
      <c r="H51" s="442" t="s">
        <v>659</v>
      </c>
      <c r="I51" s="113"/>
      <c r="J51" s="1246"/>
      <c r="K51" s="1247"/>
      <c r="L51" s="59"/>
      <c r="M51" s="59"/>
      <c r="N51" s="59"/>
      <c r="O51" s="59"/>
    </row>
    <row r="52" spans="1:16" s="25" customFormat="1" ht="18">
      <c r="A52" s="288"/>
      <c r="B52" s="553" t="s">
        <v>160</v>
      </c>
      <c r="C52" s="700">
        <v>8222146582</v>
      </c>
      <c r="D52" s="701"/>
      <c r="E52" s="56"/>
      <c r="F52" s="56"/>
      <c r="G52" s="56"/>
      <c r="H52" s="638"/>
      <c r="I52" s="57"/>
      <c r="J52" s="1234"/>
      <c r="K52" s="1235"/>
      <c r="L52" s="59"/>
      <c r="M52" s="59"/>
      <c r="N52" s="59"/>
      <c r="O52" s="59"/>
    </row>
    <row r="53" spans="1:16" s="25" customFormat="1" ht="18.75" thickBot="1">
      <c r="A53" s="288"/>
      <c r="B53" s="433" t="s">
        <v>1061</v>
      </c>
      <c r="C53" s="702" t="s">
        <v>1165</v>
      </c>
      <c r="D53" s="704"/>
      <c r="E53" s="56"/>
      <c r="F53" s="56"/>
      <c r="G53" s="56"/>
      <c r="H53" s="638"/>
      <c r="I53" s="57"/>
      <c r="J53" s="1234"/>
      <c r="K53" s="1235"/>
      <c r="L53" s="59"/>
      <c r="M53" s="59"/>
      <c r="N53" s="59"/>
      <c r="O53" s="59"/>
    </row>
    <row r="54" spans="1:16" s="25" customFormat="1" ht="18">
      <c r="A54" s="288"/>
      <c r="B54" s="66"/>
      <c r="C54" s="286"/>
      <c r="D54" s="57"/>
      <c r="E54" s="56"/>
      <c r="F54" s="56"/>
      <c r="G54" s="56"/>
      <c r="H54" s="638"/>
      <c r="I54" s="57"/>
      <c r="J54" s="1234"/>
      <c r="K54" s="1235"/>
      <c r="L54" s="59"/>
      <c r="M54" s="59"/>
      <c r="N54" s="59"/>
      <c r="O54" s="59"/>
    </row>
    <row r="55" spans="1:16" s="25" customFormat="1" ht="18.75" thickBot="1">
      <c r="A55" s="288"/>
      <c r="B55" s="66"/>
      <c r="C55" s="286"/>
      <c r="D55" s="57"/>
      <c r="E55" s="56"/>
      <c r="F55" s="56"/>
      <c r="G55" s="56"/>
      <c r="H55" s="56"/>
      <c r="I55" s="57"/>
      <c r="J55" s="1234"/>
      <c r="K55" s="1235"/>
      <c r="L55" s="59"/>
      <c r="M55" s="59"/>
      <c r="N55" s="59"/>
      <c r="O55" s="59"/>
    </row>
    <row r="56" spans="1:16" s="25" customFormat="1" ht="33.75" customHeight="1">
      <c r="A56" s="1662" t="s">
        <v>6</v>
      </c>
      <c r="B56" s="1673" t="s">
        <v>633</v>
      </c>
      <c r="C56" s="1676" t="s">
        <v>8</v>
      </c>
      <c r="D56" s="1676" t="s">
        <v>9</v>
      </c>
      <c r="E56" s="1656" t="s">
        <v>634</v>
      </c>
      <c r="F56" s="1656" t="s">
        <v>11</v>
      </c>
      <c r="G56" s="1676" t="s">
        <v>12</v>
      </c>
      <c r="H56" s="1656" t="s">
        <v>13</v>
      </c>
      <c r="I56" s="1656" t="s">
        <v>757</v>
      </c>
      <c r="J56" s="1656" t="s">
        <v>59</v>
      </c>
      <c r="K56" s="1793" t="s">
        <v>635</v>
      </c>
      <c r="L56" s="1719" t="s">
        <v>636</v>
      </c>
      <c r="M56" s="1719"/>
      <c r="N56" s="1719"/>
      <c r="O56" s="1726"/>
    </row>
    <row r="57" spans="1:16" ht="33.75" customHeight="1">
      <c r="A57" s="1663"/>
      <c r="B57" s="1674"/>
      <c r="C57" s="1677"/>
      <c r="D57" s="1677"/>
      <c r="E57" s="1657"/>
      <c r="F57" s="1657"/>
      <c r="G57" s="1677"/>
      <c r="H57" s="1657"/>
      <c r="I57" s="1698"/>
      <c r="J57" s="1657"/>
      <c r="K57" s="1794"/>
      <c r="L57" s="1654" t="s">
        <v>637</v>
      </c>
      <c r="M57" s="1654"/>
      <c r="N57" s="1654"/>
      <c r="O57" s="1680"/>
      <c r="P57" s="1"/>
    </row>
    <row r="58" spans="1:16" ht="33.75" customHeight="1" thickBot="1">
      <c r="A58" s="1664"/>
      <c r="B58" s="1675"/>
      <c r="C58" s="1678"/>
      <c r="D58" s="1678"/>
      <c r="E58" s="1658"/>
      <c r="F58" s="1658"/>
      <c r="G58" s="1678"/>
      <c r="H58" s="1658"/>
      <c r="I58" s="1699"/>
      <c r="J58" s="1658"/>
      <c r="K58" s="1795"/>
      <c r="L58" s="1156" t="s">
        <v>638</v>
      </c>
      <c r="M58" s="1156" t="s">
        <v>639</v>
      </c>
      <c r="N58" s="1156" t="s">
        <v>640</v>
      </c>
      <c r="O58" s="1157" t="s">
        <v>16</v>
      </c>
    </row>
    <row r="59" spans="1:16" ht="29.25">
      <c r="A59" s="601" t="s">
        <v>26</v>
      </c>
      <c r="B59" s="3" t="s">
        <v>154</v>
      </c>
      <c r="C59" s="332" t="s">
        <v>651</v>
      </c>
      <c r="D59" s="4"/>
      <c r="E59" s="112">
        <v>77</v>
      </c>
      <c r="F59" s="112" t="s">
        <v>652</v>
      </c>
      <c r="G59" s="112" t="s">
        <v>651</v>
      </c>
      <c r="H59" s="706" t="s">
        <v>1197</v>
      </c>
      <c r="I59" s="4">
        <v>350089</v>
      </c>
      <c r="J59" s="29" t="s">
        <v>65</v>
      </c>
      <c r="K59" s="673">
        <v>12</v>
      </c>
      <c r="L59" s="33"/>
      <c r="M59" s="32">
        <f>73100-53551</f>
        <v>19549</v>
      </c>
      <c r="N59" s="32">
        <f>143699-105694</f>
        <v>38005</v>
      </c>
      <c r="O59" s="32">
        <f>M59+N59</f>
        <v>57554</v>
      </c>
      <c r="P59" s="1"/>
    </row>
    <row r="60" spans="1:16" s="1" customFormat="1" ht="29.25">
      <c r="A60" s="601" t="s">
        <v>26</v>
      </c>
      <c r="B60" s="1559" t="s">
        <v>154</v>
      </c>
      <c r="C60" s="334" t="s">
        <v>651</v>
      </c>
      <c r="D60" s="6"/>
      <c r="E60" s="112">
        <v>77</v>
      </c>
      <c r="F60" s="333" t="s">
        <v>652</v>
      </c>
      <c r="G60" s="112" t="s">
        <v>651</v>
      </c>
      <c r="H60" s="705" t="s">
        <v>1463</v>
      </c>
      <c r="I60" s="4">
        <v>41352</v>
      </c>
      <c r="J60" s="29" t="s">
        <v>65</v>
      </c>
      <c r="K60" s="673">
        <v>4</v>
      </c>
      <c r="L60" s="33"/>
      <c r="M60" s="32">
        <f>124-86</f>
        <v>38</v>
      </c>
      <c r="N60" s="32">
        <f>109-76</f>
        <v>33</v>
      </c>
      <c r="O60" s="32">
        <f>M60+N60</f>
        <v>71</v>
      </c>
    </row>
    <row r="61" spans="1:16" s="1" customFormat="1" ht="30" thickBot="1">
      <c r="A61" s="601" t="s">
        <v>26</v>
      </c>
      <c r="B61" s="1559" t="s">
        <v>154</v>
      </c>
      <c r="C61" s="332" t="s">
        <v>651</v>
      </c>
      <c r="D61" s="4"/>
      <c r="E61" s="112">
        <v>77</v>
      </c>
      <c r="F61" s="112" t="s">
        <v>652</v>
      </c>
      <c r="G61" s="333" t="s">
        <v>651</v>
      </c>
      <c r="H61" s="1498" t="s">
        <v>1464</v>
      </c>
      <c r="I61" s="4">
        <v>41353</v>
      </c>
      <c r="J61" s="29" t="s">
        <v>65</v>
      </c>
      <c r="K61" s="673">
        <v>4</v>
      </c>
      <c r="L61" s="33"/>
      <c r="M61" s="32">
        <f>2587-2025</f>
        <v>562</v>
      </c>
      <c r="N61" s="32">
        <f>5959-4675</f>
        <v>1284</v>
      </c>
      <c r="O61" s="32">
        <f>M61+N61</f>
        <v>1846</v>
      </c>
    </row>
    <row r="62" spans="1:16" ht="49.5" customHeight="1">
      <c r="B62" s="1130" t="s">
        <v>22</v>
      </c>
      <c r="C62" s="118" t="s">
        <v>850</v>
      </c>
      <c r="D62" s="1236"/>
      <c r="E62" s="262"/>
      <c r="F62" s="262"/>
      <c r="G62" s="1622" t="s">
        <v>1920</v>
      </c>
      <c r="H62" s="1558" t="s">
        <v>1894</v>
      </c>
      <c r="J62" s="287"/>
      <c r="K62" s="1"/>
      <c r="M62" s="1"/>
      <c r="N62" s="268" t="s">
        <v>23</v>
      </c>
      <c r="O62" s="567">
        <f>SUM(O59:O61)</f>
        <v>59471</v>
      </c>
    </row>
    <row r="63" spans="1:16" ht="15">
      <c r="B63" s="13"/>
      <c r="C63" s="700" t="s">
        <v>1164</v>
      </c>
      <c r="D63" s="1238"/>
      <c r="E63" s="262"/>
      <c r="F63" s="262"/>
      <c r="G63" s="1123"/>
      <c r="H63" s="1238" t="s">
        <v>1679</v>
      </c>
      <c r="I63" s="287"/>
      <c r="J63" s="1"/>
      <c r="K63" s="287"/>
      <c r="L63" s="1"/>
      <c r="M63" s="1"/>
      <c r="N63" s="1"/>
      <c r="O63" s="1"/>
    </row>
    <row r="64" spans="1:16" ht="15.75" thickBot="1">
      <c r="B64" s="13"/>
      <c r="C64" s="700" t="s">
        <v>659</v>
      </c>
      <c r="D64" s="1238"/>
      <c r="E64" s="262"/>
      <c r="F64" s="262"/>
      <c r="G64" s="1239"/>
      <c r="H64" s="1087" t="s">
        <v>659</v>
      </c>
      <c r="I64" s="287"/>
      <c r="J64" s="1"/>
      <c r="K64" s="287"/>
      <c r="L64" s="1"/>
      <c r="M64" s="31"/>
      <c r="N64" s="31"/>
      <c r="O64" s="1"/>
    </row>
    <row r="65" spans="1:15" ht="13.5" customHeight="1">
      <c r="B65" s="553" t="s">
        <v>160</v>
      </c>
      <c r="C65" s="700">
        <v>8222146582</v>
      </c>
      <c r="D65" s="701"/>
      <c r="E65" s="262"/>
      <c r="F65" s="262"/>
      <c r="G65" s="287"/>
      <c r="H65" s="676"/>
      <c r="I65" s="287"/>
      <c r="J65" s="1"/>
      <c r="K65" s="287"/>
      <c r="L65" s="1"/>
      <c r="M65" s="1"/>
      <c r="N65" s="1"/>
      <c r="O65" s="1"/>
    </row>
    <row r="66" spans="1:15" s="1" customFormat="1" ht="13.5" customHeight="1" thickBot="1">
      <c r="B66" s="433" t="s">
        <v>1061</v>
      </c>
      <c r="C66" s="702" t="s">
        <v>1165</v>
      </c>
      <c r="D66" s="704"/>
      <c r="E66" s="262"/>
      <c r="F66" s="262"/>
      <c r="G66" s="287"/>
      <c r="H66" s="676"/>
      <c r="I66" s="287"/>
      <c r="K66" s="287"/>
    </row>
    <row r="67" spans="1:15" s="1" customFormat="1" ht="13.5" customHeight="1" thickBot="1">
      <c r="B67" s="577"/>
      <c r="C67" s="582"/>
      <c r="D67" s="700"/>
      <c r="E67" s="262"/>
      <c r="F67" s="262"/>
      <c r="G67" s="1155"/>
      <c r="H67" s="1155"/>
      <c r="I67" s="1155"/>
      <c r="K67" s="1155"/>
    </row>
    <row r="68" spans="1:15" s="1" customFormat="1" ht="39.75" customHeight="1">
      <c r="A68" s="1662" t="s">
        <v>6</v>
      </c>
      <c r="B68" s="1673" t="s">
        <v>633</v>
      </c>
      <c r="C68" s="1676" t="s">
        <v>8</v>
      </c>
      <c r="D68" s="1676" t="s">
        <v>9</v>
      </c>
      <c r="E68" s="1656" t="s">
        <v>634</v>
      </c>
      <c r="F68" s="1656" t="s">
        <v>11</v>
      </c>
      <c r="G68" s="1676" t="s">
        <v>12</v>
      </c>
      <c r="H68" s="1656" t="s">
        <v>13</v>
      </c>
      <c r="I68" s="1656" t="s">
        <v>757</v>
      </c>
      <c r="J68" s="1656" t="s">
        <v>59</v>
      </c>
      <c r="K68" s="1793" t="s">
        <v>635</v>
      </c>
      <c r="L68" s="1719" t="s">
        <v>636</v>
      </c>
      <c r="M68" s="1719"/>
      <c r="N68" s="1719"/>
      <c r="O68" s="1726"/>
    </row>
    <row r="69" spans="1:15" s="1" customFormat="1" ht="39.75" customHeight="1">
      <c r="A69" s="1663"/>
      <c r="B69" s="1674"/>
      <c r="C69" s="1677"/>
      <c r="D69" s="1677"/>
      <c r="E69" s="1657"/>
      <c r="F69" s="1657"/>
      <c r="G69" s="1677"/>
      <c r="H69" s="1657"/>
      <c r="I69" s="1698"/>
      <c r="J69" s="1657"/>
      <c r="K69" s="1794"/>
      <c r="L69" s="1654" t="s">
        <v>637</v>
      </c>
      <c r="M69" s="1654"/>
      <c r="N69" s="1654"/>
      <c r="O69" s="1680"/>
    </row>
    <row r="70" spans="1:15" s="1" customFormat="1" ht="25.5" customHeight="1" thickBot="1">
      <c r="A70" s="1664"/>
      <c r="B70" s="1675"/>
      <c r="C70" s="1678"/>
      <c r="D70" s="1678"/>
      <c r="E70" s="1658"/>
      <c r="F70" s="1658"/>
      <c r="G70" s="1678"/>
      <c r="H70" s="1658"/>
      <c r="I70" s="1699"/>
      <c r="J70" s="1658"/>
      <c r="K70" s="1795"/>
      <c r="L70" s="1156" t="s">
        <v>638</v>
      </c>
      <c r="M70" s="1156" t="s">
        <v>639</v>
      </c>
      <c r="N70" s="1156" t="s">
        <v>640</v>
      </c>
      <c r="O70" s="1157" t="s">
        <v>16</v>
      </c>
    </row>
    <row r="71" spans="1:15" s="1" customFormat="1" ht="27" customHeight="1">
      <c r="A71" s="601" t="s">
        <v>26</v>
      </c>
      <c r="B71" s="3" t="s">
        <v>154</v>
      </c>
      <c r="C71" s="332" t="s">
        <v>655</v>
      </c>
      <c r="D71" s="4"/>
      <c r="E71" s="112" t="s">
        <v>657</v>
      </c>
      <c r="F71" s="112" t="s">
        <v>652</v>
      </c>
      <c r="G71" s="112" t="s">
        <v>651</v>
      </c>
      <c r="H71" s="706" t="s">
        <v>844</v>
      </c>
      <c r="I71" s="4">
        <v>907711</v>
      </c>
      <c r="J71" s="29" t="s">
        <v>65</v>
      </c>
      <c r="K71" s="673">
        <v>6.6</v>
      </c>
      <c r="L71" s="33"/>
      <c r="M71" s="32">
        <f>22225-17887</f>
        <v>4338</v>
      </c>
      <c r="N71" s="32">
        <f>41823-33210</f>
        <v>8613</v>
      </c>
      <c r="O71" s="32">
        <f>M71+N71</f>
        <v>12951</v>
      </c>
    </row>
    <row r="72" spans="1:15" s="1" customFormat="1" ht="27" customHeight="1" thickBot="1">
      <c r="A72" s="601" t="s">
        <v>26</v>
      </c>
      <c r="B72" s="3" t="s">
        <v>658</v>
      </c>
      <c r="C72" s="332" t="s">
        <v>655</v>
      </c>
      <c r="D72" s="4"/>
      <c r="E72" s="112">
        <v>45</v>
      </c>
      <c r="F72" s="112" t="s">
        <v>652</v>
      </c>
      <c r="G72" s="333" t="s">
        <v>651</v>
      </c>
      <c r="H72" s="1498" t="s">
        <v>845</v>
      </c>
      <c r="I72" s="6">
        <v>871788</v>
      </c>
      <c r="J72" s="1023" t="s">
        <v>65</v>
      </c>
      <c r="K72" s="673">
        <v>3</v>
      </c>
      <c r="L72" s="33"/>
      <c r="M72" s="32">
        <f>306-187</f>
        <v>119</v>
      </c>
      <c r="N72" s="32">
        <f>823-514</f>
        <v>309</v>
      </c>
      <c r="O72" s="32">
        <f>M72+N72</f>
        <v>428</v>
      </c>
    </row>
    <row r="73" spans="1:15" s="1" customFormat="1" ht="40.5" customHeight="1">
      <c r="B73" s="1130" t="s">
        <v>22</v>
      </c>
      <c r="C73" s="118" t="s">
        <v>850</v>
      </c>
      <c r="D73" s="1236"/>
      <c r="E73" s="262"/>
      <c r="F73" s="262"/>
      <c r="G73" s="1622" t="s">
        <v>1920</v>
      </c>
      <c r="H73" s="118" t="s">
        <v>1896</v>
      </c>
      <c r="I73" s="699"/>
      <c r="J73" s="12"/>
      <c r="K73" s="1155"/>
      <c r="N73" s="32" t="s">
        <v>23</v>
      </c>
      <c r="O73" s="556">
        <f>SUM(O71:O72)</f>
        <v>13379</v>
      </c>
    </row>
    <row r="74" spans="1:15" s="1" customFormat="1" ht="13.5" customHeight="1">
      <c r="B74" s="13"/>
      <c r="C74" s="700" t="s">
        <v>1164</v>
      </c>
      <c r="D74" s="1238"/>
      <c r="E74" s="262"/>
      <c r="F74" s="262"/>
      <c r="G74" s="1123"/>
      <c r="H74" s="700" t="s">
        <v>1680</v>
      </c>
      <c r="I74" s="262"/>
      <c r="J74" s="15"/>
      <c r="K74" s="1155"/>
    </row>
    <row r="75" spans="1:15" s="1" customFormat="1" ht="13.5" customHeight="1" thickBot="1">
      <c r="B75" s="13"/>
      <c r="C75" s="700" t="s">
        <v>659</v>
      </c>
      <c r="D75" s="1238"/>
      <c r="E75" s="262"/>
      <c r="F75" s="262"/>
      <c r="G75" s="1239"/>
      <c r="H75" s="442" t="s">
        <v>659</v>
      </c>
      <c r="I75" s="703"/>
      <c r="J75" s="18"/>
      <c r="K75" s="1155"/>
    </row>
    <row r="76" spans="1:15" s="1" customFormat="1" ht="13.5" customHeight="1">
      <c r="B76" s="553" t="s">
        <v>160</v>
      </c>
      <c r="C76" s="700">
        <v>8222146582</v>
      </c>
      <c r="D76" s="701"/>
      <c r="E76" s="262"/>
      <c r="F76" s="262"/>
      <c r="G76" s="1155"/>
      <c r="H76" s="676"/>
      <c r="I76" s="1155"/>
      <c r="K76" s="1155"/>
    </row>
    <row r="77" spans="1:15" s="1" customFormat="1" ht="13.5" customHeight="1" thickBot="1">
      <c r="B77" s="433" t="s">
        <v>1061</v>
      </c>
      <c r="C77" s="702" t="s">
        <v>1165</v>
      </c>
      <c r="D77" s="704"/>
      <c r="E77" s="262"/>
      <c r="F77" s="262"/>
      <c r="G77" s="1155"/>
      <c r="H77" s="676"/>
      <c r="I77" s="1155"/>
      <c r="K77" s="1155"/>
    </row>
    <row r="78" spans="1:15" s="1" customFormat="1" ht="13.5" customHeight="1" thickBot="1">
      <c r="B78" s="577"/>
      <c r="C78" s="582"/>
      <c r="D78" s="700"/>
      <c r="E78" s="262"/>
      <c r="F78" s="262"/>
      <c r="G78" s="1155"/>
      <c r="H78" s="1155"/>
      <c r="I78" s="1155"/>
      <c r="K78" s="1155"/>
    </row>
    <row r="79" spans="1:15" s="1" customFormat="1" ht="36" customHeight="1">
      <c r="A79" s="1662" t="s">
        <v>6</v>
      </c>
      <c r="B79" s="1673" t="s">
        <v>633</v>
      </c>
      <c r="C79" s="1676" t="s">
        <v>8</v>
      </c>
      <c r="D79" s="1676" t="s">
        <v>9</v>
      </c>
      <c r="E79" s="1656" t="s">
        <v>634</v>
      </c>
      <c r="F79" s="1656" t="s">
        <v>11</v>
      </c>
      <c r="G79" s="1676" t="s">
        <v>12</v>
      </c>
      <c r="H79" s="1656" t="s">
        <v>13</v>
      </c>
      <c r="I79" s="1656" t="s">
        <v>757</v>
      </c>
      <c r="J79" s="1656" t="s">
        <v>59</v>
      </c>
      <c r="K79" s="1793" t="s">
        <v>635</v>
      </c>
      <c r="L79" s="1719" t="s">
        <v>636</v>
      </c>
      <c r="M79" s="1719"/>
      <c r="N79" s="1719"/>
      <c r="O79" s="1726"/>
    </row>
    <row r="80" spans="1:15" s="1" customFormat="1" ht="36" customHeight="1">
      <c r="A80" s="1663"/>
      <c r="B80" s="1674"/>
      <c r="C80" s="1677"/>
      <c r="D80" s="1677"/>
      <c r="E80" s="1657"/>
      <c r="F80" s="1657"/>
      <c r="G80" s="1677"/>
      <c r="H80" s="1657"/>
      <c r="I80" s="1698"/>
      <c r="J80" s="1657"/>
      <c r="K80" s="1794"/>
      <c r="L80" s="1654" t="s">
        <v>637</v>
      </c>
      <c r="M80" s="1654"/>
      <c r="N80" s="1654"/>
      <c r="O80" s="1680"/>
    </row>
    <row r="81" spans="1:21" s="1" customFormat="1" ht="36" customHeight="1" thickBot="1">
      <c r="A81" s="1664"/>
      <c r="B81" s="1675"/>
      <c r="C81" s="1678"/>
      <c r="D81" s="1678"/>
      <c r="E81" s="1658"/>
      <c r="F81" s="1658"/>
      <c r="G81" s="1678"/>
      <c r="H81" s="1658"/>
      <c r="I81" s="1699"/>
      <c r="J81" s="1658"/>
      <c r="K81" s="1795"/>
      <c r="L81" s="1156" t="s">
        <v>638</v>
      </c>
      <c r="M81" s="1156" t="s">
        <v>639</v>
      </c>
      <c r="N81" s="1156" t="s">
        <v>640</v>
      </c>
      <c r="O81" s="1157" t="s">
        <v>16</v>
      </c>
    </row>
    <row r="82" spans="1:21" s="1" customFormat="1" ht="35.25" customHeight="1" thickBot="1">
      <c r="A82" s="601" t="s">
        <v>26</v>
      </c>
      <c r="B82" s="1092" t="s">
        <v>154</v>
      </c>
      <c r="C82" s="1232" t="s">
        <v>653</v>
      </c>
      <c r="D82" s="1068" t="s">
        <v>162</v>
      </c>
      <c r="E82" s="1233">
        <v>3</v>
      </c>
      <c r="F82" s="1233" t="s">
        <v>652</v>
      </c>
      <c r="G82" s="333" t="s">
        <v>651</v>
      </c>
      <c r="H82" s="1498" t="s">
        <v>846</v>
      </c>
      <c r="I82" s="6">
        <v>907710</v>
      </c>
      <c r="J82" s="1023" t="s">
        <v>65</v>
      </c>
      <c r="K82" s="673">
        <v>22</v>
      </c>
      <c r="L82" s="33"/>
      <c r="M82" s="32">
        <f>15674-12054</f>
        <v>3620</v>
      </c>
      <c r="N82" s="32">
        <f>35079-26902</f>
        <v>8177</v>
      </c>
      <c r="O82" s="32">
        <f>M82+N82</f>
        <v>11797</v>
      </c>
    </row>
    <row r="83" spans="1:21" s="1" customFormat="1" ht="39" customHeight="1">
      <c r="B83" s="1130" t="s">
        <v>22</v>
      </c>
      <c r="C83" s="118" t="s">
        <v>850</v>
      </c>
      <c r="D83" s="1236"/>
      <c r="E83" s="262"/>
      <c r="F83" s="262"/>
      <c r="G83" s="1622" t="s">
        <v>1920</v>
      </c>
      <c r="H83" s="118" t="s">
        <v>1897</v>
      </c>
      <c r="I83" s="699"/>
      <c r="J83" s="12"/>
      <c r="K83" s="1155"/>
      <c r="N83" s="32" t="s">
        <v>23</v>
      </c>
      <c r="O83" s="556">
        <f>SUM(O76:O82)</f>
        <v>11797</v>
      </c>
    </row>
    <row r="84" spans="1:21" s="1" customFormat="1" ht="13.5" customHeight="1">
      <c r="B84" s="13"/>
      <c r="C84" s="700" t="s">
        <v>1164</v>
      </c>
      <c r="D84" s="1238"/>
      <c r="E84" s="262"/>
      <c r="F84" s="262"/>
      <c r="G84" s="1123"/>
      <c r="H84" s="700" t="s">
        <v>1681</v>
      </c>
      <c r="I84" s="262"/>
      <c r="J84" s="15"/>
      <c r="K84" s="1155"/>
    </row>
    <row r="85" spans="1:21" s="1" customFormat="1" ht="13.5" customHeight="1">
      <c r="B85" s="13"/>
      <c r="C85" s="700" t="s">
        <v>659</v>
      </c>
      <c r="D85" s="1238"/>
      <c r="E85" s="262"/>
      <c r="F85" s="262"/>
      <c r="G85" s="1123"/>
      <c r="H85" s="14" t="s">
        <v>653</v>
      </c>
      <c r="I85" s="262"/>
      <c r="J85" s="15"/>
      <c r="K85" s="1155"/>
    </row>
    <row r="86" spans="1:21" s="1" customFormat="1" ht="13.5" customHeight="1" thickBot="1">
      <c r="B86" s="553" t="s">
        <v>160</v>
      </c>
      <c r="C86" s="700">
        <v>8222146582</v>
      </c>
      <c r="D86" s="701"/>
      <c r="E86" s="262"/>
      <c r="F86" s="262"/>
      <c r="G86" s="1239"/>
      <c r="H86" s="442" t="s">
        <v>659</v>
      </c>
      <c r="I86" s="703"/>
      <c r="J86" s="18"/>
      <c r="K86" s="1155"/>
    </row>
    <row r="87" spans="1:21" s="1" customFormat="1" ht="14.25" customHeight="1" thickBot="1">
      <c r="B87" s="433" t="s">
        <v>1061</v>
      </c>
      <c r="C87" s="702" t="s">
        <v>1165</v>
      </c>
      <c r="D87" s="704"/>
      <c r="E87" s="55"/>
      <c r="F87" s="335"/>
      <c r="G87" s="675"/>
      <c r="H87" s="677"/>
      <c r="I87" s="676"/>
      <c r="J87" s="676"/>
      <c r="K87" s="287"/>
    </row>
    <row r="88" spans="1:21" s="1" customFormat="1" ht="15" thickBot="1">
      <c r="B88" s="594"/>
      <c r="C88" s="638"/>
      <c r="D88" s="335"/>
      <c r="E88" s="55"/>
      <c r="F88" s="55"/>
      <c r="G88" s="782"/>
      <c r="H88" s="782"/>
      <c r="I88" s="782"/>
      <c r="K88" s="782"/>
    </row>
    <row r="89" spans="1:21" s="1" customFormat="1" ht="46.5" customHeight="1">
      <c r="A89" s="1662" t="s">
        <v>6</v>
      </c>
      <c r="B89" s="1656" t="s">
        <v>7</v>
      </c>
      <c r="C89" s="1656" t="s">
        <v>8</v>
      </c>
      <c r="D89" s="1656" t="s">
        <v>9</v>
      </c>
      <c r="E89" s="1656" t="s">
        <v>884</v>
      </c>
      <c r="F89" s="1656" t="s">
        <v>11</v>
      </c>
      <c r="G89" s="1656" t="s">
        <v>12</v>
      </c>
      <c r="H89" s="1695" t="s">
        <v>14</v>
      </c>
      <c r="I89" s="1695" t="s">
        <v>269</v>
      </c>
      <c r="J89" s="1695" t="s">
        <v>59</v>
      </c>
      <c r="K89" s="1735" t="s">
        <v>15</v>
      </c>
      <c r="L89" s="1700" t="s">
        <v>641</v>
      </c>
      <c r="M89" s="1701"/>
      <c r="N89" s="1701"/>
      <c r="O89" s="1702"/>
      <c r="P89" s="1700" t="s">
        <v>642</v>
      </c>
      <c r="Q89" s="1701"/>
      <c r="R89" s="1701"/>
      <c r="S89" s="1702"/>
      <c r="T89" s="1695" t="s">
        <v>1175</v>
      </c>
      <c r="U89" s="1651" t="s">
        <v>1127</v>
      </c>
    </row>
    <row r="90" spans="1:21" s="1" customFormat="1" ht="30.75" customHeight="1">
      <c r="A90" s="1663"/>
      <c r="B90" s="1657"/>
      <c r="C90" s="1657"/>
      <c r="D90" s="1657"/>
      <c r="E90" s="1657"/>
      <c r="F90" s="1657"/>
      <c r="G90" s="1657"/>
      <c r="H90" s="1696"/>
      <c r="I90" s="1696"/>
      <c r="J90" s="1696"/>
      <c r="K90" s="1736"/>
      <c r="L90" s="1798" t="s">
        <v>638</v>
      </c>
      <c r="M90" s="1732" t="s">
        <v>639</v>
      </c>
      <c r="N90" s="1732" t="s">
        <v>640</v>
      </c>
      <c r="O90" s="1737" t="s">
        <v>643</v>
      </c>
      <c r="P90" s="1798" t="s">
        <v>638</v>
      </c>
      <c r="Q90" s="1732" t="s">
        <v>639</v>
      </c>
      <c r="R90" s="1732" t="s">
        <v>640</v>
      </c>
      <c r="S90" s="1737" t="s">
        <v>643</v>
      </c>
      <c r="T90" s="1696"/>
      <c r="U90" s="1652"/>
    </row>
    <row r="91" spans="1:21" s="1" customFormat="1" ht="30.75" customHeight="1" thickBot="1">
      <c r="A91" s="1664"/>
      <c r="B91" s="1658"/>
      <c r="C91" s="1658"/>
      <c r="D91" s="1658"/>
      <c r="E91" s="1658"/>
      <c r="F91" s="1658"/>
      <c r="G91" s="1658"/>
      <c r="H91" s="1697"/>
      <c r="I91" s="1697"/>
      <c r="J91" s="1697"/>
      <c r="K91" s="1741"/>
      <c r="L91" s="1799"/>
      <c r="M91" s="1733"/>
      <c r="N91" s="1733"/>
      <c r="O91" s="1800"/>
      <c r="P91" s="1799"/>
      <c r="Q91" s="1733"/>
      <c r="R91" s="1733"/>
      <c r="S91" s="1800"/>
      <c r="T91" s="1697"/>
      <c r="U91" s="1653"/>
    </row>
    <row r="92" spans="1:21" s="1" customFormat="1" ht="36" customHeight="1">
      <c r="A92" s="787" t="s">
        <v>17</v>
      </c>
      <c r="B92" s="334" t="s">
        <v>1805</v>
      </c>
      <c r="C92" s="221" t="s">
        <v>1321</v>
      </c>
      <c r="D92" s="333"/>
      <c r="E92" s="1022" t="s">
        <v>1806</v>
      </c>
      <c r="F92" s="112" t="s">
        <v>652</v>
      </c>
      <c r="G92" s="112" t="s">
        <v>651</v>
      </c>
      <c r="H92" s="706">
        <v>53813156</v>
      </c>
      <c r="I92" s="112">
        <v>91054661</v>
      </c>
      <c r="J92" s="386" t="s">
        <v>28</v>
      </c>
      <c r="K92" s="174">
        <v>6</v>
      </c>
      <c r="L92" s="32">
        <f>41*15</f>
        <v>615</v>
      </c>
      <c r="M92" s="33"/>
      <c r="N92" s="33"/>
      <c r="O92" s="788">
        <f>L92</f>
        <v>615</v>
      </c>
      <c r="P92" s="32">
        <f>L92</f>
        <v>615</v>
      </c>
      <c r="Q92" s="33"/>
      <c r="R92" s="33"/>
      <c r="S92" s="788">
        <f>P92</f>
        <v>615</v>
      </c>
      <c r="T92" s="266" t="s">
        <v>1456</v>
      </c>
      <c r="U92" s="4" t="s">
        <v>1873</v>
      </c>
    </row>
    <row r="93" spans="1:21" s="1" customFormat="1" ht="36" customHeight="1" thickBot="1">
      <c r="A93" s="787" t="s">
        <v>17</v>
      </c>
      <c r="B93" s="334" t="s">
        <v>1470</v>
      </c>
      <c r="C93" s="221" t="s">
        <v>655</v>
      </c>
      <c r="D93" s="333"/>
      <c r="E93" s="1022" t="s">
        <v>1471</v>
      </c>
      <c r="F93" s="112" t="s">
        <v>652</v>
      </c>
      <c r="G93" s="112" t="s">
        <v>651</v>
      </c>
      <c r="H93" s="706">
        <v>53721126</v>
      </c>
      <c r="I93" s="112">
        <v>23060970</v>
      </c>
      <c r="J93" s="386" t="s">
        <v>716</v>
      </c>
      <c r="K93" s="174">
        <v>3</v>
      </c>
      <c r="L93" s="32">
        <f>100</f>
        <v>100</v>
      </c>
      <c r="M93" s="33"/>
      <c r="N93" s="33"/>
      <c r="O93" s="788">
        <f>L93</f>
        <v>100</v>
      </c>
      <c r="P93" s="32">
        <f>L93</f>
        <v>100</v>
      </c>
      <c r="Q93" s="33"/>
      <c r="R93" s="33"/>
      <c r="S93" s="788">
        <f>P93</f>
        <v>100</v>
      </c>
      <c r="T93" s="266" t="s">
        <v>1456</v>
      </c>
      <c r="U93" s="4" t="s">
        <v>1873</v>
      </c>
    </row>
    <row r="94" spans="1:21" s="1" customFormat="1" ht="39.75" customHeight="1">
      <c r="B94" s="1130" t="s">
        <v>22</v>
      </c>
      <c r="C94" s="118" t="s">
        <v>850</v>
      </c>
      <c r="D94" s="1236"/>
      <c r="E94" s="55"/>
      <c r="F94" s="55"/>
      <c r="G94" s="1622" t="s">
        <v>1920</v>
      </c>
      <c r="H94" s="1236" t="s">
        <v>850</v>
      </c>
      <c r="I94" s="782"/>
      <c r="K94" s="782"/>
      <c r="L94" s="31"/>
      <c r="M94" s="31"/>
      <c r="N94" s="31"/>
      <c r="O94" s="31"/>
      <c r="P94" s="31"/>
      <c r="Q94" s="31"/>
      <c r="R94" s="32" t="s">
        <v>23</v>
      </c>
      <c r="S94" s="556">
        <f>SUM(S92:S93)</f>
        <v>715</v>
      </c>
    </row>
    <row r="95" spans="1:21" s="1" customFormat="1" ht="15">
      <c r="B95" s="13"/>
      <c r="C95" s="700" t="s">
        <v>1164</v>
      </c>
      <c r="D95" s="1238"/>
      <c r="E95" s="55"/>
      <c r="F95" s="55"/>
      <c r="G95" s="1123"/>
      <c r="H95" s="1238" t="s">
        <v>1164</v>
      </c>
      <c r="I95" s="782"/>
      <c r="K95" s="782"/>
    </row>
    <row r="96" spans="1:21" s="1" customFormat="1" ht="15.75" thickBot="1">
      <c r="B96" s="13"/>
      <c r="C96" s="700" t="s">
        <v>659</v>
      </c>
      <c r="D96" s="1238"/>
      <c r="E96" s="55"/>
      <c r="F96" s="55"/>
      <c r="G96" s="1239"/>
      <c r="H96" s="1105" t="s">
        <v>659</v>
      </c>
      <c r="I96" s="782"/>
      <c r="K96" s="782"/>
    </row>
    <row r="97" spans="2:15" s="1" customFormat="1" ht="15.75" thickBot="1">
      <c r="B97" s="433" t="s">
        <v>160</v>
      </c>
      <c r="C97" s="702">
        <v>8222146582</v>
      </c>
      <c r="D97" s="704"/>
      <c r="E97" s="55"/>
      <c r="F97" s="55"/>
      <c r="G97" s="782"/>
      <c r="H97" s="782"/>
      <c r="I97" s="782"/>
      <c r="K97" s="782"/>
    </row>
    <row r="98" spans="2:15" s="1" customFormat="1">
      <c r="C98" s="638"/>
      <c r="D98" s="335"/>
      <c r="E98" s="55"/>
      <c r="F98" s="55"/>
      <c r="G98" s="287"/>
      <c r="H98" s="287"/>
      <c r="I98" s="287"/>
      <c r="K98" s="287"/>
      <c r="L98" s="1" t="s">
        <v>62</v>
      </c>
      <c r="M98" s="31">
        <f>O38+O49+O62+O73+O83+S94</f>
        <v>385179.6</v>
      </c>
    </row>
    <row r="99" spans="2:15" s="1" customFormat="1" ht="15" thickBot="1">
      <c r="C99" s="638"/>
      <c r="D99" s="335"/>
      <c r="E99" s="55"/>
      <c r="F99" s="55"/>
      <c r="G99" s="287"/>
      <c r="H99" s="287"/>
      <c r="I99" s="287"/>
      <c r="K99" s="287"/>
    </row>
    <row r="100" spans="2:15" ht="46.5" customHeight="1">
      <c r="K100" s="1706" t="s">
        <v>59</v>
      </c>
      <c r="L100" s="1708" t="s">
        <v>644</v>
      </c>
      <c r="M100" s="1709"/>
      <c r="N100" s="1710"/>
      <c r="O100" s="1711" t="s">
        <v>60</v>
      </c>
    </row>
    <row r="101" spans="2:15" ht="24.75" customHeight="1" thickBot="1">
      <c r="K101" s="1707"/>
      <c r="L101" s="274" t="s">
        <v>61</v>
      </c>
      <c r="M101" s="274" t="s">
        <v>639</v>
      </c>
      <c r="N101" s="274" t="s">
        <v>640</v>
      </c>
      <c r="O101" s="1712"/>
    </row>
    <row r="102" spans="2:15" s="1" customFormat="1" ht="18.75" customHeight="1">
      <c r="K102" s="1426" t="s">
        <v>716</v>
      </c>
      <c r="L102" s="1427">
        <f>O27+O29+S93</f>
        <v>1245</v>
      </c>
      <c r="M102" s="1428"/>
      <c r="N102" s="1429"/>
      <c r="O102" s="1423">
        <v>3</v>
      </c>
    </row>
    <row r="103" spans="2:15" s="1" customFormat="1" ht="16.5" customHeight="1">
      <c r="K103" s="1430" t="s">
        <v>28</v>
      </c>
      <c r="L103" s="847">
        <f>O28+O35+S92</f>
        <v>22685</v>
      </c>
      <c r="M103" s="848"/>
      <c r="N103" s="1431"/>
      <c r="O103" s="1423">
        <v>3</v>
      </c>
    </row>
    <row r="104" spans="2:15">
      <c r="K104" s="1430" t="s">
        <v>21</v>
      </c>
      <c r="L104" s="796">
        <f>O37</f>
        <v>156720.59999999998</v>
      </c>
      <c r="M104" s="849"/>
      <c r="N104" s="1432"/>
      <c r="O104" s="1424">
        <v>1</v>
      </c>
    </row>
    <row r="105" spans="2:15">
      <c r="K105" s="1402" t="s">
        <v>65</v>
      </c>
      <c r="L105" s="849"/>
      <c r="M105" s="205">
        <f>SUM(M18,M20:M26,M30:M34,M36,M48,M59:M61,M71:M72,M82)</f>
        <v>58863</v>
      </c>
      <c r="N105" s="1433">
        <f>SUM(N18,N20:N26,N30:N34,N36,N48,N59:N61,N71:N72,N82)</f>
        <v>141666</v>
      </c>
      <c r="O105" s="1424">
        <v>21</v>
      </c>
    </row>
    <row r="106" spans="2:15" s="1" customFormat="1" ht="15" thickBot="1">
      <c r="K106" s="1403" t="s">
        <v>442</v>
      </c>
      <c r="L106" s="1434"/>
      <c r="M106" s="1435">
        <f>M19</f>
        <v>3000</v>
      </c>
      <c r="N106" s="1436">
        <f>N19</f>
        <v>1000</v>
      </c>
      <c r="O106" s="1421">
        <v>1</v>
      </c>
    </row>
    <row r="107" spans="2:15" ht="21.75" customHeight="1" thickBot="1">
      <c r="K107" s="341" t="s">
        <v>62</v>
      </c>
      <c r="L107" s="935">
        <f>SUM(L102:L106)</f>
        <v>180650.59999999998</v>
      </c>
      <c r="M107" s="1425">
        <f>SUM(M102:M106)</f>
        <v>61863</v>
      </c>
      <c r="N107" s="1422">
        <f>SUM(N102:N106)</f>
        <v>142666</v>
      </c>
      <c r="O107" s="850">
        <f>SUM(O102:O106)</f>
        <v>29</v>
      </c>
    </row>
    <row r="108" spans="2:15" ht="18.75" thickBot="1">
      <c r="K108" s="1"/>
      <c r="L108" s="123" t="s">
        <v>63</v>
      </c>
      <c r="M108" s="659">
        <f>SUM(L107:N107)</f>
        <v>385179.6</v>
      </c>
      <c r="N108" s="31"/>
      <c r="O108" s="31"/>
    </row>
  </sheetData>
  <mergeCells count="94">
    <mergeCell ref="F89:F91"/>
    <mergeCell ref="T89:T91"/>
    <mergeCell ref="U89:U91"/>
    <mergeCell ref="L90:L91"/>
    <mergeCell ref="M90:M91"/>
    <mergeCell ref="N90:N91"/>
    <mergeCell ref="O90:O91"/>
    <mergeCell ref="S90:S91"/>
    <mergeCell ref="P90:P91"/>
    <mergeCell ref="Q90:Q91"/>
    <mergeCell ref="P89:S89"/>
    <mergeCell ref="A89:A91"/>
    <mergeCell ref="B89:B91"/>
    <mergeCell ref="C89:C91"/>
    <mergeCell ref="D89:D91"/>
    <mergeCell ref="E89:E91"/>
    <mergeCell ref="R90:R91"/>
    <mergeCell ref="J89:J91"/>
    <mergeCell ref="K89:K91"/>
    <mergeCell ref="L89:O89"/>
    <mergeCell ref="J68:J70"/>
    <mergeCell ref="L69:O69"/>
    <mergeCell ref="L100:N100"/>
    <mergeCell ref="O100:O101"/>
    <mergeCell ref="K45:K47"/>
    <mergeCell ref="L15:O15"/>
    <mergeCell ref="L16:O16"/>
    <mergeCell ref="K15:K17"/>
    <mergeCell ref="L79:O79"/>
    <mergeCell ref="L80:O80"/>
    <mergeCell ref="K68:K70"/>
    <mergeCell ref="L68:O68"/>
    <mergeCell ref="L45:O45"/>
    <mergeCell ref="L46:O46"/>
    <mergeCell ref="L56:O56"/>
    <mergeCell ref="L57:O57"/>
    <mergeCell ref="K100:K101"/>
    <mergeCell ref="G89:G91"/>
    <mergeCell ref="H89:H91"/>
    <mergeCell ref="I89:I91"/>
    <mergeCell ref="I68:I70"/>
    <mergeCell ref="B15:B17"/>
    <mergeCell ref="A15:A17"/>
    <mergeCell ref="F15:F17"/>
    <mergeCell ref="I45:I47"/>
    <mergeCell ref="J45:J47"/>
    <mergeCell ref="H45:H47"/>
    <mergeCell ref="C15:C17"/>
    <mergeCell ref="D15:D17"/>
    <mergeCell ref="G15:G17"/>
    <mergeCell ref="G45:G47"/>
    <mergeCell ref="A45:A47"/>
    <mergeCell ref="B45:B47"/>
    <mergeCell ref="C45:C47"/>
    <mergeCell ref="D45:D47"/>
    <mergeCell ref="E45:E47"/>
    <mergeCell ref="F45:F47"/>
    <mergeCell ref="F79:F81"/>
    <mergeCell ref="B1:I1"/>
    <mergeCell ref="B3:J3"/>
    <mergeCell ref="A68:A70"/>
    <mergeCell ref="B68:B70"/>
    <mergeCell ref="C68:C70"/>
    <mergeCell ref="D68:D70"/>
    <mergeCell ref="E68:E70"/>
    <mergeCell ref="F68:F70"/>
    <mergeCell ref="G68:G70"/>
    <mergeCell ref="H68:H70"/>
    <mergeCell ref="B5:J5"/>
    <mergeCell ref="E15:E17"/>
    <mergeCell ref="H15:H17"/>
    <mergeCell ref="I15:I17"/>
    <mergeCell ref="J15:J17"/>
    <mergeCell ref="A79:A81"/>
    <mergeCell ref="B79:B81"/>
    <mergeCell ref="C79:C81"/>
    <mergeCell ref="D79:D81"/>
    <mergeCell ref="E79:E81"/>
    <mergeCell ref="A56:A58"/>
    <mergeCell ref="B56:B58"/>
    <mergeCell ref="C56:C58"/>
    <mergeCell ref="D56:D58"/>
    <mergeCell ref="E56:E58"/>
    <mergeCell ref="K56:K58"/>
    <mergeCell ref="G79:G81"/>
    <mergeCell ref="H79:H81"/>
    <mergeCell ref="I79:I81"/>
    <mergeCell ref="J79:J81"/>
    <mergeCell ref="K79:K81"/>
    <mergeCell ref="F56:F58"/>
    <mergeCell ref="G56:G58"/>
    <mergeCell ref="H56:H58"/>
    <mergeCell ref="I56:I58"/>
    <mergeCell ref="J56:J58"/>
  </mergeCells>
  <pageMargins left="0.7" right="0.7" top="0.75" bottom="0.75" header="0.3" footer="0.3"/>
  <pageSetup paperSize="9" orientation="portrait" r:id="rId1"/>
  <ignoredErrors>
    <ignoredError sqref="E93" twoDigitTextYear="1"/>
    <ignoredError sqref="O35:O3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topLeftCell="A157" zoomScale="80" zoomScaleNormal="80" workbookViewId="0">
      <selection activeCell="O174" sqref="O174"/>
    </sheetView>
  </sheetViews>
  <sheetFormatPr defaultRowHeight="14.25"/>
  <cols>
    <col min="1" max="1" width="11.875" customWidth="1"/>
    <col min="2" max="2" width="15.875" customWidth="1"/>
    <col min="3" max="3" width="12.5" customWidth="1"/>
    <col min="4" max="4" width="13.125" customWidth="1"/>
    <col min="5" max="5" width="10.5" customWidth="1"/>
    <col min="7" max="7" width="10.625" customWidth="1"/>
    <col min="8" max="8" width="16.75" customWidth="1"/>
    <col min="9" max="9" width="26.75" style="1" customWidth="1"/>
    <col min="10" max="10" width="16" style="1" customWidth="1"/>
    <col min="11" max="11" width="12.75" customWidth="1"/>
    <col min="12" max="12" width="12.375" customWidth="1"/>
    <col min="13" max="13" width="15.625" customWidth="1"/>
    <col min="14" max="14" width="16.375" customWidth="1"/>
    <col min="15" max="15" width="15.375" customWidth="1"/>
    <col min="16" max="16" width="16.375" customWidth="1"/>
    <col min="17" max="17" width="13.125" customWidth="1"/>
    <col min="18" max="18" width="15.375" customWidth="1"/>
    <col min="19" max="19" width="14.875" customWidth="1"/>
    <col min="20" max="20" width="24.875" customWidth="1"/>
    <col min="21" max="21" width="23.375" customWidth="1"/>
  </cols>
  <sheetData>
    <row r="1" spans="1:15" s="1" customFormat="1" ht="18">
      <c r="B1" s="1691" t="s">
        <v>1174</v>
      </c>
      <c r="C1" s="1691"/>
      <c r="D1" s="1691"/>
      <c r="E1" s="1691"/>
      <c r="F1" s="1691"/>
      <c r="G1" s="1691"/>
      <c r="H1" s="1691"/>
      <c r="I1" s="1691"/>
    </row>
    <row r="2" spans="1:15" s="1" customFormat="1"/>
    <row r="3" spans="1:15" s="1" customFormat="1" ht="30" customHeight="1">
      <c r="B3" s="1727" t="s">
        <v>704</v>
      </c>
      <c r="C3" s="1728"/>
      <c r="D3" s="1728"/>
      <c r="E3" s="1728"/>
      <c r="F3" s="1728"/>
      <c r="G3" s="1728"/>
      <c r="H3" s="1728"/>
      <c r="I3" s="1728"/>
      <c r="J3" s="1728"/>
      <c r="K3" s="1729"/>
    </row>
    <row r="4" spans="1:15" s="1" customFormat="1" ht="15">
      <c r="B4" s="469"/>
      <c r="C4" s="469"/>
      <c r="D4" s="469"/>
      <c r="E4" s="469"/>
      <c r="F4" s="469"/>
      <c r="G4" s="469"/>
      <c r="H4" s="469"/>
      <c r="I4" s="469"/>
      <c r="J4" s="469"/>
      <c r="K4" s="469"/>
    </row>
    <row r="5" spans="1:15" s="1" customFormat="1" ht="15">
      <c r="B5" s="1796" t="s">
        <v>1052</v>
      </c>
      <c r="C5" s="1749"/>
      <c r="D5" s="1749"/>
      <c r="E5" s="1749"/>
      <c r="F5" s="1749"/>
      <c r="G5" s="1749"/>
      <c r="H5" s="1749"/>
      <c r="I5" s="1749"/>
      <c r="J5" s="1749"/>
      <c r="K5" s="1797"/>
    </row>
    <row r="6" spans="1:15" s="1" customFormat="1" ht="15">
      <c r="B6" s="469"/>
      <c r="C6" s="469"/>
      <c r="D6" s="469"/>
      <c r="E6" s="469"/>
      <c r="F6" s="469"/>
      <c r="G6" s="469"/>
      <c r="H6" s="472"/>
      <c r="I6" s="472"/>
      <c r="J6" s="472"/>
      <c r="K6" s="471"/>
    </row>
    <row r="7" spans="1:15" s="1" customFormat="1" ht="15.75">
      <c r="B7" s="470" t="s">
        <v>1</v>
      </c>
      <c r="C7" s="469"/>
      <c r="D7" s="469"/>
      <c r="E7" s="469"/>
      <c r="F7" s="471"/>
      <c r="G7" s="469"/>
      <c r="H7" s="472"/>
      <c r="I7" s="472"/>
      <c r="J7" s="472"/>
      <c r="K7" s="471"/>
    </row>
    <row r="8" spans="1:15" ht="15.75">
      <c r="A8" s="1"/>
      <c r="B8" s="1307" t="s">
        <v>1921</v>
      </c>
      <c r="C8" s="469"/>
      <c r="D8" s="469"/>
      <c r="E8" s="469"/>
      <c r="F8" s="471"/>
      <c r="G8" s="469"/>
      <c r="H8" s="472"/>
      <c r="I8" s="472"/>
      <c r="J8" s="472"/>
      <c r="K8" s="471"/>
    </row>
    <row r="9" spans="1:15" ht="15.75">
      <c r="A9" s="1"/>
      <c r="B9" s="473" t="s">
        <v>1872</v>
      </c>
      <c r="C9" s="471"/>
      <c r="D9" s="474"/>
      <c r="E9" s="469"/>
      <c r="F9" s="469"/>
      <c r="G9" s="471"/>
      <c r="H9" s="469"/>
      <c r="I9" s="472"/>
      <c r="J9" s="472"/>
      <c r="K9" s="471"/>
    </row>
    <row r="10" spans="1:15" ht="15.75">
      <c r="A10" s="1"/>
      <c r="B10" s="473" t="s">
        <v>1045</v>
      </c>
      <c r="C10" s="471"/>
      <c r="D10" s="474"/>
      <c r="E10" s="469"/>
      <c r="F10" s="469"/>
      <c r="G10" s="471"/>
      <c r="H10" s="469"/>
      <c r="I10" s="472"/>
      <c r="J10" s="472"/>
      <c r="K10" s="471"/>
    </row>
    <row r="11" spans="1:15" ht="15">
      <c r="A11" s="1"/>
      <c r="B11" s="471" t="s">
        <v>696</v>
      </c>
      <c r="C11" s="471"/>
      <c r="D11" s="471"/>
      <c r="E11" s="471"/>
      <c r="F11" s="471"/>
      <c r="G11" s="471"/>
      <c r="H11" s="469"/>
      <c r="I11" s="472"/>
      <c r="J11" s="472"/>
      <c r="K11" s="471"/>
    </row>
    <row r="12" spans="1:15" ht="15.75">
      <c r="A12" s="1"/>
      <c r="B12" s="475" t="s">
        <v>2</v>
      </c>
      <c r="C12" s="476" t="s">
        <v>3</v>
      </c>
      <c r="D12" s="474"/>
      <c r="E12" s="477"/>
      <c r="F12" s="471"/>
      <c r="G12" s="471"/>
      <c r="H12" s="471"/>
      <c r="I12" s="471"/>
      <c r="J12" s="471"/>
      <c r="K12" s="471"/>
    </row>
    <row r="13" spans="1:15" ht="15.75">
      <c r="A13" s="1"/>
      <c r="B13" s="475" t="s">
        <v>4</v>
      </c>
      <c r="C13" s="470" t="s">
        <v>5</v>
      </c>
      <c r="D13" s="474"/>
      <c r="E13" s="477"/>
      <c r="F13" s="471"/>
      <c r="G13" s="471"/>
      <c r="H13" s="471"/>
      <c r="I13" s="157"/>
      <c r="J13" s="471"/>
      <c r="K13" s="471"/>
    </row>
    <row r="14" spans="1:15" ht="15" thickBot="1"/>
    <row r="15" spans="1:15" ht="45" customHeight="1">
      <c r="A15" s="1662" t="s">
        <v>6</v>
      </c>
      <c r="B15" s="1673" t="s">
        <v>633</v>
      </c>
      <c r="C15" s="1676" t="s">
        <v>8</v>
      </c>
      <c r="D15" s="1676" t="s">
        <v>9</v>
      </c>
      <c r="E15" s="1656" t="s">
        <v>634</v>
      </c>
      <c r="F15" s="1656" t="s">
        <v>11</v>
      </c>
      <c r="G15" s="1676" t="s">
        <v>12</v>
      </c>
      <c r="H15" s="1656" t="s">
        <v>269</v>
      </c>
      <c r="I15" s="1656" t="s">
        <v>13</v>
      </c>
      <c r="J15" s="1656" t="s">
        <v>59</v>
      </c>
      <c r="K15" s="1793" t="s">
        <v>635</v>
      </c>
      <c r="L15" s="1719" t="s">
        <v>636</v>
      </c>
      <c r="M15" s="1719"/>
      <c r="N15" s="1719"/>
      <c r="O15" s="1726"/>
    </row>
    <row r="16" spans="1:15" ht="42.75" customHeight="1">
      <c r="A16" s="1663"/>
      <c r="B16" s="1674"/>
      <c r="C16" s="1677"/>
      <c r="D16" s="1677"/>
      <c r="E16" s="1657"/>
      <c r="F16" s="1657"/>
      <c r="G16" s="1677"/>
      <c r="H16" s="1657"/>
      <c r="I16" s="1657"/>
      <c r="J16" s="1657"/>
      <c r="K16" s="1794"/>
      <c r="L16" s="1654" t="s">
        <v>637</v>
      </c>
      <c r="M16" s="1654"/>
      <c r="N16" s="1654"/>
      <c r="O16" s="1680"/>
    </row>
    <row r="17" spans="1:15" ht="27.75" customHeight="1" thickBot="1">
      <c r="A17" s="1664"/>
      <c r="B17" s="1675"/>
      <c r="C17" s="1678"/>
      <c r="D17" s="1678"/>
      <c r="E17" s="1658"/>
      <c r="F17" s="1658"/>
      <c r="G17" s="1678"/>
      <c r="H17" s="1658"/>
      <c r="I17" s="1658"/>
      <c r="J17" s="1658"/>
      <c r="K17" s="1795"/>
      <c r="L17" s="270" t="s">
        <v>638</v>
      </c>
      <c r="M17" s="270" t="s">
        <v>639</v>
      </c>
      <c r="N17" s="270" t="s">
        <v>640</v>
      </c>
      <c r="O17" s="265" t="s">
        <v>16</v>
      </c>
    </row>
    <row r="18" spans="1:15" ht="30" thickBot="1">
      <c r="A18" s="601" t="s">
        <v>26</v>
      </c>
      <c r="B18" s="614" t="s">
        <v>660</v>
      </c>
      <c r="C18" s="614" t="s">
        <v>663</v>
      </c>
      <c r="E18" s="104">
        <v>19</v>
      </c>
      <c r="F18" s="104" t="s">
        <v>662</v>
      </c>
      <c r="G18" s="104" t="s">
        <v>661</v>
      </c>
      <c r="H18" s="104">
        <v>70958678</v>
      </c>
      <c r="I18" s="710" t="s">
        <v>977</v>
      </c>
      <c r="J18" s="542" t="s">
        <v>28</v>
      </c>
      <c r="K18" s="342">
        <v>6</v>
      </c>
      <c r="L18" s="285">
        <f>10433-7988</f>
        <v>2445</v>
      </c>
      <c r="M18" s="460"/>
      <c r="N18" s="460"/>
      <c r="O18" s="343">
        <f>L18</f>
        <v>2445</v>
      </c>
    </row>
    <row r="19" spans="1:15" ht="30">
      <c r="B19" s="697" t="s">
        <v>22</v>
      </c>
      <c r="C19" s="11" t="s">
        <v>660</v>
      </c>
      <c r="D19" s="12"/>
      <c r="E19" s="1248"/>
      <c r="F19" s="260"/>
      <c r="G19" s="260"/>
      <c r="H19" s="1622" t="s">
        <v>1920</v>
      </c>
      <c r="I19" s="12" t="s">
        <v>660</v>
      </c>
      <c r="K19" s="287"/>
      <c r="L19" s="344"/>
      <c r="M19" s="1"/>
      <c r="N19" s="32" t="s">
        <v>23</v>
      </c>
      <c r="O19" s="556">
        <f>SUM(O18)</f>
        <v>2445</v>
      </c>
    </row>
    <row r="20" spans="1:15" ht="15">
      <c r="B20" s="553"/>
      <c r="C20" s="14" t="s">
        <v>664</v>
      </c>
      <c r="D20" s="15"/>
      <c r="E20" s="1248"/>
      <c r="F20" s="260"/>
      <c r="G20" s="260"/>
      <c r="H20" s="13"/>
      <c r="I20" s="15" t="s">
        <v>664</v>
      </c>
      <c r="K20" s="287"/>
      <c r="L20" s="344"/>
      <c r="M20" s="1"/>
      <c r="N20" s="1"/>
      <c r="O20" s="1"/>
    </row>
    <row r="21" spans="1:15" ht="15.75" thickBot="1">
      <c r="B21" s="553"/>
      <c r="C21" s="14" t="s">
        <v>665</v>
      </c>
      <c r="D21" s="15"/>
      <c r="E21" s="1248"/>
      <c r="F21" s="260"/>
      <c r="G21" s="260"/>
      <c r="H21" s="71"/>
      <c r="I21" s="18" t="s">
        <v>665</v>
      </c>
      <c r="K21" s="287"/>
      <c r="L21" s="344"/>
      <c r="M21" s="1"/>
      <c r="N21" s="1"/>
      <c r="O21" s="1"/>
    </row>
    <row r="22" spans="1:15" ht="15">
      <c r="B22" s="553" t="s">
        <v>160</v>
      </c>
      <c r="C22" s="14" t="s">
        <v>666</v>
      </c>
      <c r="D22" s="15"/>
      <c r="E22" s="1248"/>
      <c r="F22" s="260"/>
      <c r="G22" s="260"/>
      <c r="H22" s="260"/>
      <c r="I22" s="260"/>
      <c r="K22" s="287"/>
      <c r="L22" s="344"/>
      <c r="M22" s="1"/>
      <c r="N22" s="1"/>
      <c r="O22" s="1"/>
    </row>
    <row r="23" spans="1:15" s="1" customFormat="1" ht="15.75" thickBot="1">
      <c r="B23" s="433" t="s">
        <v>1061</v>
      </c>
      <c r="C23" s="17" t="s">
        <v>1116</v>
      </c>
      <c r="D23" s="18"/>
      <c r="E23" s="1248"/>
      <c r="F23" s="260"/>
      <c r="G23" s="260"/>
      <c r="H23" s="260"/>
      <c r="I23" s="260"/>
      <c r="K23" s="287"/>
      <c r="L23" s="344"/>
    </row>
    <row r="24" spans="1:15" ht="15" thickBot="1">
      <c r="A24" s="1"/>
      <c r="B24" s="2"/>
      <c r="C24" s="1"/>
      <c r="D24" s="1"/>
      <c r="E24" s="2"/>
      <c r="F24" s="1"/>
      <c r="G24" s="1"/>
      <c r="H24" s="1"/>
      <c r="K24" s="287"/>
      <c r="L24" s="344"/>
      <c r="M24" s="1"/>
      <c r="N24" s="1"/>
      <c r="O24" s="1"/>
    </row>
    <row r="25" spans="1:15" ht="42" customHeight="1">
      <c r="A25" s="1662" t="s">
        <v>6</v>
      </c>
      <c r="B25" s="1673" t="s">
        <v>633</v>
      </c>
      <c r="C25" s="1676" t="s">
        <v>8</v>
      </c>
      <c r="D25" s="1676" t="s">
        <v>9</v>
      </c>
      <c r="E25" s="1656" t="s">
        <v>634</v>
      </c>
      <c r="F25" s="1656" t="s">
        <v>11</v>
      </c>
      <c r="G25" s="1676" t="s">
        <v>12</v>
      </c>
      <c r="H25" s="1656" t="s">
        <v>269</v>
      </c>
      <c r="I25" s="1656" t="s">
        <v>13</v>
      </c>
      <c r="J25" s="1656" t="s">
        <v>59</v>
      </c>
      <c r="K25" s="1793" t="s">
        <v>635</v>
      </c>
      <c r="L25" s="1719" t="s">
        <v>636</v>
      </c>
      <c r="M25" s="1719"/>
      <c r="N25" s="1719"/>
      <c r="O25" s="1726"/>
    </row>
    <row r="26" spans="1:15" ht="39" customHeight="1">
      <c r="A26" s="1663"/>
      <c r="B26" s="1674"/>
      <c r="C26" s="1677"/>
      <c r="D26" s="1677"/>
      <c r="E26" s="1657"/>
      <c r="F26" s="1657"/>
      <c r="G26" s="1677"/>
      <c r="H26" s="1657"/>
      <c r="I26" s="1657"/>
      <c r="J26" s="1657"/>
      <c r="K26" s="1794"/>
      <c r="L26" s="1654" t="s">
        <v>637</v>
      </c>
      <c r="M26" s="1654"/>
      <c r="N26" s="1654"/>
      <c r="O26" s="1680"/>
    </row>
    <row r="27" spans="1:15" ht="27" customHeight="1" thickBot="1">
      <c r="A27" s="1664"/>
      <c r="B27" s="1675"/>
      <c r="C27" s="1678"/>
      <c r="D27" s="1678"/>
      <c r="E27" s="1658"/>
      <c r="F27" s="1658"/>
      <c r="G27" s="1678"/>
      <c r="H27" s="1658"/>
      <c r="I27" s="1658"/>
      <c r="J27" s="1658"/>
      <c r="K27" s="1795"/>
      <c r="L27" s="270" t="s">
        <v>638</v>
      </c>
      <c r="M27" s="270" t="s">
        <v>639</v>
      </c>
      <c r="N27" s="270" t="s">
        <v>640</v>
      </c>
      <c r="O27" s="265" t="s">
        <v>16</v>
      </c>
    </row>
    <row r="28" spans="1:15" ht="18">
      <c r="A28" s="601" t="s">
        <v>26</v>
      </c>
      <c r="B28" s="105" t="s">
        <v>667</v>
      </c>
      <c r="C28" s="105" t="s">
        <v>661</v>
      </c>
      <c r="D28" s="104" t="s">
        <v>166</v>
      </c>
      <c r="E28" s="104"/>
      <c r="F28" s="104" t="s">
        <v>662</v>
      </c>
      <c r="G28" s="104" t="s">
        <v>661</v>
      </c>
      <c r="H28" s="22">
        <v>71020470</v>
      </c>
      <c r="I28" s="710" t="s">
        <v>990</v>
      </c>
      <c r="J28" s="542" t="s">
        <v>28</v>
      </c>
      <c r="K28" s="342">
        <v>13</v>
      </c>
      <c r="L28" s="345">
        <f>47828-35714</f>
        <v>12114</v>
      </c>
      <c r="M28" s="456"/>
      <c r="N28" s="456"/>
      <c r="O28" s="346">
        <f>L28</f>
        <v>12114</v>
      </c>
    </row>
    <row r="29" spans="1:15" ht="29.25">
      <c r="A29" s="601" t="s">
        <v>26</v>
      </c>
      <c r="B29" s="23" t="s">
        <v>668</v>
      </c>
      <c r="C29" s="23" t="s">
        <v>661</v>
      </c>
      <c r="D29" s="22" t="s">
        <v>669</v>
      </c>
      <c r="E29" s="22">
        <v>4</v>
      </c>
      <c r="F29" s="22" t="s">
        <v>662</v>
      </c>
      <c r="G29" s="22" t="s">
        <v>661</v>
      </c>
      <c r="H29" s="22">
        <v>838110</v>
      </c>
      <c r="I29" s="695" t="s">
        <v>980</v>
      </c>
      <c r="J29" s="405" t="s">
        <v>28</v>
      </c>
      <c r="K29" s="347">
        <v>21</v>
      </c>
      <c r="L29" s="348">
        <f>60230-46875</f>
        <v>13355</v>
      </c>
      <c r="M29" s="33"/>
      <c r="N29" s="33"/>
      <c r="O29" s="349">
        <f t="shared" ref="O29:O39" si="0">L29</f>
        <v>13355</v>
      </c>
    </row>
    <row r="30" spans="1:15" ht="18">
      <c r="A30" s="601" t="s">
        <v>26</v>
      </c>
      <c r="B30" s="23" t="s">
        <v>221</v>
      </c>
      <c r="C30" s="23" t="s">
        <v>661</v>
      </c>
      <c r="D30" s="22" t="s">
        <v>669</v>
      </c>
      <c r="E30" s="22">
        <v>1</v>
      </c>
      <c r="F30" s="22" t="s">
        <v>662</v>
      </c>
      <c r="G30" s="22" t="s">
        <v>661</v>
      </c>
      <c r="H30" s="22">
        <v>838111</v>
      </c>
      <c r="I30" s="710" t="s">
        <v>982</v>
      </c>
      <c r="J30" s="405" t="s">
        <v>28</v>
      </c>
      <c r="K30" s="347">
        <v>11</v>
      </c>
      <c r="L30" s="348">
        <f>114602-90826</f>
        <v>23776</v>
      </c>
      <c r="M30" s="33"/>
      <c r="N30" s="33"/>
      <c r="O30" s="349">
        <f t="shared" si="0"/>
        <v>23776</v>
      </c>
    </row>
    <row r="31" spans="1:15" ht="29.25">
      <c r="A31" s="601" t="s">
        <v>26</v>
      </c>
      <c r="B31" s="23" t="s">
        <v>670</v>
      </c>
      <c r="C31" s="23" t="s">
        <v>661</v>
      </c>
      <c r="D31" s="22" t="s">
        <v>671</v>
      </c>
      <c r="E31" s="22"/>
      <c r="F31" s="22" t="s">
        <v>662</v>
      </c>
      <c r="G31" s="22" t="s">
        <v>661</v>
      </c>
      <c r="H31" s="22">
        <v>907900</v>
      </c>
      <c r="I31" s="695" t="s">
        <v>985</v>
      </c>
      <c r="J31" s="405" t="s">
        <v>28</v>
      </c>
      <c r="K31" s="347">
        <v>5</v>
      </c>
      <c r="L31" s="348">
        <f>37003-22816</f>
        <v>14187</v>
      </c>
      <c r="M31" s="33"/>
      <c r="N31" s="33"/>
      <c r="O31" s="349">
        <f t="shared" si="0"/>
        <v>14187</v>
      </c>
    </row>
    <row r="32" spans="1:15" ht="18">
      <c r="A32" s="601" t="s">
        <v>26</v>
      </c>
      <c r="B32" s="23"/>
      <c r="C32" s="23" t="s">
        <v>672</v>
      </c>
      <c r="D32" s="22"/>
      <c r="E32" s="22"/>
      <c r="F32" s="22" t="s">
        <v>662</v>
      </c>
      <c r="G32" s="22" t="s">
        <v>661</v>
      </c>
      <c r="H32" s="22">
        <v>71020631</v>
      </c>
      <c r="I32" s="710" t="s">
        <v>993</v>
      </c>
      <c r="J32" s="405" t="s">
        <v>28</v>
      </c>
      <c r="K32" s="347">
        <v>6.6</v>
      </c>
      <c r="L32" s="348">
        <f>3399-2522</f>
        <v>877</v>
      </c>
      <c r="M32" s="33"/>
      <c r="N32" s="33"/>
      <c r="O32" s="349">
        <f t="shared" si="0"/>
        <v>877</v>
      </c>
    </row>
    <row r="33" spans="1:15" ht="25.5" customHeight="1">
      <c r="A33" s="601" t="s">
        <v>26</v>
      </c>
      <c r="B33" s="23" t="s">
        <v>443</v>
      </c>
      <c r="C33" s="253" t="s">
        <v>673</v>
      </c>
      <c r="D33" s="22"/>
      <c r="E33" s="22"/>
      <c r="F33" s="22" t="s">
        <v>662</v>
      </c>
      <c r="G33" s="22" t="s">
        <v>661</v>
      </c>
      <c r="H33" s="22">
        <v>907896</v>
      </c>
      <c r="I33" s="695" t="s">
        <v>988</v>
      </c>
      <c r="J33" s="541" t="s">
        <v>65</v>
      </c>
      <c r="K33" s="347">
        <v>10</v>
      </c>
      <c r="L33" s="328"/>
      <c r="M33" s="34">
        <f>2540-1336</f>
        <v>1204</v>
      </c>
      <c r="N33" s="34">
        <f>5101-2822</f>
        <v>2279</v>
      </c>
      <c r="O33" s="349">
        <f>M33+N33</f>
        <v>3483</v>
      </c>
    </row>
    <row r="34" spans="1:15" ht="18">
      <c r="A34" s="601" t="s">
        <v>26</v>
      </c>
      <c r="B34" s="23" t="s">
        <v>184</v>
      </c>
      <c r="C34" s="23" t="s">
        <v>674</v>
      </c>
      <c r="D34" s="22"/>
      <c r="E34" s="22"/>
      <c r="F34" s="22" t="s">
        <v>662</v>
      </c>
      <c r="G34" s="22" t="s">
        <v>661</v>
      </c>
      <c r="H34" s="22">
        <v>71020481</v>
      </c>
      <c r="I34" s="710" t="s">
        <v>994</v>
      </c>
      <c r="J34" s="405" t="s">
        <v>28</v>
      </c>
      <c r="K34" s="347">
        <v>6</v>
      </c>
      <c r="L34" s="348">
        <f>34399-19671</f>
        <v>14728</v>
      </c>
      <c r="M34" s="33"/>
      <c r="N34" s="33"/>
      <c r="O34" s="349">
        <f t="shared" si="0"/>
        <v>14728</v>
      </c>
    </row>
    <row r="35" spans="1:15" ht="18">
      <c r="A35" s="601" t="s">
        <v>26</v>
      </c>
      <c r="B35" s="351" t="s">
        <v>184</v>
      </c>
      <c r="C35" s="351" t="s">
        <v>661</v>
      </c>
      <c r="D35" s="350" t="s">
        <v>54</v>
      </c>
      <c r="E35" s="350"/>
      <c r="F35" s="350" t="s">
        <v>662</v>
      </c>
      <c r="G35" s="350" t="s">
        <v>661</v>
      </c>
      <c r="H35" s="22">
        <v>908016</v>
      </c>
      <c r="I35" s="695" t="s">
        <v>981</v>
      </c>
      <c r="J35" s="543" t="s">
        <v>28</v>
      </c>
      <c r="K35" s="352">
        <v>5</v>
      </c>
      <c r="L35" s="348">
        <f>9668-7266</f>
        <v>2402</v>
      </c>
      <c r="M35" s="461"/>
      <c r="N35" s="461"/>
      <c r="O35" s="349">
        <f t="shared" si="0"/>
        <v>2402</v>
      </c>
    </row>
    <row r="36" spans="1:15" ht="18">
      <c r="A36" s="601" t="s">
        <v>26</v>
      </c>
      <c r="B36" s="23" t="s">
        <v>443</v>
      </c>
      <c r="C36" s="23" t="s">
        <v>675</v>
      </c>
      <c r="D36" s="22"/>
      <c r="E36" s="22"/>
      <c r="F36" s="22" t="s">
        <v>662</v>
      </c>
      <c r="G36" s="22" t="s">
        <v>661</v>
      </c>
      <c r="H36" s="22">
        <v>908019</v>
      </c>
      <c r="I36" s="710" t="s">
        <v>987</v>
      </c>
      <c r="J36" s="405" t="s">
        <v>28</v>
      </c>
      <c r="K36" s="347">
        <v>6.6</v>
      </c>
      <c r="L36" s="348">
        <f>11051-5300</f>
        <v>5751</v>
      </c>
      <c r="M36" s="33"/>
      <c r="N36" s="33"/>
      <c r="O36" s="349">
        <f t="shared" si="0"/>
        <v>5751</v>
      </c>
    </row>
    <row r="37" spans="1:15" ht="18">
      <c r="A37" s="601" t="s">
        <v>26</v>
      </c>
      <c r="B37" s="23" t="s">
        <v>676</v>
      </c>
      <c r="C37" s="23" t="s">
        <v>661</v>
      </c>
      <c r="D37" s="22" t="s">
        <v>54</v>
      </c>
      <c r="E37" s="22">
        <v>42</v>
      </c>
      <c r="F37" s="22" t="s">
        <v>662</v>
      </c>
      <c r="G37" s="22" t="s">
        <v>661</v>
      </c>
      <c r="H37" s="22">
        <v>908013</v>
      </c>
      <c r="I37" s="695" t="s">
        <v>979</v>
      </c>
      <c r="J37" s="405" t="s">
        <v>28</v>
      </c>
      <c r="K37" s="347">
        <v>8</v>
      </c>
      <c r="L37" s="348">
        <f>21886-16194</f>
        <v>5692</v>
      </c>
      <c r="M37" s="33"/>
      <c r="N37" s="33"/>
      <c r="O37" s="349">
        <f t="shared" si="0"/>
        <v>5692</v>
      </c>
    </row>
    <row r="38" spans="1:15" ht="18">
      <c r="A38" s="601" t="s">
        <v>26</v>
      </c>
      <c r="B38" s="23" t="s">
        <v>677</v>
      </c>
      <c r="C38" s="23" t="s">
        <v>678</v>
      </c>
      <c r="D38" s="22"/>
      <c r="E38" s="22" t="s">
        <v>679</v>
      </c>
      <c r="F38" s="22" t="s">
        <v>662</v>
      </c>
      <c r="G38" s="22" t="s">
        <v>661</v>
      </c>
      <c r="H38" s="22">
        <v>838118</v>
      </c>
      <c r="I38" s="710" t="s">
        <v>986</v>
      </c>
      <c r="J38" s="405" t="s">
        <v>28</v>
      </c>
      <c r="K38" s="347">
        <v>2</v>
      </c>
      <c r="L38" s="348">
        <f>1897-1626</f>
        <v>271</v>
      </c>
      <c r="M38" s="33"/>
      <c r="N38" s="33"/>
      <c r="O38" s="349">
        <f t="shared" si="0"/>
        <v>271</v>
      </c>
    </row>
    <row r="39" spans="1:15" ht="30" thickBot="1">
      <c r="A39" s="601" t="s">
        <v>26</v>
      </c>
      <c r="B39" s="23" t="s">
        <v>680</v>
      </c>
      <c r="C39" s="23" t="s">
        <v>661</v>
      </c>
      <c r="D39" s="23" t="s">
        <v>695</v>
      </c>
      <c r="E39" s="22"/>
      <c r="F39" s="22" t="s">
        <v>662</v>
      </c>
      <c r="G39" s="22" t="s">
        <v>661</v>
      </c>
      <c r="H39" s="22">
        <v>71020490</v>
      </c>
      <c r="I39" s="695" t="s">
        <v>991</v>
      </c>
      <c r="J39" s="405" t="s">
        <v>28</v>
      </c>
      <c r="K39" s="347">
        <v>16</v>
      </c>
      <c r="L39" s="348">
        <f>136038-108427</f>
        <v>27611</v>
      </c>
      <c r="M39" s="33"/>
      <c r="N39" s="33"/>
      <c r="O39" s="690">
        <f t="shared" si="0"/>
        <v>27611</v>
      </c>
    </row>
    <row r="40" spans="1:15" ht="30">
      <c r="B40" s="697" t="s">
        <v>22</v>
      </c>
      <c r="C40" s="121" t="s">
        <v>681</v>
      </c>
      <c r="D40" s="12"/>
      <c r="E40" s="260"/>
      <c r="F40" s="260"/>
      <c r="G40" s="260"/>
      <c r="H40" s="1622" t="s">
        <v>1920</v>
      </c>
      <c r="I40" s="12" t="s">
        <v>681</v>
      </c>
      <c r="J40"/>
      <c r="K40" s="287"/>
      <c r="L40" s="344"/>
      <c r="M40" s="1"/>
      <c r="N40" s="268" t="s">
        <v>23</v>
      </c>
      <c r="O40" s="567">
        <f>SUM(O28:O39)</f>
        <v>124247</v>
      </c>
    </row>
    <row r="41" spans="1:15" ht="15">
      <c r="B41" s="553"/>
      <c r="C41" s="43" t="s">
        <v>682</v>
      </c>
      <c r="D41" s="15"/>
      <c r="E41" s="260"/>
      <c r="F41" s="260"/>
      <c r="G41" s="260"/>
      <c r="H41" s="13"/>
      <c r="I41" s="15" t="s">
        <v>682</v>
      </c>
      <c r="K41" s="287"/>
      <c r="L41" s="344"/>
      <c r="M41" s="1"/>
      <c r="N41" s="1"/>
      <c r="O41" s="1"/>
    </row>
    <row r="42" spans="1:15" ht="15.75" thickBot="1">
      <c r="B42" s="553"/>
      <c r="C42" s="43" t="s">
        <v>665</v>
      </c>
      <c r="D42" s="15"/>
      <c r="E42" s="1254"/>
      <c r="F42" s="1254"/>
      <c r="G42" s="1254"/>
      <c r="H42" s="1249"/>
      <c r="I42" s="18" t="s">
        <v>665</v>
      </c>
      <c r="K42" s="287"/>
      <c r="L42" s="344"/>
      <c r="M42" s="1"/>
      <c r="N42" s="1"/>
      <c r="O42" s="1"/>
    </row>
    <row r="43" spans="1:15" ht="15">
      <c r="B43" s="553" t="s">
        <v>160</v>
      </c>
      <c r="C43" s="582">
        <v>8221002958</v>
      </c>
      <c r="D43" s="15"/>
      <c r="E43" s="1254"/>
      <c r="F43" s="1254"/>
      <c r="G43" s="1254"/>
      <c r="H43" s="1254"/>
      <c r="I43" s="1254"/>
      <c r="K43" s="287"/>
      <c r="L43" s="344"/>
      <c r="M43" s="1"/>
      <c r="N43" s="1"/>
      <c r="O43" s="1"/>
    </row>
    <row r="44" spans="1:15" s="1" customFormat="1" ht="15.75" thickBot="1">
      <c r="B44" s="1250" t="s">
        <v>1061</v>
      </c>
      <c r="C44" s="1257" t="s">
        <v>1809</v>
      </c>
      <c r="D44" s="1256"/>
      <c r="E44" s="1254"/>
      <c r="F44" s="1254"/>
      <c r="G44" s="1254"/>
      <c r="H44" s="1254"/>
      <c r="I44" s="1254"/>
      <c r="K44" s="287"/>
      <c r="L44" s="344"/>
    </row>
    <row r="45" spans="1:15" s="1" customFormat="1" ht="15">
      <c r="B45" s="1251"/>
      <c r="C45" s="1595"/>
      <c r="D45" s="1254"/>
      <c r="E45" s="1254"/>
      <c r="F45" s="1254"/>
      <c r="G45" s="1254"/>
      <c r="H45" s="1254"/>
      <c r="I45" s="1254"/>
      <c r="K45" s="1290"/>
      <c r="L45" s="344"/>
    </row>
    <row r="46" spans="1:15" s="1" customFormat="1" ht="15.75" thickBot="1">
      <c r="B46" s="1251"/>
      <c r="C46" s="1595"/>
      <c r="D46" s="1254"/>
      <c r="E46" s="1254"/>
      <c r="F46" s="1254"/>
      <c r="G46" s="1254"/>
      <c r="H46" s="1254"/>
      <c r="I46" s="1254"/>
      <c r="K46" s="1290"/>
      <c r="L46" s="344"/>
    </row>
    <row r="47" spans="1:15" s="1" customFormat="1" ht="45.75" customHeight="1">
      <c r="A47" s="1662" t="s">
        <v>6</v>
      </c>
      <c r="B47" s="1673" t="s">
        <v>633</v>
      </c>
      <c r="C47" s="1676" t="s">
        <v>8</v>
      </c>
      <c r="D47" s="1676" t="s">
        <v>9</v>
      </c>
      <c r="E47" s="1656" t="s">
        <v>634</v>
      </c>
      <c r="F47" s="1656" t="s">
        <v>11</v>
      </c>
      <c r="G47" s="1676" t="s">
        <v>12</v>
      </c>
      <c r="H47" s="1656" t="s">
        <v>269</v>
      </c>
      <c r="I47" s="1656" t="s">
        <v>13</v>
      </c>
      <c r="J47" s="1656" t="s">
        <v>59</v>
      </c>
      <c r="K47" s="1793" t="s">
        <v>635</v>
      </c>
      <c r="L47" s="1719" t="s">
        <v>636</v>
      </c>
      <c r="M47" s="1719"/>
      <c r="N47" s="1719"/>
      <c r="O47" s="1726"/>
    </row>
    <row r="48" spans="1:15" s="1" customFormat="1" ht="45.75" customHeight="1">
      <c r="A48" s="1663"/>
      <c r="B48" s="1674"/>
      <c r="C48" s="1677"/>
      <c r="D48" s="1677"/>
      <c r="E48" s="1657"/>
      <c r="F48" s="1657"/>
      <c r="G48" s="1677"/>
      <c r="H48" s="1657"/>
      <c r="I48" s="1657"/>
      <c r="J48" s="1657"/>
      <c r="K48" s="1794"/>
      <c r="L48" s="1654" t="s">
        <v>637</v>
      </c>
      <c r="M48" s="1654"/>
      <c r="N48" s="1654"/>
      <c r="O48" s="1680"/>
    </row>
    <row r="49" spans="1:15" s="1" customFormat="1" ht="26.25" customHeight="1" thickBot="1">
      <c r="A49" s="1664"/>
      <c r="B49" s="1675"/>
      <c r="C49" s="1678"/>
      <c r="D49" s="1678"/>
      <c r="E49" s="1658"/>
      <c r="F49" s="1658"/>
      <c r="G49" s="1678"/>
      <c r="H49" s="1658"/>
      <c r="I49" s="1658"/>
      <c r="J49" s="1658"/>
      <c r="K49" s="1795"/>
      <c r="L49" s="1593" t="s">
        <v>638</v>
      </c>
      <c r="M49" s="1593" t="s">
        <v>639</v>
      </c>
      <c r="N49" s="1593" t="s">
        <v>640</v>
      </c>
      <c r="O49" s="1594" t="s">
        <v>16</v>
      </c>
    </row>
    <row r="50" spans="1:15" ht="18.75" thickBot="1">
      <c r="A50" s="601" t="s">
        <v>26</v>
      </c>
      <c r="B50" s="21" t="s">
        <v>169</v>
      </c>
      <c r="C50" s="21" t="s">
        <v>661</v>
      </c>
      <c r="D50" s="20" t="s">
        <v>54</v>
      </c>
      <c r="E50" s="22"/>
      <c r="F50" s="22" t="s">
        <v>662</v>
      </c>
      <c r="G50" s="22" t="s">
        <v>661</v>
      </c>
      <c r="H50" s="20">
        <v>71019676</v>
      </c>
      <c r="I50" s="1089" t="s">
        <v>989</v>
      </c>
      <c r="J50" s="405" t="s">
        <v>28</v>
      </c>
      <c r="K50" s="347">
        <v>6</v>
      </c>
      <c r="L50" s="348">
        <f>59969-44622</f>
        <v>15347</v>
      </c>
      <c r="M50" s="33"/>
      <c r="N50" s="33"/>
      <c r="O50" s="690">
        <f>L50</f>
        <v>15347</v>
      </c>
    </row>
    <row r="51" spans="1:15" s="1" customFormat="1" ht="30">
      <c r="B51" s="1596" t="s">
        <v>22</v>
      </c>
      <c r="C51" s="1597" t="s">
        <v>1907</v>
      </c>
      <c r="D51" s="1598"/>
      <c r="E51" s="1254"/>
      <c r="F51" s="1254"/>
      <c r="G51" s="1254"/>
      <c r="H51" s="1622" t="s">
        <v>1920</v>
      </c>
      <c r="I51" s="1600" t="s">
        <v>1907</v>
      </c>
      <c r="K51" s="1290"/>
      <c r="L51" s="344"/>
      <c r="N51" s="268" t="s">
        <v>23</v>
      </c>
      <c r="O51" s="567">
        <f>O50</f>
        <v>15347</v>
      </c>
    </row>
    <row r="52" spans="1:15" s="1" customFormat="1" ht="15">
      <c r="B52" s="1599"/>
      <c r="C52" s="1595" t="s">
        <v>1908</v>
      </c>
      <c r="D52" s="1255"/>
      <c r="E52" s="1254"/>
      <c r="F52" s="1254"/>
      <c r="G52" s="1254"/>
      <c r="H52" s="1601"/>
      <c r="I52" s="1602" t="s">
        <v>1908</v>
      </c>
      <c r="K52" s="1290"/>
      <c r="L52" s="344"/>
    </row>
    <row r="53" spans="1:15" s="1" customFormat="1" ht="15.75" thickBot="1">
      <c r="B53" s="1599"/>
      <c r="C53" s="1595" t="s">
        <v>665</v>
      </c>
      <c r="D53" s="1255"/>
      <c r="E53" s="1254"/>
      <c r="F53" s="1254"/>
      <c r="G53" s="1254"/>
      <c r="H53" s="1249"/>
      <c r="I53" s="1603" t="s">
        <v>665</v>
      </c>
      <c r="K53" s="1290"/>
      <c r="L53" s="344"/>
    </row>
    <row r="54" spans="1:15" s="1" customFormat="1" ht="15.75" thickBot="1">
      <c r="B54" s="1250" t="s">
        <v>160</v>
      </c>
      <c r="C54" s="1257">
        <v>8220013090</v>
      </c>
      <c r="D54" s="1256"/>
      <c r="E54" s="1254"/>
      <c r="F54" s="1254"/>
      <c r="G54" s="1254"/>
      <c r="H54" s="1254"/>
      <c r="I54" s="1254"/>
      <c r="K54" s="1290"/>
      <c r="L54" s="344"/>
    </row>
    <row r="55" spans="1:15" s="1" customFormat="1" ht="15.75" thickBot="1">
      <c r="B55" s="1251"/>
      <c r="C55" s="1595"/>
      <c r="D55" s="1254"/>
      <c r="E55" s="1254"/>
      <c r="F55" s="1254"/>
      <c r="G55" s="1254"/>
      <c r="H55" s="1254"/>
      <c r="I55" s="1254"/>
      <c r="K55" s="1290"/>
      <c r="L55" s="344"/>
    </row>
    <row r="56" spans="1:15" s="1" customFormat="1" ht="46.5" customHeight="1">
      <c r="A56" s="1662" t="s">
        <v>6</v>
      </c>
      <c r="B56" s="1673" t="s">
        <v>633</v>
      </c>
      <c r="C56" s="1676" t="s">
        <v>8</v>
      </c>
      <c r="D56" s="1676" t="s">
        <v>9</v>
      </c>
      <c r="E56" s="1656" t="s">
        <v>634</v>
      </c>
      <c r="F56" s="1656" t="s">
        <v>11</v>
      </c>
      <c r="G56" s="1676" t="s">
        <v>12</v>
      </c>
      <c r="H56" s="1656" t="s">
        <v>269</v>
      </c>
      <c r="I56" s="1656" t="s">
        <v>13</v>
      </c>
      <c r="J56" s="1656" t="s">
        <v>59</v>
      </c>
      <c r="K56" s="1793" t="s">
        <v>635</v>
      </c>
      <c r="L56" s="1719" t="s">
        <v>636</v>
      </c>
      <c r="M56" s="1719"/>
      <c r="N56" s="1719"/>
      <c r="O56" s="1726"/>
    </row>
    <row r="57" spans="1:15" s="1" customFormat="1" ht="46.5" customHeight="1">
      <c r="A57" s="1663"/>
      <c r="B57" s="1674"/>
      <c r="C57" s="1677"/>
      <c r="D57" s="1677"/>
      <c r="E57" s="1657"/>
      <c r="F57" s="1657"/>
      <c r="G57" s="1677"/>
      <c r="H57" s="1657"/>
      <c r="I57" s="1657"/>
      <c r="J57" s="1657"/>
      <c r="K57" s="1794"/>
      <c r="L57" s="1654" t="s">
        <v>637</v>
      </c>
      <c r="M57" s="1654"/>
      <c r="N57" s="1654"/>
      <c r="O57" s="1680"/>
    </row>
    <row r="58" spans="1:15" s="1" customFormat="1" ht="29.25" customHeight="1" thickBot="1">
      <c r="A58" s="1664"/>
      <c r="B58" s="1675"/>
      <c r="C58" s="1678"/>
      <c r="D58" s="1678"/>
      <c r="E58" s="1658"/>
      <c r="F58" s="1658"/>
      <c r="G58" s="1678"/>
      <c r="H58" s="1658"/>
      <c r="I58" s="1658"/>
      <c r="J58" s="1658"/>
      <c r="K58" s="1795"/>
      <c r="L58" s="1593" t="s">
        <v>638</v>
      </c>
      <c r="M58" s="1593" t="s">
        <v>639</v>
      </c>
      <c r="N58" s="1593" t="s">
        <v>640</v>
      </c>
      <c r="O58" s="1594" t="s">
        <v>16</v>
      </c>
    </row>
    <row r="59" spans="1:15" s="1" customFormat="1" ht="30" thickBot="1">
      <c r="A59" s="601" t="s">
        <v>26</v>
      </c>
      <c r="B59" s="21" t="s">
        <v>628</v>
      </c>
      <c r="C59" s="21" t="s">
        <v>661</v>
      </c>
      <c r="D59" s="20" t="s">
        <v>684</v>
      </c>
      <c r="E59" s="22">
        <v>2</v>
      </c>
      <c r="F59" s="22" t="s">
        <v>662</v>
      </c>
      <c r="G59" s="22" t="s">
        <v>661</v>
      </c>
      <c r="H59" s="20">
        <v>838109</v>
      </c>
      <c r="I59" s="1089" t="s">
        <v>983</v>
      </c>
      <c r="J59" s="405" t="s">
        <v>28</v>
      </c>
      <c r="K59" s="347">
        <v>15</v>
      </c>
      <c r="L59" s="353">
        <f>117553-93748</f>
        <v>23805</v>
      </c>
      <c r="M59" s="459"/>
      <c r="N59" s="459"/>
      <c r="O59" s="354">
        <f>L59</f>
        <v>23805</v>
      </c>
    </row>
    <row r="60" spans="1:15" s="1" customFormat="1" ht="30">
      <c r="B60" s="697" t="s">
        <v>22</v>
      </c>
      <c r="C60" s="121" t="s">
        <v>1492</v>
      </c>
      <c r="D60" s="12"/>
      <c r="E60" s="1254"/>
      <c r="F60" s="1254"/>
      <c r="G60" s="1254"/>
      <c r="H60" s="1622" t="s">
        <v>1920</v>
      </c>
      <c r="I60" s="1604" t="s">
        <v>1911</v>
      </c>
      <c r="K60" s="1290"/>
      <c r="L60" s="344"/>
      <c r="N60" s="268" t="s">
        <v>23</v>
      </c>
      <c r="O60" s="567">
        <f>O59</f>
        <v>23805</v>
      </c>
    </row>
    <row r="61" spans="1:15" s="1" customFormat="1" ht="15">
      <c r="B61" s="553"/>
      <c r="C61" s="43" t="s">
        <v>682</v>
      </c>
      <c r="D61" s="15"/>
      <c r="E61" s="1254"/>
      <c r="F61" s="1254"/>
      <c r="G61" s="1254"/>
      <c r="H61" s="1599"/>
      <c r="I61" s="1605" t="s">
        <v>1912</v>
      </c>
      <c r="K61" s="1290"/>
      <c r="L61" s="344"/>
    </row>
    <row r="62" spans="1:15" s="1" customFormat="1" ht="15">
      <c r="B62" s="553"/>
      <c r="C62" s="43" t="s">
        <v>665</v>
      </c>
      <c r="D62" s="15"/>
      <c r="E62" s="1254"/>
      <c r="F62" s="1254"/>
      <c r="G62" s="1254"/>
      <c r="H62" s="1599"/>
      <c r="I62" s="1605" t="s">
        <v>665</v>
      </c>
      <c r="K62" s="1290"/>
      <c r="L62" s="344"/>
    </row>
    <row r="63" spans="1:15" s="1" customFormat="1" ht="15.75" thickBot="1">
      <c r="B63" s="553" t="s">
        <v>160</v>
      </c>
      <c r="C63" s="43" t="s">
        <v>1682</v>
      </c>
      <c r="D63" s="15"/>
      <c r="E63" s="1254"/>
      <c r="F63" s="1254"/>
      <c r="G63" s="1254"/>
      <c r="H63" s="1250" t="s">
        <v>160</v>
      </c>
      <c r="I63" s="1606">
        <v>8222325250</v>
      </c>
      <c r="K63" s="1290"/>
      <c r="L63" s="344"/>
    </row>
    <row r="64" spans="1:15" s="1" customFormat="1" ht="15.75" thickBot="1">
      <c r="B64" s="1250" t="s">
        <v>1061</v>
      </c>
      <c r="C64" s="1257" t="s">
        <v>1491</v>
      </c>
      <c r="D64" s="1256"/>
      <c r="E64" s="1254"/>
      <c r="F64" s="1254"/>
      <c r="G64" s="1254"/>
      <c r="H64" s="1254"/>
      <c r="I64" s="1254"/>
      <c r="K64" s="1290"/>
      <c r="L64" s="344"/>
    </row>
    <row r="65" spans="1:15" s="1" customFormat="1" ht="15">
      <c r="B65" s="1251"/>
      <c r="C65" s="1595"/>
      <c r="D65" s="1254"/>
      <c r="E65" s="1254"/>
      <c r="F65" s="1254"/>
      <c r="G65" s="1254"/>
      <c r="H65" s="1254"/>
      <c r="I65" s="1254"/>
      <c r="K65" s="1290"/>
      <c r="L65" s="344"/>
    </row>
    <row r="66" spans="1:15" s="1" customFormat="1" ht="15.75" thickBot="1">
      <c r="B66" s="1251"/>
      <c r="C66" s="1595"/>
      <c r="D66" s="1254"/>
      <c r="E66" s="1254"/>
      <c r="F66" s="1254"/>
      <c r="G66" s="1254"/>
      <c r="H66" s="1254"/>
      <c r="I66" s="1254"/>
      <c r="K66" s="1290"/>
      <c r="L66" s="344"/>
    </row>
    <row r="67" spans="1:15" s="1" customFormat="1" ht="44.25" customHeight="1">
      <c r="A67" s="1662" t="s">
        <v>6</v>
      </c>
      <c r="B67" s="1673" t="s">
        <v>633</v>
      </c>
      <c r="C67" s="1676" t="s">
        <v>8</v>
      </c>
      <c r="D67" s="1676" t="s">
        <v>9</v>
      </c>
      <c r="E67" s="1656" t="s">
        <v>634</v>
      </c>
      <c r="F67" s="1656" t="s">
        <v>11</v>
      </c>
      <c r="G67" s="1676" t="s">
        <v>12</v>
      </c>
      <c r="H67" s="1656" t="s">
        <v>269</v>
      </c>
      <c r="I67" s="1656" t="s">
        <v>13</v>
      </c>
      <c r="J67" s="1656" t="s">
        <v>59</v>
      </c>
      <c r="K67" s="1793" t="s">
        <v>635</v>
      </c>
      <c r="L67" s="1719" t="s">
        <v>636</v>
      </c>
      <c r="M67" s="1719"/>
      <c r="N67" s="1719"/>
      <c r="O67" s="1726"/>
    </row>
    <row r="68" spans="1:15" s="1" customFormat="1" ht="44.25" customHeight="1">
      <c r="A68" s="1663"/>
      <c r="B68" s="1674"/>
      <c r="C68" s="1677"/>
      <c r="D68" s="1677"/>
      <c r="E68" s="1657"/>
      <c r="F68" s="1657"/>
      <c r="G68" s="1677"/>
      <c r="H68" s="1657"/>
      <c r="I68" s="1657"/>
      <c r="J68" s="1657"/>
      <c r="K68" s="1794"/>
      <c r="L68" s="1654" t="s">
        <v>637</v>
      </c>
      <c r="M68" s="1654"/>
      <c r="N68" s="1654"/>
      <c r="O68" s="1680"/>
    </row>
    <row r="69" spans="1:15" s="1" customFormat="1" ht="28.5" customHeight="1" thickBot="1">
      <c r="A69" s="1664"/>
      <c r="B69" s="1675"/>
      <c r="C69" s="1678"/>
      <c r="D69" s="1678"/>
      <c r="E69" s="1658"/>
      <c r="F69" s="1658"/>
      <c r="G69" s="1678"/>
      <c r="H69" s="1658"/>
      <c r="I69" s="1658"/>
      <c r="J69" s="1658"/>
      <c r="K69" s="1795"/>
      <c r="L69" s="1593" t="s">
        <v>638</v>
      </c>
      <c r="M69" s="1593" t="s">
        <v>639</v>
      </c>
      <c r="N69" s="1593" t="s">
        <v>640</v>
      </c>
      <c r="O69" s="1594" t="s">
        <v>16</v>
      </c>
    </row>
    <row r="70" spans="1:15" s="1" customFormat="1" ht="18.75" thickBot="1">
      <c r="A70" s="601" t="s">
        <v>26</v>
      </c>
      <c r="B70" s="1044"/>
      <c r="C70" s="46" t="s">
        <v>661</v>
      </c>
      <c r="D70" s="3" t="s">
        <v>996</v>
      </c>
      <c r="E70" s="4">
        <v>13</v>
      </c>
      <c r="F70" s="618" t="s">
        <v>662</v>
      </c>
      <c r="G70" s="618" t="s">
        <v>661</v>
      </c>
      <c r="H70" s="21">
        <v>4137386</v>
      </c>
      <c r="I70" s="1089" t="s">
        <v>1811</v>
      </c>
      <c r="J70" s="757" t="s">
        <v>28</v>
      </c>
      <c r="K70" s="851">
        <v>22</v>
      </c>
      <c r="L70" s="788">
        <f>986*12</f>
        <v>11832</v>
      </c>
      <c r="M70" s="33"/>
      <c r="N70" s="33"/>
      <c r="O70" s="34">
        <f>L70</f>
        <v>11832</v>
      </c>
    </row>
    <row r="71" spans="1:15" s="1" customFormat="1" ht="30">
      <c r="B71" s="697" t="s">
        <v>22</v>
      </c>
      <c r="C71" s="121" t="s">
        <v>1492</v>
      </c>
      <c r="D71" s="12"/>
      <c r="E71" s="1254"/>
      <c r="F71" s="1254"/>
      <c r="G71" s="1254"/>
      <c r="H71" s="1622" t="s">
        <v>1920</v>
      </c>
      <c r="I71" s="1604" t="s">
        <v>1913</v>
      </c>
      <c r="K71" s="1290"/>
      <c r="L71" s="344"/>
      <c r="N71" s="268" t="s">
        <v>23</v>
      </c>
      <c r="O71" s="567">
        <f>O70</f>
        <v>11832</v>
      </c>
    </row>
    <row r="72" spans="1:15" s="1" customFormat="1" ht="15">
      <c r="B72" s="553"/>
      <c r="C72" s="43" t="s">
        <v>682</v>
      </c>
      <c r="D72" s="15"/>
      <c r="E72" s="1254"/>
      <c r="F72" s="1254"/>
      <c r="G72" s="1254"/>
      <c r="H72" s="1599"/>
      <c r="I72" s="1605" t="s">
        <v>1914</v>
      </c>
      <c r="K72" s="1290"/>
      <c r="L72" s="344"/>
    </row>
    <row r="73" spans="1:15" s="1" customFormat="1" ht="15">
      <c r="B73" s="553"/>
      <c r="C73" s="43" t="s">
        <v>665</v>
      </c>
      <c r="D73" s="15"/>
      <c r="E73" s="1254"/>
      <c r="F73" s="1254"/>
      <c r="G73" s="1254"/>
      <c r="H73" s="1599"/>
      <c r="I73" s="1605" t="s">
        <v>665</v>
      </c>
      <c r="K73" s="1290"/>
      <c r="L73" s="344"/>
    </row>
    <row r="74" spans="1:15" s="1" customFormat="1" ht="15.75" thickBot="1">
      <c r="B74" s="553" t="s">
        <v>160</v>
      </c>
      <c r="C74" s="43" t="s">
        <v>1682</v>
      </c>
      <c r="D74" s="15"/>
      <c r="E74" s="1254"/>
      <c r="F74" s="1254"/>
      <c r="G74" s="1254"/>
      <c r="H74" s="1250" t="s">
        <v>160</v>
      </c>
      <c r="I74" s="1606">
        <v>8222351135</v>
      </c>
      <c r="K74" s="1290"/>
      <c r="L74" s="344"/>
    </row>
    <row r="75" spans="1:15" s="1" customFormat="1" ht="15.75" thickBot="1">
      <c r="B75" s="1250" t="s">
        <v>1061</v>
      </c>
      <c r="C75" s="1257" t="s">
        <v>1491</v>
      </c>
      <c r="D75" s="1256"/>
      <c r="E75" s="1254"/>
      <c r="F75" s="1254"/>
      <c r="G75" s="1254"/>
      <c r="H75" s="1254"/>
      <c r="I75" s="1254"/>
      <c r="K75" s="1290"/>
      <c r="L75" s="344"/>
    </row>
    <row r="76" spans="1:15" ht="15" thickBot="1">
      <c r="A76" s="1"/>
      <c r="B76" s="2"/>
      <c r="C76" s="1"/>
      <c r="D76" s="1"/>
      <c r="E76" s="2"/>
      <c r="F76" s="1"/>
      <c r="G76" s="1"/>
      <c r="H76" s="1"/>
      <c r="K76" s="287"/>
      <c r="L76" s="344"/>
      <c r="M76" s="1"/>
      <c r="N76" s="1"/>
      <c r="O76" s="1"/>
    </row>
    <row r="77" spans="1:15" ht="39.75" customHeight="1">
      <c r="A77" s="1662" t="s">
        <v>6</v>
      </c>
      <c r="B77" s="1673" t="s">
        <v>633</v>
      </c>
      <c r="C77" s="1676" t="s">
        <v>8</v>
      </c>
      <c r="D77" s="1676" t="s">
        <v>9</v>
      </c>
      <c r="E77" s="1656" t="s">
        <v>634</v>
      </c>
      <c r="F77" s="1656" t="s">
        <v>11</v>
      </c>
      <c r="G77" s="1676" t="s">
        <v>12</v>
      </c>
      <c r="H77" s="1656" t="s">
        <v>269</v>
      </c>
      <c r="I77" s="1656" t="s">
        <v>13</v>
      </c>
      <c r="J77" s="1656" t="s">
        <v>59</v>
      </c>
      <c r="K77" s="1793" t="s">
        <v>635</v>
      </c>
      <c r="L77" s="1719" t="s">
        <v>636</v>
      </c>
      <c r="M77" s="1719"/>
      <c r="N77" s="1719"/>
      <c r="O77" s="1726"/>
    </row>
    <row r="78" spans="1:15" ht="33.75" customHeight="1">
      <c r="A78" s="1663"/>
      <c r="B78" s="1674"/>
      <c r="C78" s="1677"/>
      <c r="D78" s="1677"/>
      <c r="E78" s="1657"/>
      <c r="F78" s="1657"/>
      <c r="G78" s="1677"/>
      <c r="H78" s="1657"/>
      <c r="I78" s="1657"/>
      <c r="J78" s="1657"/>
      <c r="K78" s="1794"/>
      <c r="L78" s="1654" t="s">
        <v>637</v>
      </c>
      <c r="M78" s="1654"/>
      <c r="N78" s="1654"/>
      <c r="O78" s="1680"/>
    </row>
    <row r="79" spans="1:15" ht="24.75" customHeight="1" thickBot="1">
      <c r="A79" s="1664"/>
      <c r="B79" s="1675"/>
      <c r="C79" s="1678"/>
      <c r="D79" s="1678"/>
      <c r="E79" s="1658"/>
      <c r="F79" s="1658"/>
      <c r="G79" s="1678"/>
      <c r="H79" s="1658"/>
      <c r="I79" s="1658"/>
      <c r="J79" s="1658"/>
      <c r="K79" s="1795"/>
      <c r="L79" s="270" t="s">
        <v>638</v>
      </c>
      <c r="M79" s="270" t="s">
        <v>639</v>
      </c>
      <c r="N79" s="270" t="s">
        <v>640</v>
      </c>
      <c r="O79" s="265" t="s">
        <v>16</v>
      </c>
    </row>
    <row r="80" spans="1:15" ht="30" thickBot="1">
      <c r="A80" s="601" t="s">
        <v>26</v>
      </c>
      <c r="B80" s="614" t="s">
        <v>660</v>
      </c>
      <c r="C80" s="614" t="s">
        <v>975</v>
      </c>
      <c r="E80" s="104">
        <v>22</v>
      </c>
      <c r="F80" s="104" t="s">
        <v>662</v>
      </c>
      <c r="G80" s="104" t="s">
        <v>661</v>
      </c>
      <c r="H80" s="104">
        <v>118477</v>
      </c>
      <c r="I80" s="695" t="s">
        <v>976</v>
      </c>
      <c r="J80" s="540" t="s">
        <v>65</v>
      </c>
      <c r="K80" s="342">
        <v>6</v>
      </c>
      <c r="L80" s="451"/>
      <c r="M80" s="452">
        <f>1700-1363</f>
        <v>337</v>
      </c>
      <c r="N80" s="452">
        <f>6929-5509</f>
        <v>1420</v>
      </c>
      <c r="O80" s="343">
        <f>SUM(M80:N80)</f>
        <v>1757</v>
      </c>
    </row>
    <row r="81" spans="1:16" ht="30">
      <c r="B81" s="697" t="s">
        <v>22</v>
      </c>
      <c r="C81" s="11" t="s">
        <v>660</v>
      </c>
      <c r="D81" s="12"/>
      <c r="E81" s="1248"/>
      <c r="F81" s="260"/>
      <c r="G81" s="260"/>
      <c r="H81" s="1622" t="s">
        <v>1920</v>
      </c>
      <c r="I81" s="12" t="s">
        <v>660</v>
      </c>
      <c r="K81" s="287"/>
      <c r="L81" s="344"/>
      <c r="M81" s="31"/>
      <c r="N81" s="32" t="s">
        <v>23</v>
      </c>
      <c r="O81" s="556">
        <f>O80</f>
        <v>1757</v>
      </c>
    </row>
    <row r="82" spans="1:16" ht="15">
      <c r="B82" s="553"/>
      <c r="C82" s="14" t="s">
        <v>683</v>
      </c>
      <c r="D82" s="15"/>
      <c r="E82" s="1248"/>
      <c r="F82" s="260"/>
      <c r="G82" s="260"/>
      <c r="H82" s="13"/>
      <c r="I82" s="15" t="s">
        <v>683</v>
      </c>
      <c r="K82" s="287"/>
      <c r="L82" s="344"/>
      <c r="M82" s="1"/>
      <c r="N82" s="1"/>
      <c r="O82" s="1"/>
    </row>
    <row r="83" spans="1:16" ht="15.75" thickBot="1">
      <c r="B83" s="553"/>
      <c r="C83" s="14" t="s">
        <v>665</v>
      </c>
      <c r="D83" s="15"/>
      <c r="E83" s="1248"/>
      <c r="F83" s="260"/>
      <c r="G83" s="260"/>
      <c r="H83" s="71"/>
      <c r="I83" s="18" t="s">
        <v>665</v>
      </c>
      <c r="K83" s="287"/>
      <c r="L83" s="344"/>
      <c r="M83" s="1"/>
      <c r="N83" s="1"/>
      <c r="O83" s="1"/>
    </row>
    <row r="84" spans="1:16" ht="15">
      <c r="B84" s="553" t="s">
        <v>160</v>
      </c>
      <c r="C84" s="14" t="s">
        <v>1684</v>
      </c>
      <c r="D84" s="15"/>
      <c r="E84" s="1248"/>
      <c r="F84" s="260"/>
      <c r="G84" s="260"/>
      <c r="H84" s="260"/>
      <c r="I84" s="260"/>
      <c r="K84" s="287"/>
      <c r="L84" s="344"/>
      <c r="M84" s="1"/>
      <c r="N84" s="1"/>
      <c r="O84" s="1"/>
    </row>
    <row r="85" spans="1:16" ht="15.75" thickBot="1">
      <c r="A85" s="1"/>
      <c r="B85" s="441" t="s">
        <v>1061</v>
      </c>
      <c r="C85" s="17" t="s">
        <v>1117</v>
      </c>
      <c r="D85" s="18"/>
      <c r="E85" s="1248"/>
      <c r="F85" s="260"/>
      <c r="G85" s="260"/>
      <c r="H85" s="260"/>
      <c r="I85" s="260"/>
      <c r="K85" s="287"/>
      <c r="L85" s="344"/>
      <c r="M85" s="1"/>
      <c r="N85" s="1"/>
      <c r="O85" s="1"/>
    </row>
    <row r="86" spans="1:16">
      <c r="A86" s="1"/>
      <c r="B86" s="2"/>
      <c r="C86" s="1"/>
      <c r="D86" s="1"/>
      <c r="E86" s="2"/>
      <c r="F86" s="1"/>
      <c r="G86" s="1"/>
      <c r="H86" s="1"/>
      <c r="K86" s="287"/>
      <c r="L86" s="344"/>
      <c r="M86" s="1"/>
      <c r="N86" s="1"/>
      <c r="O86" s="1"/>
    </row>
    <row r="87" spans="1:16" ht="15" thickBot="1">
      <c r="A87" s="1"/>
      <c r="B87" s="2"/>
      <c r="C87" s="1"/>
      <c r="D87" s="1"/>
      <c r="E87" s="2"/>
      <c r="F87" s="1"/>
      <c r="G87" s="1"/>
      <c r="H87" s="1"/>
      <c r="K87" s="287"/>
      <c r="L87" s="344"/>
      <c r="M87" s="1"/>
      <c r="N87" s="1"/>
      <c r="O87" s="1"/>
    </row>
    <row r="88" spans="1:16" ht="42" customHeight="1">
      <c r="A88" s="1662" t="s">
        <v>6</v>
      </c>
      <c r="B88" s="1673" t="s">
        <v>633</v>
      </c>
      <c r="C88" s="1676" t="s">
        <v>8</v>
      </c>
      <c r="D88" s="1676" t="s">
        <v>9</v>
      </c>
      <c r="E88" s="1656" t="s">
        <v>634</v>
      </c>
      <c r="F88" s="1656" t="s">
        <v>11</v>
      </c>
      <c r="G88" s="1676" t="s">
        <v>12</v>
      </c>
      <c r="H88" s="1656" t="s">
        <v>269</v>
      </c>
      <c r="I88" s="1656" t="s">
        <v>13</v>
      </c>
      <c r="J88" s="1656" t="s">
        <v>59</v>
      </c>
      <c r="K88" s="1793" t="s">
        <v>635</v>
      </c>
      <c r="L88" s="1719" t="s">
        <v>636</v>
      </c>
      <c r="M88" s="1719"/>
      <c r="N88" s="1719"/>
      <c r="O88" s="1726"/>
    </row>
    <row r="89" spans="1:16" ht="39" customHeight="1">
      <c r="A89" s="1663"/>
      <c r="B89" s="1674"/>
      <c r="C89" s="1677"/>
      <c r="D89" s="1677"/>
      <c r="E89" s="1657"/>
      <c r="F89" s="1657"/>
      <c r="G89" s="1677"/>
      <c r="H89" s="1657"/>
      <c r="I89" s="1657"/>
      <c r="J89" s="1657"/>
      <c r="K89" s="1794"/>
      <c r="L89" s="1654" t="s">
        <v>637</v>
      </c>
      <c r="M89" s="1654"/>
      <c r="N89" s="1654"/>
      <c r="O89" s="1680"/>
    </row>
    <row r="90" spans="1:16" ht="27.75" customHeight="1" thickBot="1">
      <c r="A90" s="1664"/>
      <c r="B90" s="1675"/>
      <c r="C90" s="1678"/>
      <c r="D90" s="1678"/>
      <c r="E90" s="1658"/>
      <c r="F90" s="1658"/>
      <c r="G90" s="1678"/>
      <c r="H90" s="1658"/>
      <c r="I90" s="1658"/>
      <c r="J90" s="1658"/>
      <c r="K90" s="1795"/>
      <c r="L90" s="270" t="s">
        <v>638</v>
      </c>
      <c r="M90" s="270" t="s">
        <v>639</v>
      </c>
      <c r="N90" s="270" t="s">
        <v>640</v>
      </c>
      <c r="O90" s="265" t="s">
        <v>16</v>
      </c>
    </row>
    <row r="91" spans="1:16" ht="29.25">
      <c r="A91" s="601" t="s">
        <v>26</v>
      </c>
      <c r="B91" s="105" t="s">
        <v>154</v>
      </c>
      <c r="C91" s="105" t="s">
        <v>661</v>
      </c>
      <c r="D91" s="104" t="s">
        <v>684</v>
      </c>
      <c r="E91" s="104">
        <v>4</v>
      </c>
      <c r="F91" s="104" t="s">
        <v>662</v>
      </c>
      <c r="G91" s="104" t="s">
        <v>661</v>
      </c>
      <c r="H91" s="22">
        <v>838113</v>
      </c>
      <c r="I91" s="710" t="s">
        <v>984</v>
      </c>
      <c r="J91" s="542" t="s">
        <v>28</v>
      </c>
      <c r="K91" s="342">
        <v>16</v>
      </c>
      <c r="L91" s="345">
        <f>378990-297446</f>
        <v>81544</v>
      </c>
      <c r="M91" s="458"/>
      <c r="N91" s="458"/>
      <c r="O91" s="346">
        <f>L91</f>
        <v>81544</v>
      </c>
      <c r="P91" s="1"/>
    </row>
    <row r="92" spans="1:16" ht="32.25" customHeight="1">
      <c r="A92" s="601" t="s">
        <v>26</v>
      </c>
      <c r="B92" s="23" t="s">
        <v>685</v>
      </c>
      <c r="C92" s="23" t="s">
        <v>686</v>
      </c>
      <c r="D92" s="22"/>
      <c r="E92" s="22"/>
      <c r="F92" s="22" t="s">
        <v>662</v>
      </c>
      <c r="G92" s="22" t="s">
        <v>661</v>
      </c>
      <c r="H92" s="22">
        <v>70958707</v>
      </c>
      <c r="I92" s="695" t="s">
        <v>992</v>
      </c>
      <c r="J92" s="405" t="s">
        <v>28</v>
      </c>
      <c r="K92" s="347">
        <v>7.5</v>
      </c>
      <c r="L92" s="348">
        <f>13488-10488</f>
        <v>3000</v>
      </c>
      <c r="M92" s="30"/>
      <c r="N92" s="30"/>
      <c r="O92" s="349">
        <f>L92</f>
        <v>3000</v>
      </c>
    </row>
    <row r="93" spans="1:16" s="1" customFormat="1" ht="32.25" customHeight="1" thickBot="1">
      <c r="A93" s="601" t="s">
        <v>26</v>
      </c>
      <c r="B93" s="627" t="s">
        <v>1119</v>
      </c>
      <c r="C93" s="627" t="s">
        <v>686</v>
      </c>
      <c r="D93" s="627"/>
      <c r="E93" s="618"/>
      <c r="F93" s="618" t="s">
        <v>662</v>
      </c>
      <c r="G93" s="618" t="s">
        <v>661</v>
      </c>
      <c r="H93" s="618">
        <v>16880805</v>
      </c>
      <c r="I93" s="710" t="s">
        <v>1247</v>
      </c>
      <c r="J93" s="1046" t="s">
        <v>716</v>
      </c>
      <c r="K93" s="851">
        <v>3</v>
      </c>
      <c r="L93" s="852">
        <f>10189-8849</f>
        <v>1340</v>
      </c>
      <c r="M93" s="853"/>
      <c r="N93" s="853"/>
      <c r="O93" s="854">
        <f>L93</f>
        <v>1340</v>
      </c>
    </row>
    <row r="94" spans="1:16" ht="30">
      <c r="B94" s="697" t="s">
        <v>22</v>
      </c>
      <c r="C94" s="121" t="s">
        <v>1492</v>
      </c>
      <c r="D94" s="12"/>
      <c r="E94" s="260"/>
      <c r="F94" s="260"/>
      <c r="G94" s="260"/>
      <c r="H94" s="1622" t="s">
        <v>1920</v>
      </c>
      <c r="I94" s="42" t="s">
        <v>1909</v>
      </c>
      <c r="K94" s="287"/>
      <c r="L94" s="344"/>
      <c r="M94" s="1"/>
      <c r="N94" s="32" t="s">
        <v>23</v>
      </c>
      <c r="O94" s="556">
        <f>SUM(O91:O93)</f>
        <v>85884</v>
      </c>
    </row>
    <row r="95" spans="1:16" ht="15">
      <c r="B95" s="553"/>
      <c r="C95" s="43" t="s">
        <v>682</v>
      </c>
      <c r="D95" s="15"/>
      <c r="E95" s="260"/>
      <c r="F95" s="260"/>
      <c r="G95" s="260"/>
      <c r="H95" s="13"/>
      <c r="I95" s="15" t="s">
        <v>1910</v>
      </c>
      <c r="K95" s="287"/>
      <c r="L95" s="344"/>
      <c r="M95" s="1"/>
      <c r="N95" s="1"/>
      <c r="O95" s="1"/>
    </row>
    <row r="96" spans="1:16" ht="15.75" thickBot="1">
      <c r="B96" s="553"/>
      <c r="C96" s="43" t="s">
        <v>665</v>
      </c>
      <c r="D96" s="15"/>
      <c r="E96" s="1254"/>
      <c r="F96" s="1254"/>
      <c r="G96" s="1254"/>
      <c r="H96" s="1249"/>
      <c r="I96" s="18" t="s">
        <v>665</v>
      </c>
      <c r="K96" s="287"/>
      <c r="L96" s="344"/>
      <c r="M96" s="1"/>
      <c r="N96" s="1"/>
      <c r="O96" s="1"/>
    </row>
    <row r="97" spans="1:15" ht="15">
      <c r="B97" s="553" t="s">
        <v>160</v>
      </c>
      <c r="C97" s="43" t="s">
        <v>1682</v>
      </c>
      <c r="D97" s="15"/>
      <c r="E97" s="1254"/>
      <c r="F97" s="1254"/>
      <c r="G97" s="1254"/>
      <c r="H97" s="1254"/>
      <c r="I97" s="1254"/>
      <c r="K97" s="287"/>
      <c r="L97" s="344"/>
      <c r="M97" s="1"/>
      <c r="N97" s="1"/>
      <c r="O97" s="1"/>
    </row>
    <row r="98" spans="1:15" ht="15.75" thickBot="1">
      <c r="A98" s="1"/>
      <c r="B98" s="1250" t="s">
        <v>1061</v>
      </c>
      <c r="C98" s="1257" t="s">
        <v>1491</v>
      </c>
      <c r="D98" s="1256"/>
      <c r="E98" s="1254"/>
      <c r="F98" s="1254"/>
      <c r="G98" s="1254"/>
      <c r="H98" s="1254"/>
      <c r="I98" s="1254"/>
      <c r="K98" s="287"/>
      <c r="L98" s="344"/>
      <c r="M98" s="1"/>
      <c r="N98" s="1"/>
      <c r="O98" s="1"/>
    </row>
    <row r="99" spans="1:15" ht="15" thickBot="1">
      <c r="A99" s="1"/>
      <c r="B99" s="2"/>
      <c r="C99" s="1"/>
      <c r="D99" s="1"/>
      <c r="E99" s="2"/>
      <c r="F99" s="1"/>
      <c r="G99" s="1"/>
      <c r="H99" s="1"/>
      <c r="K99" s="287"/>
      <c r="L99" s="344"/>
      <c r="M99" s="1"/>
      <c r="N99" s="1"/>
      <c r="O99" s="1"/>
    </row>
    <row r="100" spans="1:15" ht="46.5" customHeight="1">
      <c r="A100" s="1662" t="s">
        <v>6</v>
      </c>
      <c r="B100" s="1673" t="s">
        <v>633</v>
      </c>
      <c r="C100" s="1676" t="s">
        <v>8</v>
      </c>
      <c r="D100" s="1676" t="s">
        <v>9</v>
      </c>
      <c r="E100" s="1656" t="s">
        <v>634</v>
      </c>
      <c r="F100" s="1656" t="s">
        <v>11</v>
      </c>
      <c r="G100" s="1676" t="s">
        <v>12</v>
      </c>
      <c r="H100" s="1656" t="s">
        <v>269</v>
      </c>
      <c r="I100" s="1656" t="s">
        <v>13</v>
      </c>
      <c r="J100" s="1656" t="s">
        <v>59</v>
      </c>
      <c r="K100" s="1793" t="s">
        <v>635</v>
      </c>
      <c r="L100" s="1719" t="s">
        <v>636</v>
      </c>
      <c r="M100" s="1719"/>
      <c r="N100" s="1719"/>
      <c r="O100" s="1726"/>
    </row>
    <row r="101" spans="1:15" ht="39.75" customHeight="1">
      <c r="A101" s="1663"/>
      <c r="B101" s="1674"/>
      <c r="C101" s="1677"/>
      <c r="D101" s="1677"/>
      <c r="E101" s="1657"/>
      <c r="F101" s="1657"/>
      <c r="G101" s="1677"/>
      <c r="H101" s="1657"/>
      <c r="I101" s="1657"/>
      <c r="J101" s="1657"/>
      <c r="K101" s="1794"/>
      <c r="L101" s="1654" t="s">
        <v>637</v>
      </c>
      <c r="M101" s="1654"/>
      <c r="N101" s="1654"/>
      <c r="O101" s="1680"/>
    </row>
    <row r="102" spans="1:15" ht="30.75" customHeight="1" thickBot="1">
      <c r="A102" s="1664"/>
      <c r="B102" s="1675"/>
      <c r="C102" s="1678"/>
      <c r="D102" s="1678"/>
      <c r="E102" s="1658"/>
      <c r="F102" s="1658"/>
      <c r="G102" s="1678"/>
      <c r="H102" s="1658"/>
      <c r="I102" s="1658"/>
      <c r="J102" s="1658"/>
      <c r="K102" s="1795"/>
      <c r="L102" s="270" t="s">
        <v>638</v>
      </c>
      <c r="M102" s="270" t="s">
        <v>639</v>
      </c>
      <c r="N102" s="270" t="s">
        <v>640</v>
      </c>
      <c r="O102" s="265" t="s">
        <v>16</v>
      </c>
    </row>
    <row r="103" spans="1:15" ht="30" thickBot="1">
      <c r="A103" s="601" t="s">
        <v>26</v>
      </c>
      <c r="B103" s="359" t="s">
        <v>687</v>
      </c>
      <c r="C103" s="21" t="s">
        <v>661</v>
      </c>
      <c r="D103" s="360" t="s">
        <v>54</v>
      </c>
      <c r="E103" s="360">
        <v>39</v>
      </c>
      <c r="F103" s="22" t="s">
        <v>662</v>
      </c>
      <c r="G103" s="22" t="s">
        <v>661</v>
      </c>
      <c r="H103" s="20">
        <v>71020493</v>
      </c>
      <c r="I103" s="1089" t="s">
        <v>978</v>
      </c>
      <c r="J103" s="1259" t="s">
        <v>28</v>
      </c>
      <c r="K103" s="355">
        <v>13</v>
      </c>
      <c r="L103" s="276">
        <f>34306-27048</f>
        <v>7258</v>
      </c>
      <c r="M103" s="457"/>
      <c r="N103" s="457"/>
      <c r="O103" s="122">
        <f>L103</f>
        <v>7258</v>
      </c>
    </row>
    <row r="104" spans="1:15" ht="30">
      <c r="B104" s="697" t="s">
        <v>22</v>
      </c>
      <c r="C104" s="11" t="s">
        <v>1114</v>
      </c>
      <c r="D104" s="11"/>
      <c r="E104" s="42"/>
      <c r="F104" s="260"/>
      <c r="G104" s="260"/>
      <c r="H104" s="1622" t="s">
        <v>1920</v>
      </c>
      <c r="I104" s="11" t="s">
        <v>1114</v>
      </c>
      <c r="J104" s="12"/>
      <c r="K104" s="287"/>
      <c r="L104" s="344"/>
      <c r="M104" s="1"/>
      <c r="N104" s="32" t="s">
        <v>23</v>
      </c>
      <c r="O104" s="556">
        <f>SUM(O99:O103)</f>
        <v>7258</v>
      </c>
    </row>
    <row r="105" spans="1:15" ht="15">
      <c r="B105" s="553"/>
      <c r="C105" s="14" t="s">
        <v>688</v>
      </c>
      <c r="D105" s="14"/>
      <c r="E105" s="40"/>
      <c r="F105" s="260"/>
      <c r="G105" s="260"/>
      <c r="H105" s="13"/>
      <c r="I105" s="14" t="s">
        <v>688</v>
      </c>
      <c r="J105" s="15"/>
      <c r="K105" s="287"/>
      <c r="L105" s="344"/>
      <c r="M105" s="1"/>
      <c r="N105" s="1"/>
      <c r="O105" s="1"/>
    </row>
    <row r="106" spans="1:15" ht="15.75" thickBot="1">
      <c r="B106" s="553"/>
      <c r="C106" s="14" t="s">
        <v>665</v>
      </c>
      <c r="D106" s="14"/>
      <c r="E106" s="40"/>
      <c r="F106" s="260"/>
      <c r="G106" s="260"/>
      <c r="H106" s="71"/>
      <c r="I106" s="17" t="s">
        <v>665</v>
      </c>
      <c r="J106" s="18"/>
      <c r="K106" s="287"/>
      <c r="L106" s="344"/>
      <c r="M106" s="1"/>
      <c r="N106" s="1"/>
      <c r="O106" s="1"/>
    </row>
    <row r="107" spans="1:15" ht="15">
      <c r="B107" s="553" t="s">
        <v>160</v>
      </c>
      <c r="C107" s="14" t="s">
        <v>1683</v>
      </c>
      <c r="D107" s="14"/>
      <c r="E107" s="40"/>
      <c r="F107" s="260"/>
      <c r="G107" s="260"/>
      <c r="H107" s="260"/>
      <c r="I107" s="260"/>
      <c r="J107" s="260"/>
      <c r="K107" s="287"/>
      <c r="L107" s="344"/>
      <c r="M107" s="1"/>
      <c r="N107" s="1"/>
      <c r="O107" s="1"/>
    </row>
    <row r="108" spans="1:15" ht="15.75" thickBot="1">
      <c r="A108" s="1"/>
      <c r="B108" s="441" t="s">
        <v>1061</v>
      </c>
      <c r="C108" s="17" t="s">
        <v>1115</v>
      </c>
      <c r="D108" s="17"/>
      <c r="E108" s="41"/>
      <c r="F108" s="260"/>
      <c r="G108" s="260"/>
      <c r="H108" s="260"/>
      <c r="I108" s="260"/>
      <c r="J108" s="260"/>
      <c r="K108" s="287"/>
      <c r="L108" s="344"/>
      <c r="M108" s="1"/>
      <c r="N108" s="1"/>
      <c r="O108" s="1"/>
    </row>
    <row r="109" spans="1:15">
      <c r="A109" s="1"/>
      <c r="B109" s="2"/>
      <c r="C109" s="1"/>
      <c r="D109" s="1"/>
      <c r="E109" s="2"/>
      <c r="F109" s="1"/>
      <c r="G109" s="1"/>
      <c r="H109" s="1"/>
      <c r="K109" s="287"/>
      <c r="L109" s="344"/>
      <c r="M109" s="1"/>
      <c r="N109" s="1"/>
      <c r="O109" s="1"/>
    </row>
    <row r="110" spans="1:15" ht="15" thickBot="1">
      <c r="A110" s="1"/>
      <c r="B110" s="2"/>
      <c r="C110" s="1"/>
      <c r="D110" s="1"/>
      <c r="E110" s="2"/>
      <c r="F110" s="1"/>
      <c r="G110" s="1"/>
      <c r="H110" s="1"/>
      <c r="K110" s="287"/>
      <c r="L110" s="344"/>
      <c r="M110" s="1"/>
      <c r="N110" s="1"/>
      <c r="O110" s="1"/>
    </row>
    <row r="111" spans="1:15" ht="41.25" customHeight="1">
      <c r="A111" s="1662" t="s">
        <v>6</v>
      </c>
      <c r="B111" s="1673" t="s">
        <v>633</v>
      </c>
      <c r="C111" s="1676" t="s">
        <v>8</v>
      </c>
      <c r="D111" s="1676" t="s">
        <v>9</v>
      </c>
      <c r="E111" s="1656" t="s">
        <v>634</v>
      </c>
      <c r="F111" s="1656" t="s">
        <v>11</v>
      </c>
      <c r="G111" s="1676" t="s">
        <v>12</v>
      </c>
      <c r="H111" s="1656" t="s">
        <v>269</v>
      </c>
      <c r="I111" s="1656" t="s">
        <v>13</v>
      </c>
      <c r="J111" s="1656" t="s">
        <v>59</v>
      </c>
      <c r="K111" s="1793" t="s">
        <v>635</v>
      </c>
      <c r="L111" s="1719" t="s">
        <v>636</v>
      </c>
      <c r="M111" s="1719"/>
      <c r="N111" s="1719"/>
      <c r="O111" s="1726"/>
    </row>
    <row r="112" spans="1:15" ht="41.25" customHeight="1">
      <c r="A112" s="1663"/>
      <c r="B112" s="1674"/>
      <c r="C112" s="1677"/>
      <c r="D112" s="1677"/>
      <c r="E112" s="1657"/>
      <c r="F112" s="1657"/>
      <c r="G112" s="1677"/>
      <c r="H112" s="1657"/>
      <c r="I112" s="1657"/>
      <c r="J112" s="1657"/>
      <c r="K112" s="1794"/>
      <c r="L112" s="1654" t="s">
        <v>637</v>
      </c>
      <c r="M112" s="1654"/>
      <c r="N112" s="1654"/>
      <c r="O112" s="1680"/>
    </row>
    <row r="113" spans="1:16" ht="27" customHeight="1" thickBot="1">
      <c r="A113" s="1664"/>
      <c r="B113" s="1675"/>
      <c r="C113" s="1678"/>
      <c r="D113" s="1678"/>
      <c r="E113" s="1740"/>
      <c r="F113" s="1658"/>
      <c r="G113" s="1678"/>
      <c r="H113" s="1658"/>
      <c r="I113" s="1658"/>
      <c r="J113" s="1658"/>
      <c r="K113" s="1795"/>
      <c r="L113" s="270" t="s">
        <v>638</v>
      </c>
      <c r="M113" s="270" t="s">
        <v>639</v>
      </c>
      <c r="N113" s="270" t="s">
        <v>640</v>
      </c>
      <c r="O113" s="265" t="s">
        <v>16</v>
      </c>
    </row>
    <row r="114" spans="1:16" ht="43.5">
      <c r="A114" s="601" t="s">
        <v>26</v>
      </c>
      <c r="B114" s="266" t="s">
        <v>689</v>
      </c>
      <c r="C114" s="104" t="s">
        <v>661</v>
      </c>
      <c r="D114" s="182" t="s">
        <v>220</v>
      </c>
      <c r="E114" s="4">
        <v>5</v>
      </c>
      <c r="F114" s="104" t="s">
        <v>662</v>
      </c>
      <c r="G114" s="104" t="s">
        <v>661</v>
      </c>
      <c r="H114" s="104">
        <v>47426</v>
      </c>
      <c r="I114" s="1058" t="s">
        <v>1048</v>
      </c>
      <c r="J114" s="430" t="s">
        <v>28</v>
      </c>
      <c r="K114" s="355">
        <v>2.2000000000000002</v>
      </c>
      <c r="L114" s="356">
        <f>3515-3163</f>
        <v>352</v>
      </c>
      <c r="M114" s="456"/>
      <c r="N114" s="456"/>
      <c r="O114" s="327">
        <f>L114</f>
        <v>352</v>
      </c>
      <c r="P114" s="1"/>
    </row>
    <row r="115" spans="1:16" ht="18">
      <c r="A115" s="601" t="s">
        <v>26</v>
      </c>
      <c r="B115" s="3" t="s">
        <v>260</v>
      </c>
      <c r="C115" s="22" t="s">
        <v>661</v>
      </c>
      <c r="D115" s="4" t="s">
        <v>690</v>
      </c>
      <c r="E115" s="4"/>
      <c r="F115" s="22" t="s">
        <v>662</v>
      </c>
      <c r="G115" s="22" t="s">
        <v>661</v>
      </c>
      <c r="H115" s="22">
        <v>838119</v>
      </c>
      <c r="I115" s="695" t="s">
        <v>1039</v>
      </c>
      <c r="J115" s="386" t="s">
        <v>28</v>
      </c>
      <c r="K115" s="357">
        <v>6</v>
      </c>
      <c r="L115" s="358">
        <f>70421-53015</f>
        <v>17406</v>
      </c>
      <c r="M115" s="33"/>
      <c r="N115" s="33"/>
      <c r="O115" s="340">
        <f t="shared" ref="O115:O122" si="1">L115</f>
        <v>17406</v>
      </c>
      <c r="P115" s="1"/>
    </row>
    <row r="116" spans="1:16" ht="18">
      <c r="A116" s="601" t="s">
        <v>26</v>
      </c>
      <c r="B116" s="3" t="s">
        <v>260</v>
      </c>
      <c r="C116" s="22" t="s">
        <v>661</v>
      </c>
      <c r="D116" s="4" t="s">
        <v>691</v>
      </c>
      <c r="E116" s="4"/>
      <c r="F116" s="22" t="s">
        <v>662</v>
      </c>
      <c r="G116" s="22" t="s">
        <v>661</v>
      </c>
      <c r="H116" s="22">
        <v>838117</v>
      </c>
      <c r="I116" s="1058" t="s">
        <v>1040</v>
      </c>
      <c r="J116" s="386" t="s">
        <v>28</v>
      </c>
      <c r="K116" s="357">
        <v>4</v>
      </c>
      <c r="L116" s="358">
        <f>16901-13315</f>
        <v>3586</v>
      </c>
      <c r="M116" s="33"/>
      <c r="N116" s="33"/>
      <c r="O116" s="340">
        <f t="shared" si="1"/>
        <v>3586</v>
      </c>
      <c r="P116" s="1"/>
    </row>
    <row r="117" spans="1:16" ht="43.5">
      <c r="A117" s="601" t="s">
        <v>26</v>
      </c>
      <c r="B117" s="3" t="s">
        <v>689</v>
      </c>
      <c r="C117" s="3" t="s">
        <v>672</v>
      </c>
      <c r="D117" s="4"/>
      <c r="E117" s="4"/>
      <c r="F117" s="104" t="s">
        <v>662</v>
      </c>
      <c r="G117" s="104" t="s">
        <v>661</v>
      </c>
      <c r="H117" s="22">
        <v>350128</v>
      </c>
      <c r="I117" s="695" t="s">
        <v>1041</v>
      </c>
      <c r="J117" s="386" t="s">
        <v>28</v>
      </c>
      <c r="K117" s="357">
        <v>8</v>
      </c>
      <c r="L117" s="358">
        <f>2639-2032</f>
        <v>607</v>
      </c>
      <c r="M117" s="33"/>
      <c r="N117" s="33"/>
      <c r="O117" s="340">
        <f t="shared" si="1"/>
        <v>607</v>
      </c>
      <c r="P117" s="1"/>
    </row>
    <row r="118" spans="1:16" ht="43.5">
      <c r="A118" s="601" t="s">
        <v>26</v>
      </c>
      <c r="B118" s="3" t="s">
        <v>689</v>
      </c>
      <c r="C118" s="3" t="s">
        <v>672</v>
      </c>
      <c r="D118" s="4"/>
      <c r="E118" s="4"/>
      <c r="F118" s="22" t="s">
        <v>662</v>
      </c>
      <c r="G118" s="22" t="s">
        <v>661</v>
      </c>
      <c r="H118" s="22">
        <v>91425237</v>
      </c>
      <c r="I118" s="1058" t="s">
        <v>1042</v>
      </c>
      <c r="J118" s="386" t="s">
        <v>28</v>
      </c>
      <c r="K118" s="357">
        <v>8</v>
      </c>
      <c r="L118" s="358">
        <f>3515-2581</f>
        <v>934</v>
      </c>
      <c r="M118" s="33"/>
      <c r="N118" s="33"/>
      <c r="O118" s="340">
        <f t="shared" si="1"/>
        <v>934</v>
      </c>
      <c r="P118" s="1"/>
    </row>
    <row r="119" spans="1:16" ht="43.5">
      <c r="A119" s="601" t="s">
        <v>26</v>
      </c>
      <c r="B119" s="3" t="s">
        <v>689</v>
      </c>
      <c r="C119" s="3" t="s">
        <v>692</v>
      </c>
      <c r="D119" s="4"/>
      <c r="E119" s="4"/>
      <c r="F119" s="22" t="s">
        <v>662</v>
      </c>
      <c r="G119" s="22" t="s">
        <v>661</v>
      </c>
      <c r="H119" s="22">
        <v>91299698</v>
      </c>
      <c r="I119" s="695" t="s">
        <v>1047</v>
      </c>
      <c r="J119" s="386" t="s">
        <v>28</v>
      </c>
      <c r="K119" s="357">
        <v>8</v>
      </c>
      <c r="L119" s="358">
        <f>6812-6240</f>
        <v>572</v>
      </c>
      <c r="M119" s="33"/>
      <c r="N119" s="33"/>
      <c r="O119" s="340">
        <f t="shared" si="1"/>
        <v>572</v>
      </c>
      <c r="P119" s="1"/>
    </row>
    <row r="120" spans="1:16" ht="18">
      <c r="A120" s="601" t="s">
        <v>26</v>
      </c>
      <c r="B120" s="3" t="s">
        <v>351</v>
      </c>
      <c r="C120" s="3" t="s">
        <v>663</v>
      </c>
      <c r="D120" s="4"/>
      <c r="E120" s="4"/>
      <c r="F120" s="104" t="s">
        <v>662</v>
      </c>
      <c r="G120" s="104" t="s">
        <v>661</v>
      </c>
      <c r="H120" s="22">
        <v>907903</v>
      </c>
      <c r="I120" s="1058" t="s">
        <v>1043</v>
      </c>
      <c r="J120" s="29" t="s">
        <v>65</v>
      </c>
      <c r="K120" s="357">
        <v>20</v>
      </c>
      <c r="L120" s="328"/>
      <c r="M120" s="32">
        <f>11734-9474</f>
        <v>2260</v>
      </c>
      <c r="N120" s="32">
        <f>29031-23575</f>
        <v>5456</v>
      </c>
      <c r="O120" s="340">
        <f>SUM(M120:N120)</f>
        <v>7716</v>
      </c>
      <c r="P120" s="1"/>
    </row>
    <row r="121" spans="1:16" ht="29.25">
      <c r="A121" s="601" t="s">
        <v>26</v>
      </c>
      <c r="B121" s="3" t="s">
        <v>251</v>
      </c>
      <c r="C121" s="22" t="s">
        <v>661</v>
      </c>
      <c r="D121" s="4" t="s">
        <v>693</v>
      </c>
      <c r="E121" s="4"/>
      <c r="F121" s="22" t="s">
        <v>662</v>
      </c>
      <c r="G121" s="22" t="s">
        <v>661</v>
      </c>
      <c r="H121" s="22">
        <v>908183</v>
      </c>
      <c r="I121" s="695" t="s">
        <v>1037</v>
      </c>
      <c r="J121" s="377" t="s">
        <v>21</v>
      </c>
      <c r="K121" s="357">
        <v>30</v>
      </c>
      <c r="L121" s="358">
        <f>(17470.32-14490.29)*30</f>
        <v>89400.899999999965</v>
      </c>
      <c r="M121" s="33"/>
      <c r="N121" s="33"/>
      <c r="O121" s="340">
        <f t="shared" si="1"/>
        <v>89400.899999999965</v>
      </c>
      <c r="P121" s="1"/>
    </row>
    <row r="122" spans="1:16" ht="18">
      <c r="A122" s="601" t="s">
        <v>26</v>
      </c>
      <c r="B122" s="3" t="s">
        <v>314</v>
      </c>
      <c r="C122" s="3" t="s">
        <v>678</v>
      </c>
      <c r="D122" s="4"/>
      <c r="E122" s="4"/>
      <c r="F122" s="22" t="s">
        <v>662</v>
      </c>
      <c r="G122" s="22" t="s">
        <v>661</v>
      </c>
      <c r="H122" s="22">
        <v>4143445</v>
      </c>
      <c r="I122" s="695" t="s">
        <v>1038</v>
      </c>
      <c r="J122" s="377" t="s">
        <v>21</v>
      </c>
      <c r="K122" s="758">
        <v>38</v>
      </c>
      <c r="L122" s="32">
        <f>(4894.16-1514.71)*30</f>
        <v>101383.5</v>
      </c>
      <c r="M122" s="33"/>
      <c r="N122" s="33"/>
      <c r="O122" s="32">
        <f t="shared" si="1"/>
        <v>101383.5</v>
      </c>
      <c r="P122" s="1"/>
    </row>
    <row r="123" spans="1:16" s="1" customFormat="1" ht="30" thickBot="1">
      <c r="A123" s="601" t="s">
        <v>26</v>
      </c>
      <c r="B123" s="3"/>
      <c r="C123" s="3" t="s">
        <v>661</v>
      </c>
      <c r="D123" s="3" t="s">
        <v>995</v>
      </c>
      <c r="E123" s="4">
        <v>20</v>
      </c>
      <c r="F123" s="22" t="s">
        <v>662</v>
      </c>
      <c r="G123" s="22" t="s">
        <v>661</v>
      </c>
      <c r="H123" s="20">
        <v>218249</v>
      </c>
      <c r="I123" s="771" t="s">
        <v>1256</v>
      </c>
      <c r="J123" s="744" t="s">
        <v>28</v>
      </c>
      <c r="K123" s="758">
        <v>7</v>
      </c>
      <c r="L123" s="32">
        <f>8103-5991</f>
        <v>2112</v>
      </c>
      <c r="M123" s="33"/>
      <c r="N123" s="33"/>
      <c r="O123" s="32">
        <f>L123</f>
        <v>2112</v>
      </c>
    </row>
    <row r="124" spans="1:16" ht="30">
      <c r="B124" s="697" t="s">
        <v>22</v>
      </c>
      <c r="C124" s="121" t="s">
        <v>1810</v>
      </c>
      <c r="D124" s="11"/>
      <c r="E124" s="11"/>
      <c r="F124" s="11"/>
      <c r="G124" s="12"/>
      <c r="H124" s="1622" t="s">
        <v>1920</v>
      </c>
      <c r="I124" s="11" t="s">
        <v>1812</v>
      </c>
      <c r="J124" s="12"/>
      <c r="K124" s="1"/>
      <c r="L124" s="287"/>
      <c r="M124" s="344"/>
      <c r="N124" s="268" t="s">
        <v>23</v>
      </c>
      <c r="O124" s="567">
        <f>SUM(O114:O123)</f>
        <v>224069.39999999997</v>
      </c>
    </row>
    <row r="125" spans="1:16" ht="15">
      <c r="B125" s="553"/>
      <c r="C125" s="43" t="s">
        <v>682</v>
      </c>
      <c r="D125" s="14"/>
      <c r="E125" s="14"/>
      <c r="F125" s="14"/>
      <c r="G125" s="15"/>
      <c r="H125" s="13"/>
      <c r="I125" s="14" t="s">
        <v>1120</v>
      </c>
      <c r="J125" s="15"/>
      <c r="K125" s="1"/>
      <c r="L125" s="287"/>
      <c r="M125" s="344"/>
      <c r="N125" s="1"/>
      <c r="O125" s="1"/>
      <c r="P125" s="1"/>
    </row>
    <row r="126" spans="1:16" s="1" customFormat="1" ht="15.75" thickBot="1">
      <c r="B126" s="553"/>
      <c r="C126" s="43" t="s">
        <v>665</v>
      </c>
      <c r="D126" s="14"/>
      <c r="E126" s="1254"/>
      <c r="F126" s="1254"/>
      <c r="G126" s="1255"/>
      <c r="H126" s="71"/>
      <c r="I126" s="17" t="s">
        <v>665</v>
      </c>
      <c r="J126" s="18"/>
      <c r="L126" s="287"/>
      <c r="M126" s="344"/>
    </row>
    <row r="127" spans="1:16" ht="15">
      <c r="B127" s="553" t="s">
        <v>160</v>
      </c>
      <c r="C127" s="43" t="s">
        <v>1682</v>
      </c>
      <c r="D127" s="14"/>
      <c r="E127" s="1254"/>
      <c r="F127" s="1254"/>
      <c r="G127" s="1255"/>
      <c r="H127" s="260"/>
      <c r="I127" s="260"/>
      <c r="J127" s="260"/>
      <c r="K127" s="1"/>
      <c r="L127" s="287"/>
      <c r="M127" s="1"/>
      <c r="N127" s="31"/>
      <c r="O127" s="1"/>
      <c r="P127" s="1"/>
    </row>
    <row r="128" spans="1:16" ht="15.75" thickBot="1">
      <c r="B128" s="1250" t="s">
        <v>1061</v>
      </c>
      <c r="C128" s="1257" t="s">
        <v>1491</v>
      </c>
      <c r="D128" s="1499"/>
      <c r="E128" s="1499"/>
      <c r="F128" s="1499"/>
      <c r="G128" s="1256"/>
      <c r="H128" s="260"/>
      <c r="I128" s="260"/>
      <c r="J128" s="260"/>
    </row>
    <row r="129" spans="1:21" s="1" customFormat="1" ht="15" thickBot="1">
      <c r="B129" s="594"/>
      <c r="C129" s="335"/>
      <c r="D129" s="54"/>
      <c r="E129" s="54"/>
      <c r="F129" s="54"/>
      <c r="G129" s="54"/>
    </row>
    <row r="130" spans="1:21" s="1" customFormat="1" ht="48" customHeight="1">
      <c r="A130" s="1662" t="s">
        <v>6</v>
      </c>
      <c r="B130" s="1673" t="s">
        <v>633</v>
      </c>
      <c r="C130" s="1676" t="s">
        <v>8</v>
      </c>
      <c r="D130" s="1676" t="s">
        <v>9</v>
      </c>
      <c r="E130" s="1656" t="s">
        <v>634</v>
      </c>
      <c r="F130" s="1656" t="s">
        <v>11</v>
      </c>
      <c r="G130" s="1676" t="s">
        <v>12</v>
      </c>
      <c r="H130" s="1656" t="s">
        <v>269</v>
      </c>
      <c r="I130" s="1656" t="s">
        <v>13</v>
      </c>
      <c r="J130" s="1656" t="s">
        <v>59</v>
      </c>
      <c r="K130" s="1793" t="s">
        <v>635</v>
      </c>
      <c r="L130" s="1719" t="s">
        <v>636</v>
      </c>
      <c r="M130" s="1719"/>
      <c r="N130" s="1719"/>
      <c r="O130" s="1726"/>
    </row>
    <row r="131" spans="1:21" s="1" customFormat="1" ht="48" customHeight="1">
      <c r="A131" s="1663"/>
      <c r="B131" s="1674"/>
      <c r="C131" s="1677"/>
      <c r="D131" s="1677"/>
      <c r="E131" s="1657"/>
      <c r="F131" s="1657"/>
      <c r="G131" s="1677"/>
      <c r="H131" s="1657"/>
      <c r="I131" s="1657"/>
      <c r="J131" s="1657"/>
      <c r="K131" s="1794"/>
      <c r="L131" s="1654" t="s">
        <v>637</v>
      </c>
      <c r="M131" s="1654"/>
      <c r="N131" s="1654"/>
      <c r="O131" s="1680"/>
    </row>
    <row r="132" spans="1:21" s="1" customFormat="1" ht="27" customHeight="1" thickBot="1">
      <c r="A132" s="1664"/>
      <c r="B132" s="1675"/>
      <c r="C132" s="1678"/>
      <c r="D132" s="1678"/>
      <c r="E132" s="1658"/>
      <c r="F132" s="1658"/>
      <c r="G132" s="1678"/>
      <c r="H132" s="1658"/>
      <c r="I132" s="1658"/>
      <c r="J132" s="1658"/>
      <c r="K132" s="1795"/>
      <c r="L132" s="1156" t="s">
        <v>638</v>
      </c>
      <c r="M132" s="1156" t="s">
        <v>639</v>
      </c>
      <c r="N132" s="1156" t="s">
        <v>640</v>
      </c>
      <c r="O132" s="1157" t="s">
        <v>16</v>
      </c>
    </row>
    <row r="133" spans="1:21" s="622" customFormat="1" ht="18">
      <c r="A133" s="601" t="s">
        <v>26</v>
      </c>
      <c r="B133" s="518"/>
      <c r="C133" s="518" t="s">
        <v>1118</v>
      </c>
      <c r="D133" s="518"/>
      <c r="E133" s="518">
        <v>43</v>
      </c>
      <c r="F133" s="518" t="s">
        <v>662</v>
      </c>
      <c r="G133" s="518" t="s">
        <v>661</v>
      </c>
      <c r="H133" s="518">
        <v>329200</v>
      </c>
      <c r="I133" s="710" t="s">
        <v>1248</v>
      </c>
      <c r="J133" s="1258" t="s">
        <v>28</v>
      </c>
      <c r="K133" s="687">
        <v>14</v>
      </c>
      <c r="L133" s="519">
        <f>21866-15868</f>
        <v>5998</v>
      </c>
      <c r="M133" s="520"/>
      <c r="N133" s="520"/>
      <c r="O133" s="519">
        <f>L133</f>
        <v>5998</v>
      </c>
    </row>
    <row r="134" spans="1:21" s="622" customFormat="1" ht="18.75" thickBot="1">
      <c r="A134" s="575" t="s">
        <v>26</v>
      </c>
      <c r="B134" s="627"/>
      <c r="C134" s="627" t="s">
        <v>661</v>
      </c>
      <c r="D134" s="627" t="s">
        <v>1249</v>
      </c>
      <c r="E134" s="627"/>
      <c r="F134" s="627" t="s">
        <v>662</v>
      </c>
      <c r="G134" s="627" t="s">
        <v>661</v>
      </c>
      <c r="H134" s="627">
        <v>908430</v>
      </c>
      <c r="I134" s="771" t="s">
        <v>1250</v>
      </c>
      <c r="J134" s="1500" t="s">
        <v>21</v>
      </c>
      <c r="K134" s="1501">
        <v>85</v>
      </c>
      <c r="L134" s="620">
        <f>(2014.99-1361.14)*30</f>
        <v>19615.499999999996</v>
      </c>
      <c r="M134" s="621"/>
      <c r="N134" s="621"/>
      <c r="O134" s="620">
        <f>L134</f>
        <v>19615.499999999996</v>
      </c>
    </row>
    <row r="135" spans="1:21" ht="30">
      <c r="B135" s="697" t="s">
        <v>22</v>
      </c>
      <c r="C135" s="121" t="s">
        <v>1810</v>
      </c>
      <c r="D135" s="11"/>
      <c r="E135" s="11"/>
      <c r="F135" s="11"/>
      <c r="G135" s="12"/>
      <c r="H135" s="1622" t="s">
        <v>1920</v>
      </c>
      <c r="I135" s="121" t="s">
        <v>1810</v>
      </c>
      <c r="J135" s="261"/>
      <c r="K135" s="26"/>
      <c r="N135" s="268" t="s">
        <v>23</v>
      </c>
      <c r="O135" s="567">
        <f>SUM(O133:O134)</f>
        <v>25613.499999999996</v>
      </c>
    </row>
    <row r="136" spans="1:21" s="1" customFormat="1" ht="15">
      <c r="B136" s="553"/>
      <c r="C136" s="43" t="s">
        <v>682</v>
      </c>
      <c r="D136" s="14"/>
      <c r="E136" s="14"/>
      <c r="F136" s="14"/>
      <c r="G136" s="15"/>
      <c r="H136" s="14"/>
      <c r="I136" s="14" t="s">
        <v>682</v>
      </c>
      <c r="J136" s="54"/>
      <c r="K136" s="27"/>
    </row>
    <row r="137" spans="1:21" s="25" customFormat="1" ht="15.75" thickBot="1">
      <c r="A137" s="444"/>
      <c r="B137" s="553"/>
      <c r="C137" s="43" t="s">
        <v>665</v>
      </c>
      <c r="D137" s="14"/>
      <c r="E137" s="1254"/>
      <c r="F137" s="1254"/>
      <c r="G137" s="1255"/>
      <c r="H137" s="1499"/>
      <c r="I137" s="17" t="s">
        <v>665</v>
      </c>
      <c r="J137" s="1502"/>
      <c r="K137" s="1503"/>
      <c r="L137" s="448"/>
      <c r="M137" s="448"/>
      <c r="N137" s="448"/>
      <c r="O137" s="448"/>
      <c r="P137" s="448"/>
      <c r="Q137" s="448"/>
      <c r="R137" s="448"/>
      <c r="S137" s="448"/>
      <c r="T137" s="444"/>
      <c r="U137" s="444"/>
    </row>
    <row r="138" spans="1:21" s="25" customFormat="1" ht="15">
      <c r="A138" s="444"/>
      <c r="B138" s="553" t="s">
        <v>160</v>
      </c>
      <c r="C138" s="43" t="s">
        <v>1682</v>
      </c>
      <c r="D138" s="14"/>
      <c r="E138" s="1254"/>
      <c r="F138" s="1254"/>
      <c r="G138" s="1255"/>
      <c r="H138" s="1254"/>
      <c r="I138" s="1254"/>
      <c r="J138" s="444"/>
      <c r="K138" s="615"/>
      <c r="L138" s="448"/>
      <c r="M138" s="448"/>
      <c r="N138" s="448"/>
      <c r="O138" s="448"/>
      <c r="P138" s="448"/>
      <c r="Q138" s="448"/>
      <c r="R138" s="448"/>
      <c r="S138" s="448"/>
      <c r="T138" s="444"/>
      <c r="U138" s="444"/>
    </row>
    <row r="139" spans="1:21" s="25" customFormat="1" ht="15.75" thickBot="1">
      <c r="A139" s="444"/>
      <c r="B139" s="1250" t="s">
        <v>1061</v>
      </c>
      <c r="C139" s="1257" t="s">
        <v>1491</v>
      </c>
      <c r="D139" s="1499"/>
      <c r="E139" s="1499"/>
      <c r="F139" s="1499"/>
      <c r="G139" s="1256"/>
      <c r="H139" s="1254"/>
      <c r="I139" s="1254"/>
      <c r="J139" s="444"/>
      <c r="K139" s="615"/>
      <c r="L139" s="448"/>
      <c r="M139" s="448"/>
      <c r="N139" s="448"/>
      <c r="O139" s="448"/>
      <c r="P139" s="448"/>
      <c r="Q139" s="448"/>
      <c r="R139" s="448"/>
      <c r="S139" s="448"/>
      <c r="T139" s="444"/>
      <c r="U139" s="444"/>
    </row>
    <row r="140" spans="1:21" s="622" customFormat="1" ht="18.75" thickBot="1">
      <c r="A140" s="626"/>
      <c r="B140" s="54"/>
      <c r="C140" s="437"/>
      <c r="D140" s="54"/>
      <c r="E140" s="623"/>
      <c r="F140" s="623"/>
      <c r="G140" s="623"/>
      <c r="H140" s="623"/>
      <c r="I140" s="623"/>
      <c r="J140" s="623"/>
      <c r="K140" s="624"/>
      <c r="L140" s="625"/>
      <c r="M140" s="625"/>
      <c r="N140" s="625"/>
      <c r="O140" s="625"/>
      <c r="P140" s="625"/>
      <c r="Q140" s="625"/>
      <c r="R140" s="625"/>
      <c r="S140" s="625"/>
      <c r="T140" s="623"/>
      <c r="U140" s="623"/>
    </row>
    <row r="141" spans="1:21" s="622" customFormat="1" ht="42.75" customHeight="1">
      <c r="A141" s="1662" t="s">
        <v>6</v>
      </c>
      <c r="B141" s="1673" t="s">
        <v>633</v>
      </c>
      <c r="C141" s="1676" t="s">
        <v>8</v>
      </c>
      <c r="D141" s="1676" t="s">
        <v>9</v>
      </c>
      <c r="E141" s="1656" t="s">
        <v>634</v>
      </c>
      <c r="F141" s="1656" t="s">
        <v>11</v>
      </c>
      <c r="G141" s="1676" t="s">
        <v>12</v>
      </c>
      <c r="H141" s="1656" t="s">
        <v>269</v>
      </c>
      <c r="I141" s="1656" t="s">
        <v>13</v>
      </c>
      <c r="J141" s="1656" t="s">
        <v>59</v>
      </c>
      <c r="K141" s="1793" t="s">
        <v>635</v>
      </c>
      <c r="L141" s="1719" t="s">
        <v>636</v>
      </c>
      <c r="M141" s="1719"/>
      <c r="N141" s="1719"/>
      <c r="O141" s="1726"/>
    </row>
    <row r="142" spans="1:21" s="622" customFormat="1" ht="42.75" customHeight="1">
      <c r="A142" s="1663"/>
      <c r="B142" s="1674"/>
      <c r="C142" s="1677"/>
      <c r="D142" s="1677"/>
      <c r="E142" s="1657"/>
      <c r="F142" s="1657"/>
      <c r="G142" s="1677"/>
      <c r="H142" s="1657"/>
      <c r="I142" s="1657"/>
      <c r="J142" s="1657"/>
      <c r="K142" s="1794"/>
      <c r="L142" s="1654" t="s">
        <v>637</v>
      </c>
      <c r="M142" s="1654"/>
      <c r="N142" s="1654"/>
      <c r="O142" s="1680"/>
    </row>
    <row r="143" spans="1:21" s="622" customFormat="1" ht="18.75" customHeight="1" thickBot="1">
      <c r="A143" s="1664"/>
      <c r="B143" s="1675"/>
      <c r="C143" s="1678"/>
      <c r="D143" s="1678"/>
      <c r="E143" s="1658"/>
      <c r="F143" s="1658"/>
      <c r="G143" s="1678"/>
      <c r="H143" s="1658"/>
      <c r="I143" s="1658"/>
      <c r="J143" s="1658"/>
      <c r="K143" s="1795"/>
      <c r="L143" s="1040" t="s">
        <v>638</v>
      </c>
      <c r="M143" s="1040" t="s">
        <v>639</v>
      </c>
      <c r="N143" s="1040" t="s">
        <v>640</v>
      </c>
      <c r="O143" s="1041" t="s">
        <v>16</v>
      </c>
    </row>
    <row r="144" spans="1:21" s="622" customFormat="1" ht="18">
      <c r="A144" s="601" t="s">
        <v>26</v>
      </c>
      <c r="B144" s="518" t="s">
        <v>1122</v>
      </c>
      <c r="C144" s="518" t="s">
        <v>661</v>
      </c>
      <c r="D144" s="518" t="s">
        <v>724</v>
      </c>
      <c r="E144" s="686">
        <v>2</v>
      </c>
      <c r="F144" s="518" t="s">
        <v>662</v>
      </c>
      <c r="G144" s="518" t="s">
        <v>661</v>
      </c>
      <c r="H144" s="686">
        <v>8342581</v>
      </c>
      <c r="I144" s="705" t="s">
        <v>1258</v>
      </c>
      <c r="J144" s="1045" t="s">
        <v>716</v>
      </c>
      <c r="K144" s="687">
        <v>6</v>
      </c>
      <c r="L144" s="519">
        <f>143240-126205</f>
        <v>17035</v>
      </c>
      <c r="M144" s="520"/>
      <c r="N144" s="520"/>
      <c r="O144" s="519">
        <f t="shared" ref="O144:O150" si="2">L144</f>
        <v>17035</v>
      </c>
      <c r="P144" s="1"/>
    </row>
    <row r="145" spans="1:21" s="25" customFormat="1" ht="18">
      <c r="A145" s="575" t="s">
        <v>26</v>
      </c>
      <c r="B145" s="618" t="s">
        <v>1122</v>
      </c>
      <c r="C145" s="618" t="s">
        <v>661</v>
      </c>
      <c r="D145" s="618" t="s">
        <v>996</v>
      </c>
      <c r="E145" s="215">
        <v>8</v>
      </c>
      <c r="F145" s="618" t="s">
        <v>662</v>
      </c>
      <c r="G145" s="618" t="s">
        <v>661</v>
      </c>
      <c r="H145" s="215">
        <v>70917103</v>
      </c>
      <c r="I145" s="706" t="s">
        <v>1251</v>
      </c>
      <c r="J145" s="1046" t="s">
        <v>716</v>
      </c>
      <c r="K145" s="619">
        <v>7</v>
      </c>
      <c r="L145" s="620">
        <f>54188-45017</f>
        <v>9171</v>
      </c>
      <c r="M145" s="611"/>
      <c r="N145" s="611"/>
      <c r="O145" s="620">
        <f t="shared" si="2"/>
        <v>9171</v>
      </c>
      <c r="P145" s="1"/>
    </row>
    <row r="146" spans="1:21" s="25" customFormat="1" ht="18">
      <c r="A146" s="575" t="s">
        <v>26</v>
      </c>
      <c r="B146" s="618" t="s">
        <v>1123</v>
      </c>
      <c r="C146" s="618" t="s">
        <v>661</v>
      </c>
      <c r="D146" s="618" t="s">
        <v>996</v>
      </c>
      <c r="E146" s="215">
        <v>15</v>
      </c>
      <c r="F146" s="618" t="s">
        <v>662</v>
      </c>
      <c r="G146" s="618" t="s">
        <v>661</v>
      </c>
      <c r="H146" s="215">
        <v>11559521</v>
      </c>
      <c r="I146" s="706" t="s">
        <v>1252</v>
      </c>
      <c r="J146" s="1046" t="s">
        <v>716</v>
      </c>
      <c r="K146" s="619">
        <v>7</v>
      </c>
      <c r="L146" s="620">
        <f>2640-1538</f>
        <v>1102</v>
      </c>
      <c r="M146" s="611"/>
      <c r="N146" s="611"/>
      <c r="O146" s="620">
        <f t="shared" si="2"/>
        <v>1102</v>
      </c>
      <c r="P146" s="1"/>
    </row>
    <row r="147" spans="1:21" s="25" customFormat="1" ht="28.5">
      <c r="A147" s="575" t="s">
        <v>26</v>
      </c>
      <c r="B147" s="618" t="s">
        <v>1124</v>
      </c>
      <c r="C147" s="618" t="s">
        <v>661</v>
      </c>
      <c r="D147" s="618" t="s">
        <v>669</v>
      </c>
      <c r="E147" s="215">
        <v>4</v>
      </c>
      <c r="F147" s="618" t="s">
        <v>662</v>
      </c>
      <c r="G147" s="618" t="s">
        <v>661</v>
      </c>
      <c r="H147" s="215">
        <v>35242</v>
      </c>
      <c r="I147" s="706" t="s">
        <v>1253</v>
      </c>
      <c r="J147" s="1046" t="s">
        <v>716</v>
      </c>
      <c r="K147" s="619">
        <v>3</v>
      </c>
      <c r="L147" s="620">
        <f>2023-1966</f>
        <v>57</v>
      </c>
      <c r="M147" s="611"/>
      <c r="N147" s="611"/>
      <c r="O147" s="620">
        <f t="shared" si="2"/>
        <v>57</v>
      </c>
      <c r="P147" s="1"/>
    </row>
    <row r="148" spans="1:21" s="25" customFormat="1" ht="28.5">
      <c r="A148" s="575" t="s">
        <v>26</v>
      </c>
      <c r="B148" s="618" t="s">
        <v>1124</v>
      </c>
      <c r="C148" s="618" t="s">
        <v>661</v>
      </c>
      <c r="D148" s="618" t="s">
        <v>54</v>
      </c>
      <c r="E148" s="215">
        <v>11</v>
      </c>
      <c r="F148" s="618" t="s">
        <v>662</v>
      </c>
      <c r="G148" s="618" t="s">
        <v>661</v>
      </c>
      <c r="H148" s="215">
        <v>83991097</v>
      </c>
      <c r="I148" s="706" t="s">
        <v>1254</v>
      </c>
      <c r="J148" s="1046" t="s">
        <v>716</v>
      </c>
      <c r="K148" s="619">
        <v>3</v>
      </c>
      <c r="L148" s="620">
        <v>560</v>
      </c>
      <c r="M148" s="611"/>
      <c r="N148" s="611"/>
      <c r="O148" s="620">
        <f t="shared" si="2"/>
        <v>560</v>
      </c>
      <c r="P148" s="1"/>
    </row>
    <row r="149" spans="1:21" s="25" customFormat="1" ht="42.75">
      <c r="A149" s="575" t="s">
        <v>26</v>
      </c>
      <c r="B149" s="618" t="s">
        <v>694</v>
      </c>
      <c r="C149" s="618" t="s">
        <v>661</v>
      </c>
      <c r="D149" s="618" t="s">
        <v>202</v>
      </c>
      <c r="E149" s="215">
        <v>8</v>
      </c>
      <c r="F149" s="618" t="s">
        <v>662</v>
      </c>
      <c r="G149" s="618" t="s">
        <v>661</v>
      </c>
      <c r="H149" s="215">
        <v>11787984</v>
      </c>
      <c r="I149" s="706" t="s">
        <v>1255</v>
      </c>
      <c r="J149" s="1046" t="s">
        <v>716</v>
      </c>
      <c r="K149" s="619">
        <v>3</v>
      </c>
      <c r="L149" s="620">
        <f>1000-940</f>
        <v>60</v>
      </c>
      <c r="M149" s="611"/>
      <c r="N149" s="611"/>
      <c r="O149" s="620">
        <f t="shared" si="2"/>
        <v>60</v>
      </c>
      <c r="P149" s="1"/>
    </row>
    <row r="150" spans="1:21" s="25" customFormat="1" ht="43.5" thickBot="1">
      <c r="A150" s="575" t="s">
        <v>26</v>
      </c>
      <c r="B150" s="627" t="s">
        <v>694</v>
      </c>
      <c r="C150" s="627" t="s">
        <v>661</v>
      </c>
      <c r="D150" s="627" t="s">
        <v>995</v>
      </c>
      <c r="E150" s="215">
        <v>20</v>
      </c>
      <c r="F150" s="618" t="s">
        <v>662</v>
      </c>
      <c r="G150" s="618" t="s">
        <v>661</v>
      </c>
      <c r="H150" s="630">
        <v>27972924</v>
      </c>
      <c r="I150" s="1252" t="s">
        <v>1257</v>
      </c>
      <c r="J150" s="1253" t="s">
        <v>28</v>
      </c>
      <c r="K150" s="619">
        <v>2</v>
      </c>
      <c r="L150" s="620">
        <f>16751-16047</f>
        <v>704</v>
      </c>
      <c r="M150" s="611"/>
      <c r="N150" s="611"/>
      <c r="O150" s="620">
        <f t="shared" si="2"/>
        <v>704</v>
      </c>
      <c r="P150" s="1"/>
    </row>
    <row r="151" spans="1:21" s="25" customFormat="1" ht="30">
      <c r="A151" s="617"/>
      <c r="B151" s="697" t="s">
        <v>22</v>
      </c>
      <c r="C151" s="121" t="s">
        <v>1810</v>
      </c>
      <c r="D151" s="11"/>
      <c r="E151" s="11"/>
      <c r="F151" s="11"/>
      <c r="G151" s="12"/>
      <c r="H151" s="1622" t="s">
        <v>1920</v>
      </c>
      <c r="I151" s="11" t="s">
        <v>1812</v>
      </c>
      <c r="J151" s="12"/>
      <c r="K151" s="615"/>
      <c r="L151" s="448"/>
      <c r="M151" s="448"/>
      <c r="N151" s="268" t="s">
        <v>23</v>
      </c>
      <c r="O151" s="567">
        <f>SUM(O144:O150)</f>
        <v>28689</v>
      </c>
      <c r="P151" s="448"/>
      <c r="Q151" s="448"/>
      <c r="R151" s="448"/>
      <c r="T151" s="444"/>
      <c r="U151" s="444"/>
    </row>
    <row r="152" spans="1:21" s="25" customFormat="1" ht="18">
      <c r="A152" s="617"/>
      <c r="B152" s="553"/>
      <c r="C152" s="43" t="s">
        <v>682</v>
      </c>
      <c r="D152" s="14"/>
      <c r="E152" s="14"/>
      <c r="F152" s="14"/>
      <c r="G152" s="15"/>
      <c r="H152" s="13"/>
      <c r="I152" s="14" t="s">
        <v>1120</v>
      </c>
      <c r="J152" s="15"/>
      <c r="K152" s="615"/>
      <c r="L152" s="448"/>
      <c r="M152" s="448"/>
      <c r="N152" s="448"/>
      <c r="O152" s="448"/>
      <c r="P152" s="448"/>
      <c r="Q152" s="448"/>
      <c r="R152" s="448"/>
      <c r="S152" s="448"/>
      <c r="T152" s="444"/>
      <c r="U152" s="444"/>
    </row>
    <row r="153" spans="1:21" s="25" customFormat="1" ht="18.75" thickBot="1">
      <c r="A153" s="617"/>
      <c r="B153" s="553"/>
      <c r="C153" s="43" t="s">
        <v>665</v>
      </c>
      <c r="D153" s="14"/>
      <c r="E153" s="1254"/>
      <c r="F153" s="1254"/>
      <c r="G153" s="1255"/>
      <c r="H153" s="71"/>
      <c r="I153" s="17" t="s">
        <v>665</v>
      </c>
      <c r="J153" s="18"/>
      <c r="K153" s="615"/>
      <c r="L153" s="448"/>
      <c r="M153" s="448"/>
      <c r="N153" s="448"/>
      <c r="O153" s="448"/>
      <c r="P153" s="448"/>
      <c r="Q153" s="448"/>
      <c r="R153" s="448"/>
      <c r="S153" s="448"/>
      <c r="T153" s="444"/>
      <c r="U153" s="444"/>
    </row>
    <row r="154" spans="1:21" s="25" customFormat="1" ht="18">
      <c r="A154" s="617"/>
      <c r="B154" s="553" t="s">
        <v>160</v>
      </c>
      <c r="C154" s="43" t="s">
        <v>1682</v>
      </c>
      <c r="D154" s="14"/>
      <c r="E154" s="1254"/>
      <c r="F154" s="1254"/>
      <c r="G154" s="1255"/>
      <c r="H154" s="1254"/>
      <c r="I154" s="1254"/>
      <c r="J154" s="1254"/>
      <c r="K154" s="615"/>
      <c r="Q154" s="448"/>
      <c r="R154" s="448"/>
      <c r="S154" s="448"/>
      <c r="T154" s="444"/>
      <c r="U154" s="444"/>
    </row>
    <row r="155" spans="1:21" s="25" customFormat="1" ht="18.75" thickBot="1">
      <c r="A155" s="617"/>
      <c r="B155" s="1250" t="s">
        <v>1061</v>
      </c>
      <c r="C155" s="1257" t="s">
        <v>1491</v>
      </c>
      <c r="D155" s="1499"/>
      <c r="E155" s="1499"/>
      <c r="F155" s="1499"/>
      <c r="G155" s="1256"/>
      <c r="H155" s="1254"/>
      <c r="I155" s="1254"/>
      <c r="J155" s="1254"/>
      <c r="K155" s="615"/>
      <c r="Q155" s="448"/>
      <c r="R155" s="448"/>
      <c r="S155" s="448"/>
      <c r="T155" s="444"/>
      <c r="U155" s="444"/>
    </row>
    <row r="156" spans="1:21" s="25" customFormat="1" ht="18.75" thickBot="1">
      <c r="A156" s="617"/>
      <c r="B156" s="1251"/>
      <c r="C156" s="631"/>
      <c r="D156" s="444"/>
      <c r="E156" s="444"/>
      <c r="F156" s="444"/>
      <c r="G156" s="444"/>
      <c r="H156" s="444"/>
      <c r="I156" s="444"/>
      <c r="J156" s="444"/>
      <c r="K156" s="615"/>
      <c r="Q156" s="448"/>
      <c r="R156" s="448"/>
      <c r="S156" s="448"/>
      <c r="T156" s="444"/>
      <c r="U156" s="444"/>
    </row>
    <row r="157" spans="1:21" s="25" customFormat="1" ht="41.25" customHeight="1">
      <c r="A157" s="1662" t="s">
        <v>6</v>
      </c>
      <c r="B157" s="1656" t="s">
        <v>7</v>
      </c>
      <c r="C157" s="1656" t="s">
        <v>8</v>
      </c>
      <c r="D157" s="1656" t="s">
        <v>9</v>
      </c>
      <c r="E157" s="1656" t="s">
        <v>884</v>
      </c>
      <c r="F157" s="1656" t="s">
        <v>11</v>
      </c>
      <c r="G157" s="1656" t="s">
        <v>12</v>
      </c>
      <c r="H157" s="1656" t="s">
        <v>14</v>
      </c>
      <c r="I157" s="1656" t="s">
        <v>269</v>
      </c>
      <c r="J157" s="1656" t="s">
        <v>59</v>
      </c>
      <c r="K157" s="1719" t="s">
        <v>15</v>
      </c>
      <c r="L157" s="1650" t="s">
        <v>641</v>
      </c>
      <c r="M157" s="1650"/>
      <c r="N157" s="1650"/>
      <c r="O157" s="1650"/>
      <c r="P157" s="1650" t="s">
        <v>642</v>
      </c>
      <c r="Q157" s="1650"/>
      <c r="R157" s="1650"/>
      <c r="S157" s="1650"/>
      <c r="T157" s="1656" t="s">
        <v>1175</v>
      </c>
      <c r="U157" s="1790" t="s">
        <v>1127</v>
      </c>
    </row>
    <row r="158" spans="1:21" s="25" customFormat="1" ht="41.25" customHeight="1">
      <c r="A158" s="1663"/>
      <c r="B158" s="1657"/>
      <c r="C158" s="1657"/>
      <c r="D158" s="1657"/>
      <c r="E158" s="1657"/>
      <c r="F158" s="1657"/>
      <c r="G158" s="1657"/>
      <c r="H158" s="1657"/>
      <c r="I158" s="1657"/>
      <c r="J158" s="1657"/>
      <c r="K158" s="1720"/>
      <c r="L158" s="1654" t="s">
        <v>638</v>
      </c>
      <c r="M158" s="1654" t="s">
        <v>639</v>
      </c>
      <c r="N158" s="1654" t="s">
        <v>640</v>
      </c>
      <c r="O158" s="1654" t="s">
        <v>643</v>
      </c>
      <c r="P158" s="1654" t="s">
        <v>638</v>
      </c>
      <c r="Q158" s="1654" t="s">
        <v>639</v>
      </c>
      <c r="R158" s="1654" t="s">
        <v>640</v>
      </c>
      <c r="S158" s="1654" t="s">
        <v>643</v>
      </c>
      <c r="T158" s="1657"/>
      <c r="U158" s="1791"/>
    </row>
    <row r="159" spans="1:21" s="25" customFormat="1" ht="41.25" customHeight="1" thickBot="1">
      <c r="A159" s="1664"/>
      <c r="B159" s="1658"/>
      <c r="C159" s="1658"/>
      <c r="D159" s="1658"/>
      <c r="E159" s="1658"/>
      <c r="F159" s="1658"/>
      <c r="G159" s="1658"/>
      <c r="H159" s="1658"/>
      <c r="I159" s="1658"/>
      <c r="J159" s="1658"/>
      <c r="K159" s="1721"/>
      <c r="L159" s="1655"/>
      <c r="M159" s="1655"/>
      <c r="N159" s="1655"/>
      <c r="O159" s="1655"/>
      <c r="P159" s="1655"/>
      <c r="Q159" s="1655"/>
      <c r="R159" s="1655"/>
      <c r="S159" s="1655"/>
      <c r="T159" s="1658"/>
      <c r="U159" s="1801"/>
    </row>
    <row r="160" spans="1:21" s="25" customFormat="1" ht="47.25" customHeight="1" thickBot="1">
      <c r="A160" s="601" t="s">
        <v>17</v>
      </c>
      <c r="B160" s="1043" t="s">
        <v>1492</v>
      </c>
      <c r="C160" s="534" t="s">
        <v>1493</v>
      </c>
      <c r="D160" s="266"/>
      <c r="E160" s="182" t="s">
        <v>1494</v>
      </c>
      <c r="F160" s="518" t="s">
        <v>662</v>
      </c>
      <c r="G160" s="518" t="s">
        <v>661</v>
      </c>
      <c r="H160" s="734">
        <v>53718149</v>
      </c>
      <c r="I160" s="182">
        <v>83246653</v>
      </c>
      <c r="J160" s="1045" t="s">
        <v>65</v>
      </c>
      <c r="K160" s="1042">
        <v>1</v>
      </c>
      <c r="L160" s="269"/>
      <c r="M160" s="434">
        <f>6*12</f>
        <v>72</v>
      </c>
      <c r="N160" s="434">
        <f>24*12</f>
        <v>288</v>
      </c>
      <c r="O160" s="434">
        <f>SUM(M160:N160)</f>
        <v>360</v>
      </c>
      <c r="P160" s="269"/>
      <c r="Q160" s="434">
        <f>6*12</f>
        <v>72</v>
      </c>
      <c r="R160" s="434">
        <f>24*12</f>
        <v>288</v>
      </c>
      <c r="S160" s="434">
        <f>SUM(Q160:R160)</f>
        <v>360</v>
      </c>
      <c r="T160" s="266" t="s">
        <v>1456</v>
      </c>
      <c r="U160" s="517" t="s">
        <v>1873</v>
      </c>
    </row>
    <row r="161" spans="1:21" s="25" customFormat="1" ht="17.25" customHeight="1">
      <c r="A161" s="577"/>
      <c r="B161" s="697" t="s">
        <v>22</v>
      </c>
      <c r="C161" s="612" t="s">
        <v>1121</v>
      </c>
      <c r="D161" s="26"/>
      <c r="E161" s="1"/>
      <c r="F161" s="1"/>
      <c r="G161" s="1"/>
      <c r="H161" s="1622" t="s">
        <v>1920</v>
      </c>
      <c r="I161" s="12" t="s">
        <v>681</v>
      </c>
      <c r="J161" s="1"/>
      <c r="K161" s="1"/>
      <c r="L161" s="1"/>
      <c r="M161" s="1024"/>
      <c r="N161" s="344"/>
      <c r="O161" s="1"/>
      <c r="P161" s="1"/>
      <c r="Q161" s="1"/>
      <c r="R161" s="268" t="s">
        <v>23</v>
      </c>
      <c r="S161" s="567">
        <f>SUM(S160:S160)</f>
        <v>360</v>
      </c>
      <c r="T161" s="1"/>
      <c r="U161" s="1"/>
    </row>
    <row r="162" spans="1:21" s="25" customFormat="1" ht="15">
      <c r="A162" s="577"/>
      <c r="B162" s="553"/>
      <c r="C162" s="57" t="s">
        <v>682</v>
      </c>
      <c r="D162" s="27"/>
      <c r="E162" s="1"/>
      <c r="F162" s="1"/>
      <c r="G162" s="1"/>
      <c r="H162" s="52"/>
      <c r="I162" s="15" t="s">
        <v>682</v>
      </c>
      <c r="J162" s="1"/>
      <c r="K162" s="1"/>
      <c r="L162" s="1"/>
      <c r="M162" s="1024"/>
      <c r="N162" s="344"/>
      <c r="O162" s="1"/>
      <c r="P162" s="1"/>
      <c r="Q162" s="1"/>
      <c r="R162" s="1"/>
      <c r="S162" s="1"/>
      <c r="T162" s="1"/>
      <c r="U162" s="1"/>
    </row>
    <row r="163" spans="1:21" s="25" customFormat="1" ht="15.75" thickBot="1">
      <c r="A163" s="577"/>
      <c r="B163" s="553"/>
      <c r="C163" s="57" t="s">
        <v>665</v>
      </c>
      <c r="D163" s="27"/>
      <c r="E163" s="1"/>
      <c r="F163" s="1"/>
      <c r="G163" s="1"/>
      <c r="H163" s="84"/>
      <c r="I163" s="18" t="s">
        <v>665</v>
      </c>
      <c r="J163" s="1"/>
      <c r="K163" s="1"/>
      <c r="L163" s="1"/>
      <c r="M163" s="1024"/>
      <c r="N163" s="344"/>
      <c r="O163" s="1"/>
      <c r="P163" s="1"/>
      <c r="Q163" s="1"/>
      <c r="R163" s="1"/>
      <c r="S163" s="1"/>
      <c r="T163" s="1"/>
      <c r="U163" s="1"/>
    </row>
    <row r="164" spans="1:21" s="25" customFormat="1" ht="15.75" thickBot="1">
      <c r="A164" s="577"/>
      <c r="B164" s="433" t="s">
        <v>160</v>
      </c>
      <c r="C164" s="613" t="s">
        <v>1682</v>
      </c>
      <c r="D164" s="28"/>
      <c r="E164" s="1"/>
      <c r="F164" s="1"/>
      <c r="G164" s="1"/>
      <c r="H164" s="2"/>
      <c r="I164" s="1"/>
      <c r="J164" s="1"/>
      <c r="K164" s="1"/>
      <c r="L164" s="1"/>
      <c r="M164" s="1024"/>
      <c r="N164" s="344"/>
      <c r="O164" s="1"/>
      <c r="P164" s="1"/>
      <c r="Q164" s="1"/>
      <c r="R164" s="1"/>
      <c r="S164" s="1"/>
      <c r="T164" s="1"/>
      <c r="U164" s="1"/>
    </row>
    <row r="165" spans="1:21" s="1" customFormat="1" ht="21" customHeight="1">
      <c r="B165" s="594"/>
      <c r="C165" s="54"/>
      <c r="D165" s="54"/>
      <c r="E165" s="54"/>
      <c r="F165" s="54"/>
      <c r="G165" s="54"/>
      <c r="K165" s="448"/>
      <c r="L165" s="448" t="s">
        <v>62</v>
      </c>
      <c r="M165" s="625">
        <f>O19+O40+O51+O60+O71+O81+O94+O104+O124+O135+O151+S161</f>
        <v>551306.89999999991</v>
      </c>
      <c r="N165" s="448"/>
      <c r="O165" s="448"/>
    </row>
    <row r="166" spans="1:21" ht="15" thickBot="1">
      <c r="B166" s="54"/>
      <c r="C166" s="335"/>
      <c r="D166" s="54"/>
      <c r="E166" s="54"/>
      <c r="K166" s="1"/>
      <c r="L166" s="1"/>
      <c r="M166" s="1"/>
      <c r="N166" s="1"/>
      <c r="O166" s="1"/>
    </row>
    <row r="167" spans="1:21" ht="52.5" customHeight="1">
      <c r="K167" s="1706" t="s">
        <v>59</v>
      </c>
      <c r="L167" s="1708" t="s">
        <v>644</v>
      </c>
      <c r="M167" s="1709"/>
      <c r="N167" s="1710"/>
      <c r="O167" s="1775" t="s">
        <v>60</v>
      </c>
    </row>
    <row r="168" spans="1:21" s="1" customFormat="1" ht="27" customHeight="1" thickBot="1">
      <c r="K168" s="1707"/>
      <c r="L168" s="274" t="s">
        <v>61</v>
      </c>
      <c r="M168" s="274" t="s">
        <v>639</v>
      </c>
      <c r="N168" s="274" t="s">
        <v>640</v>
      </c>
      <c r="O168" s="1776"/>
    </row>
    <row r="169" spans="1:21" ht="27" customHeight="1">
      <c r="K169" s="406" t="s">
        <v>716</v>
      </c>
      <c r="L169" s="1054">
        <f>SUM(O93,O144,O145,O146,O147,O148,O149)</f>
        <v>29325</v>
      </c>
      <c r="M169" s="688"/>
      <c r="N169" s="688"/>
      <c r="O169" s="376">
        <v>7</v>
      </c>
    </row>
    <row r="170" spans="1:21" ht="27" customHeight="1">
      <c r="K170" s="977" t="s">
        <v>28</v>
      </c>
      <c r="L170" s="1055">
        <f>O18+O28+O29+O30+O31+O32+O34+O35+O36+O37+O38+O39+O50+O91+O92+O59+O103+O114+O115+O116+O117+O118+O119+O123+O133+O150+O70</f>
        <v>298266</v>
      </c>
      <c r="M170" s="323"/>
      <c r="N170" s="323"/>
      <c r="O170" s="208">
        <v>27</v>
      </c>
    </row>
    <row r="171" spans="1:21" ht="27" customHeight="1">
      <c r="K171" s="977" t="s">
        <v>21</v>
      </c>
      <c r="L171" s="1055">
        <f>O121+O122+O134</f>
        <v>210399.89999999997</v>
      </c>
      <c r="M171" s="323"/>
      <c r="N171" s="323"/>
      <c r="O171" s="208">
        <v>3</v>
      </c>
    </row>
    <row r="172" spans="1:21" ht="27" customHeight="1" thickBot="1">
      <c r="K172" s="795" t="s">
        <v>65</v>
      </c>
      <c r="L172" s="1056"/>
      <c r="M172" s="115">
        <f>M33+M80+M120+Q160</f>
        <v>3873</v>
      </c>
      <c r="N172" s="115">
        <f>N33+N80+N120+R160</f>
        <v>9443</v>
      </c>
      <c r="O172" s="115">
        <v>4</v>
      </c>
    </row>
    <row r="173" spans="1:21" ht="27" customHeight="1" thickBot="1">
      <c r="K173" s="539" t="s">
        <v>62</v>
      </c>
      <c r="L173" s="285">
        <f>SUM(L169:L172)</f>
        <v>537990.89999999991</v>
      </c>
      <c r="M173" s="116">
        <f>SUM(M169:M172)</f>
        <v>3873</v>
      </c>
      <c r="N173" s="122">
        <f>SUM(N169:N172)</f>
        <v>9443</v>
      </c>
      <c r="O173" s="666">
        <f>SUM(O169:O172)</f>
        <v>41</v>
      </c>
    </row>
    <row r="174" spans="1:21" ht="27" customHeight="1" thickBot="1">
      <c r="K174" s="1"/>
      <c r="L174" s="123" t="s">
        <v>63</v>
      </c>
      <c r="M174" s="659">
        <f>SUM(L173:N173)</f>
        <v>551306.89999999991</v>
      </c>
      <c r="N174" s="31"/>
      <c r="O174" s="31"/>
    </row>
  </sheetData>
  <mergeCells count="172">
    <mergeCell ref="T157:T159"/>
    <mergeCell ref="U157:U159"/>
    <mergeCell ref="L158:L159"/>
    <mergeCell ref="M158:M159"/>
    <mergeCell ref="N158:N159"/>
    <mergeCell ref="O158:O159"/>
    <mergeCell ref="P158:P159"/>
    <mergeCell ref="Q158:Q159"/>
    <mergeCell ref="A157:A159"/>
    <mergeCell ref="B157:B159"/>
    <mergeCell ref="C157:C159"/>
    <mergeCell ref="D157:D159"/>
    <mergeCell ref="E157:E159"/>
    <mergeCell ref="F157:F159"/>
    <mergeCell ref="G157:G159"/>
    <mergeCell ref="S158:S159"/>
    <mergeCell ref="P157:S157"/>
    <mergeCell ref="H157:H159"/>
    <mergeCell ref="I157:I159"/>
    <mergeCell ref="J157:J159"/>
    <mergeCell ref="K157:K159"/>
    <mergeCell ref="L157:O157"/>
    <mergeCell ref="L142:O142"/>
    <mergeCell ref="R158:R159"/>
    <mergeCell ref="L167:N167"/>
    <mergeCell ref="K167:K168"/>
    <mergeCell ref="G130:G132"/>
    <mergeCell ref="H130:H132"/>
    <mergeCell ref="I130:I132"/>
    <mergeCell ref="J130:J132"/>
    <mergeCell ref="K130:K132"/>
    <mergeCell ref="L130:O130"/>
    <mergeCell ref="L131:O131"/>
    <mergeCell ref="A141:A143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O141"/>
    <mergeCell ref="A15:A17"/>
    <mergeCell ref="B15:B17"/>
    <mergeCell ref="C15:C17"/>
    <mergeCell ref="D15:D17"/>
    <mergeCell ref="E15:E17"/>
    <mergeCell ref="F15:F17"/>
    <mergeCell ref="B5:K5"/>
    <mergeCell ref="K15:K17"/>
    <mergeCell ref="G15:G17"/>
    <mergeCell ref="A25:A27"/>
    <mergeCell ref="B25:B27"/>
    <mergeCell ref="C25:C27"/>
    <mergeCell ref="D25:D27"/>
    <mergeCell ref="E25:E27"/>
    <mergeCell ref="F25:F27"/>
    <mergeCell ref="L15:O15"/>
    <mergeCell ref="O167:O168"/>
    <mergeCell ref="I88:I90"/>
    <mergeCell ref="J88:J90"/>
    <mergeCell ref="I100:I102"/>
    <mergeCell ref="J100:J102"/>
    <mergeCell ref="L16:O16"/>
    <mergeCell ref="L100:O100"/>
    <mergeCell ref="L101:O101"/>
    <mergeCell ref="I25:I27"/>
    <mergeCell ref="H100:H102"/>
    <mergeCell ref="H15:H17"/>
    <mergeCell ref="I15:I17"/>
    <mergeCell ref="J15:J17"/>
    <mergeCell ref="H77:H79"/>
    <mergeCell ref="I77:I79"/>
    <mergeCell ref="J77:J79"/>
    <mergeCell ref="H88:H90"/>
    <mergeCell ref="A130:A132"/>
    <mergeCell ref="B130:B132"/>
    <mergeCell ref="C130:C132"/>
    <mergeCell ref="D130:D132"/>
    <mergeCell ref="E130:E132"/>
    <mergeCell ref="F130:F132"/>
    <mergeCell ref="A77:A79"/>
    <mergeCell ref="B77:B79"/>
    <mergeCell ref="C77:C79"/>
    <mergeCell ref="D77:D79"/>
    <mergeCell ref="E77:E79"/>
    <mergeCell ref="F77:F79"/>
    <mergeCell ref="A111:A113"/>
    <mergeCell ref="B111:B113"/>
    <mergeCell ref="C111:C113"/>
    <mergeCell ref="D111:D113"/>
    <mergeCell ref="E111:E113"/>
    <mergeCell ref="F111:F113"/>
    <mergeCell ref="G88:G90"/>
    <mergeCell ref="K88:K90"/>
    <mergeCell ref="L88:O88"/>
    <mergeCell ref="L89:O89"/>
    <mergeCell ref="A100:A102"/>
    <mergeCell ref="B100:B102"/>
    <mergeCell ref="C100:C102"/>
    <mergeCell ref="D100:D102"/>
    <mergeCell ref="E100:E102"/>
    <mergeCell ref="K100:K102"/>
    <mergeCell ref="A88:A90"/>
    <mergeCell ref="B88:B90"/>
    <mergeCell ref="C88:C90"/>
    <mergeCell ref="D88:D90"/>
    <mergeCell ref="E88:E90"/>
    <mergeCell ref="F88:F90"/>
    <mergeCell ref="B1:I1"/>
    <mergeCell ref="L111:O111"/>
    <mergeCell ref="L112:O112"/>
    <mergeCell ref="G111:G113"/>
    <mergeCell ref="H111:H113"/>
    <mergeCell ref="I111:I113"/>
    <mergeCell ref="J111:J113"/>
    <mergeCell ref="K111:K113"/>
    <mergeCell ref="G100:G102"/>
    <mergeCell ref="F100:F102"/>
    <mergeCell ref="G77:G79"/>
    <mergeCell ref="K77:K79"/>
    <mergeCell ref="L77:O77"/>
    <mergeCell ref="L78:O78"/>
    <mergeCell ref="G25:G27"/>
    <mergeCell ref="H25:H27"/>
    <mergeCell ref="J25:J27"/>
    <mergeCell ref="K25:K27"/>
    <mergeCell ref="L25:O25"/>
    <mergeCell ref="L26:O26"/>
    <mergeCell ref="B3:K3"/>
    <mergeCell ref="G47:G49"/>
    <mergeCell ref="H47:H49"/>
    <mergeCell ref="I47:I49"/>
    <mergeCell ref="J47:J49"/>
    <mergeCell ref="K47:K49"/>
    <mergeCell ref="L47:O47"/>
    <mergeCell ref="L48:O48"/>
    <mergeCell ref="A47:A49"/>
    <mergeCell ref="B47:B49"/>
    <mergeCell ref="C47:C49"/>
    <mergeCell ref="D47:D49"/>
    <mergeCell ref="E47:E49"/>
    <mergeCell ref="F47:F49"/>
    <mergeCell ref="G56:G58"/>
    <mergeCell ref="H56:H58"/>
    <mergeCell ref="I56:I58"/>
    <mergeCell ref="J56:J58"/>
    <mergeCell ref="K56:K58"/>
    <mergeCell ref="L56:O56"/>
    <mergeCell ref="L57:O57"/>
    <mergeCell ref="A56:A58"/>
    <mergeCell ref="B56:B58"/>
    <mergeCell ref="C56:C58"/>
    <mergeCell ref="D56:D58"/>
    <mergeCell ref="E56:E58"/>
    <mergeCell ref="F56:F58"/>
    <mergeCell ref="G67:G69"/>
    <mergeCell ref="H67:H69"/>
    <mergeCell ref="I67:I69"/>
    <mergeCell ref="J67:J69"/>
    <mergeCell ref="K67:K69"/>
    <mergeCell ref="L67:O67"/>
    <mergeCell ref="L68:O68"/>
    <mergeCell ref="A67:A69"/>
    <mergeCell ref="B67:B69"/>
    <mergeCell ref="C67:C69"/>
    <mergeCell ref="D67:D69"/>
    <mergeCell ref="E67:E69"/>
    <mergeCell ref="F67:F69"/>
  </mergeCells>
  <pageMargins left="0.7" right="0.7" top="0.75" bottom="0.75" header="0.3" footer="0.3"/>
  <pageSetup paperSize="9" orientation="portrait" r:id="rId1"/>
  <ignoredErrors>
    <ignoredError sqref="O33 O12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opLeftCell="C79" zoomScale="80" zoomScaleNormal="80" workbookViewId="0">
      <selection activeCell="Q101" sqref="Q101"/>
    </sheetView>
  </sheetViews>
  <sheetFormatPr defaultRowHeight="14.25"/>
  <cols>
    <col min="1" max="1" width="14.375" style="307" customWidth="1"/>
    <col min="2" max="2" width="17.125" style="307" customWidth="1"/>
    <col min="3" max="3" width="18.75" style="307" customWidth="1"/>
    <col min="4" max="4" width="15" style="307" customWidth="1"/>
    <col min="5" max="5" width="12.625" style="307" customWidth="1"/>
    <col min="6" max="6" width="9.125" style="307" customWidth="1"/>
    <col min="7" max="7" width="16.25" style="307" customWidth="1"/>
    <col min="8" max="8" width="25.25" style="307" customWidth="1"/>
    <col min="9" max="9" width="15.75" style="307" customWidth="1"/>
    <col min="10" max="10" width="16" style="307" customWidth="1"/>
    <col min="11" max="11" width="15.625" style="307" customWidth="1"/>
    <col min="12" max="12" width="14.875" style="307" customWidth="1"/>
    <col min="13" max="13" width="15.625" style="307" customWidth="1"/>
    <col min="14" max="14" width="15.75" style="307" customWidth="1"/>
    <col min="15" max="15" width="17.75" style="307" customWidth="1"/>
    <col min="16" max="16" width="16.5" style="307" customWidth="1"/>
    <col min="17" max="17" width="12.125" style="307" customWidth="1"/>
    <col min="18" max="18" width="14.875" style="307" customWidth="1"/>
    <col min="19" max="19" width="16.375" style="307" customWidth="1"/>
    <col min="20" max="20" width="22.125" style="307" customWidth="1"/>
    <col min="21" max="21" width="21.125" style="307" customWidth="1"/>
    <col min="22" max="16384" width="9" style="307"/>
  </cols>
  <sheetData>
    <row r="1" spans="1:16" ht="18">
      <c r="B1" s="1691" t="s">
        <v>1174</v>
      </c>
      <c r="C1" s="1691"/>
      <c r="D1" s="1691"/>
      <c r="E1" s="1691"/>
      <c r="F1" s="1691"/>
      <c r="G1" s="1691"/>
      <c r="H1" s="1691"/>
      <c r="I1" s="1691"/>
    </row>
    <row r="3" spans="1:16" ht="29.25" customHeight="1">
      <c r="B3" s="1727" t="s">
        <v>731</v>
      </c>
      <c r="C3" s="1728"/>
      <c r="D3" s="1728"/>
      <c r="E3" s="1728"/>
      <c r="F3" s="1728"/>
      <c r="G3" s="1728"/>
      <c r="H3" s="1728"/>
      <c r="I3" s="1728"/>
      <c r="J3" s="1729"/>
    </row>
    <row r="4" spans="1:16" ht="15">
      <c r="A4" s="1"/>
      <c r="B4" s="855"/>
      <c r="C4" s="855"/>
      <c r="D4" s="855"/>
      <c r="E4" s="855"/>
      <c r="F4" s="855"/>
      <c r="G4" s="855"/>
      <c r="H4" s="855"/>
      <c r="I4" s="855"/>
      <c r="J4" s="855"/>
      <c r="L4" s="1"/>
      <c r="M4" s="1"/>
      <c r="N4" s="1"/>
      <c r="O4" s="1"/>
      <c r="P4" s="1"/>
    </row>
    <row r="5" spans="1:16" ht="22.5" customHeight="1">
      <c r="A5" s="1"/>
      <c r="B5" s="1756" t="s">
        <v>1052</v>
      </c>
      <c r="C5" s="1757"/>
      <c r="D5" s="1757"/>
      <c r="E5" s="1757"/>
      <c r="F5" s="1757"/>
      <c r="G5" s="1757"/>
      <c r="H5" s="1757"/>
      <c r="I5" s="1757"/>
      <c r="J5" s="1758"/>
      <c r="L5" s="1"/>
      <c r="M5" s="1"/>
      <c r="N5" s="1"/>
      <c r="O5" s="1"/>
      <c r="P5" s="1"/>
    </row>
    <row r="6" spans="1:16" ht="15">
      <c r="A6" s="1"/>
      <c r="B6" s="469"/>
      <c r="C6" s="469"/>
      <c r="D6" s="469"/>
      <c r="E6" s="469"/>
      <c r="F6" s="469"/>
      <c r="G6" s="469"/>
      <c r="H6" s="469"/>
      <c r="I6" s="472"/>
      <c r="J6" s="471"/>
      <c r="L6" s="1"/>
      <c r="M6" s="1"/>
      <c r="N6" s="1"/>
      <c r="O6" s="1"/>
      <c r="P6" s="1"/>
    </row>
    <row r="7" spans="1:16" ht="15.75">
      <c r="A7" s="1"/>
      <c r="B7" s="470" t="s">
        <v>1</v>
      </c>
      <c r="C7" s="469"/>
      <c r="D7" s="469"/>
      <c r="E7" s="469"/>
      <c r="F7" s="471"/>
      <c r="G7" s="469"/>
      <c r="H7" s="469"/>
      <c r="I7" s="472"/>
      <c r="J7" s="471"/>
      <c r="L7" s="1"/>
      <c r="M7" s="1"/>
      <c r="N7" s="1"/>
      <c r="O7" s="1"/>
      <c r="P7" s="1"/>
    </row>
    <row r="8" spans="1:16" ht="20.25">
      <c r="A8" s="1"/>
      <c r="B8" s="1307" t="s">
        <v>1921</v>
      </c>
      <c r="C8" s="469"/>
      <c r="D8" s="469"/>
      <c r="E8" s="469"/>
      <c r="F8" s="471"/>
      <c r="G8" s="469"/>
      <c r="H8" s="469"/>
      <c r="I8" s="472"/>
      <c r="J8" s="471"/>
      <c r="K8" s="271"/>
      <c r="L8" s="1"/>
      <c r="M8" s="1"/>
      <c r="N8" s="1"/>
      <c r="O8" s="1"/>
      <c r="P8" s="1"/>
    </row>
    <row r="9" spans="1:16" ht="15.75">
      <c r="A9" s="1"/>
      <c r="B9" s="473" t="s">
        <v>1872</v>
      </c>
      <c r="C9" s="471"/>
      <c r="D9" s="474"/>
      <c r="E9" s="469"/>
      <c r="F9" s="469"/>
      <c r="G9" s="471"/>
      <c r="H9" s="471"/>
      <c r="I9" s="472"/>
      <c r="J9" s="471"/>
      <c r="K9" s="1"/>
      <c r="L9" s="1"/>
      <c r="M9" s="1"/>
      <c r="N9" s="1"/>
      <c r="O9" s="1"/>
      <c r="P9" s="1"/>
    </row>
    <row r="10" spans="1:16" ht="15.75">
      <c r="A10" s="1"/>
      <c r="B10" s="473" t="s">
        <v>1045</v>
      </c>
      <c r="C10" s="471"/>
      <c r="D10" s="474"/>
      <c r="E10" s="469"/>
      <c r="F10" s="469"/>
      <c r="G10" s="471"/>
      <c r="H10" s="471"/>
      <c r="I10" s="472"/>
      <c r="J10" s="471"/>
      <c r="K10" s="1"/>
      <c r="L10" s="1"/>
      <c r="M10" s="1"/>
      <c r="N10" s="1"/>
      <c r="O10" s="1"/>
      <c r="P10" s="1"/>
    </row>
    <row r="11" spans="1:16" ht="15">
      <c r="A11" s="1"/>
      <c r="B11" s="471" t="s">
        <v>696</v>
      </c>
      <c r="C11" s="471"/>
      <c r="D11" s="471"/>
      <c r="E11" s="471"/>
      <c r="F11" s="471"/>
      <c r="G11" s="471"/>
      <c r="H11" s="471"/>
      <c r="I11" s="472"/>
      <c r="J11" s="471"/>
      <c r="K11" s="1"/>
      <c r="L11" s="1"/>
      <c r="M11" s="1"/>
      <c r="N11" s="1"/>
      <c r="O11" s="1"/>
      <c r="P11" s="1"/>
    </row>
    <row r="12" spans="1:16" ht="18">
      <c r="A12" s="1"/>
      <c r="B12" s="475"/>
      <c r="C12" s="476"/>
      <c r="D12" s="474"/>
      <c r="E12" s="477"/>
      <c r="F12" s="471"/>
      <c r="G12" s="471"/>
      <c r="H12" s="157"/>
      <c r="I12" s="157"/>
      <c r="J12" s="471"/>
      <c r="K12" s="61"/>
      <c r="L12" s="1"/>
      <c r="M12" s="1"/>
      <c r="N12" s="1"/>
      <c r="O12" s="1"/>
      <c r="P12" s="1"/>
    </row>
    <row r="13" spans="1:16" ht="25.5" customHeight="1">
      <c r="A13" s="1"/>
      <c r="B13" s="475" t="s">
        <v>4</v>
      </c>
      <c r="C13" s="470" t="s">
        <v>5</v>
      </c>
      <c r="D13" s="474"/>
      <c r="E13" s="477"/>
      <c r="F13" s="471"/>
      <c r="G13" s="471"/>
      <c r="H13" s="157"/>
      <c r="I13" s="471"/>
      <c r="J13" s="471"/>
      <c r="K13" s="1"/>
      <c r="L13" s="1"/>
      <c r="M13" s="1"/>
      <c r="N13" s="1"/>
      <c r="O13" s="1"/>
      <c r="P13" s="1"/>
    </row>
    <row r="14" spans="1:16" ht="15" thickBot="1">
      <c r="A14" s="1"/>
      <c r="B14" s="1"/>
      <c r="C14" s="1"/>
      <c r="D14" s="1"/>
      <c r="E14" s="1"/>
      <c r="F14" s="1"/>
      <c r="G14" s="1"/>
      <c r="H14" s="25"/>
      <c r="I14" s="1"/>
      <c r="J14" s="1"/>
      <c r="K14" s="1"/>
      <c r="L14" s="1"/>
      <c r="M14" s="1"/>
      <c r="N14" s="1"/>
      <c r="O14" s="1"/>
      <c r="P14" s="1"/>
    </row>
    <row r="15" spans="1:16" ht="44.25" customHeight="1">
      <c r="A15" s="1662" t="s">
        <v>6</v>
      </c>
      <c r="B15" s="1673" t="s">
        <v>633</v>
      </c>
      <c r="C15" s="1676" t="s">
        <v>8</v>
      </c>
      <c r="D15" s="1676" t="s">
        <v>9</v>
      </c>
      <c r="E15" s="1656" t="s">
        <v>634</v>
      </c>
      <c r="F15" s="1656" t="s">
        <v>11</v>
      </c>
      <c r="G15" s="1676" t="s">
        <v>12</v>
      </c>
      <c r="H15" s="1656" t="s">
        <v>13</v>
      </c>
      <c r="I15" s="1695" t="s">
        <v>269</v>
      </c>
      <c r="J15" s="1656" t="s">
        <v>59</v>
      </c>
      <c r="K15" s="1713" t="s">
        <v>635</v>
      </c>
      <c r="L15" s="1725" t="s">
        <v>729</v>
      </c>
      <c r="M15" s="1719"/>
      <c r="N15" s="1719"/>
      <c r="O15" s="1726"/>
    </row>
    <row r="16" spans="1:16" ht="50.25" customHeight="1">
      <c r="A16" s="1663"/>
      <c r="B16" s="1674"/>
      <c r="C16" s="1677"/>
      <c r="D16" s="1677"/>
      <c r="E16" s="1657"/>
      <c r="F16" s="1657"/>
      <c r="G16" s="1677"/>
      <c r="H16" s="1657"/>
      <c r="I16" s="1802"/>
      <c r="J16" s="1657"/>
      <c r="K16" s="1714"/>
      <c r="L16" s="1679" t="s">
        <v>637</v>
      </c>
      <c r="M16" s="1654"/>
      <c r="N16" s="1654"/>
      <c r="O16" s="1680"/>
    </row>
    <row r="17" spans="1:15" ht="41.25" customHeight="1" thickBot="1">
      <c r="A17" s="1664"/>
      <c r="B17" s="1675"/>
      <c r="C17" s="1678"/>
      <c r="D17" s="1678"/>
      <c r="E17" s="1658"/>
      <c r="F17" s="1658"/>
      <c r="G17" s="1678"/>
      <c r="H17" s="1658"/>
      <c r="I17" s="1803"/>
      <c r="J17" s="1658"/>
      <c r="K17" s="1715"/>
      <c r="L17" s="367" t="s">
        <v>638</v>
      </c>
      <c r="M17" s="363" t="s">
        <v>639</v>
      </c>
      <c r="N17" s="363" t="s">
        <v>640</v>
      </c>
      <c r="O17" s="364" t="s">
        <v>16</v>
      </c>
    </row>
    <row r="18" spans="1:15" ht="18">
      <c r="A18" s="575" t="s">
        <v>26</v>
      </c>
      <c r="B18" s="365" t="s">
        <v>226</v>
      </c>
      <c r="C18" s="365" t="s">
        <v>711</v>
      </c>
      <c r="D18" s="365" t="s">
        <v>181</v>
      </c>
      <c r="E18" s="365">
        <v>32</v>
      </c>
      <c r="F18" s="365" t="s">
        <v>710</v>
      </c>
      <c r="G18" s="365" t="s">
        <v>711</v>
      </c>
      <c r="H18" s="715" t="s">
        <v>866</v>
      </c>
      <c r="I18" s="374">
        <v>108664</v>
      </c>
      <c r="J18" s="716" t="s">
        <v>65</v>
      </c>
      <c r="K18" s="440">
        <v>2</v>
      </c>
      <c r="L18" s="857"/>
      <c r="M18" s="858">
        <f>6900-5278</f>
        <v>1622</v>
      </c>
      <c r="N18" s="858">
        <f>12844-9812</f>
        <v>3032</v>
      </c>
      <c r="O18" s="859">
        <f>M18+N18</f>
        <v>4654</v>
      </c>
    </row>
    <row r="19" spans="1:15" ht="18">
      <c r="A19" s="575" t="s">
        <v>26</v>
      </c>
      <c r="B19" s="365" t="s">
        <v>226</v>
      </c>
      <c r="C19" s="365" t="s">
        <v>711</v>
      </c>
      <c r="D19" s="365" t="s">
        <v>181</v>
      </c>
      <c r="E19" s="365">
        <v>32</v>
      </c>
      <c r="F19" s="365" t="s">
        <v>710</v>
      </c>
      <c r="G19" s="365" t="s">
        <v>711</v>
      </c>
      <c r="H19" s="715" t="s">
        <v>867</v>
      </c>
      <c r="I19" s="374">
        <v>70958246</v>
      </c>
      <c r="J19" s="716" t="s">
        <v>65</v>
      </c>
      <c r="K19" s="440">
        <v>6</v>
      </c>
      <c r="L19" s="368"/>
      <c r="M19" s="366">
        <f>40352-32407</f>
        <v>7945</v>
      </c>
      <c r="N19" s="366">
        <f>105730-84128</f>
        <v>21602</v>
      </c>
      <c r="O19" s="369">
        <f>M19+N19</f>
        <v>29547</v>
      </c>
    </row>
    <row r="20" spans="1:15" ht="18">
      <c r="A20" s="575" t="s">
        <v>26</v>
      </c>
      <c r="B20" s="365" t="s">
        <v>619</v>
      </c>
      <c r="C20" s="365" t="s">
        <v>711</v>
      </c>
      <c r="D20" s="295"/>
      <c r="E20" s="365"/>
      <c r="F20" s="365" t="s">
        <v>710</v>
      </c>
      <c r="G20" s="365" t="s">
        <v>711</v>
      </c>
      <c r="H20" s="1025" t="s">
        <v>882</v>
      </c>
      <c r="I20" s="374">
        <v>907871</v>
      </c>
      <c r="J20" s="717" t="s">
        <v>28</v>
      </c>
      <c r="K20" s="440">
        <v>5</v>
      </c>
      <c r="L20" s="375">
        <f>2056-1642</f>
        <v>414</v>
      </c>
      <c r="M20" s="321"/>
      <c r="N20" s="321"/>
      <c r="O20" s="369">
        <f>L20</f>
        <v>414</v>
      </c>
    </row>
    <row r="21" spans="1:15" ht="29.25">
      <c r="A21" s="575" t="s">
        <v>26</v>
      </c>
      <c r="B21" s="365" t="s">
        <v>713</v>
      </c>
      <c r="C21" s="365" t="s">
        <v>711</v>
      </c>
      <c r="D21" s="365" t="s">
        <v>162</v>
      </c>
      <c r="E21" s="365">
        <v>6</v>
      </c>
      <c r="F21" s="365" t="s">
        <v>710</v>
      </c>
      <c r="G21" s="365" t="s">
        <v>711</v>
      </c>
      <c r="H21" s="1025" t="s">
        <v>872</v>
      </c>
      <c r="I21" s="374">
        <v>90599963</v>
      </c>
      <c r="J21" s="716" t="s">
        <v>65</v>
      </c>
      <c r="K21" s="440">
        <v>4</v>
      </c>
      <c r="L21" s="368"/>
      <c r="M21" s="366">
        <f>341*16</f>
        <v>5456</v>
      </c>
      <c r="N21" s="366">
        <f>281*18</f>
        <v>5058</v>
      </c>
      <c r="O21" s="369">
        <f>M21+N21</f>
        <v>10514</v>
      </c>
    </row>
    <row r="22" spans="1:15" ht="18">
      <c r="A22" s="575" t="s">
        <v>26</v>
      </c>
      <c r="B22" s="365" t="s">
        <v>169</v>
      </c>
      <c r="C22" s="365" t="s">
        <v>714</v>
      </c>
      <c r="D22" s="295"/>
      <c r="E22" s="365" t="s">
        <v>1685</v>
      </c>
      <c r="F22" s="365" t="s">
        <v>710</v>
      </c>
      <c r="G22" s="365" t="s">
        <v>711</v>
      </c>
      <c r="H22" s="715" t="s">
        <v>863</v>
      </c>
      <c r="I22" s="374">
        <v>70958867</v>
      </c>
      <c r="J22" s="716" t="s">
        <v>65</v>
      </c>
      <c r="K22" s="440">
        <v>6</v>
      </c>
      <c r="L22" s="368"/>
      <c r="M22" s="366">
        <f>1014-743</f>
        <v>271</v>
      </c>
      <c r="N22" s="366">
        <f>2245-1414</f>
        <v>831</v>
      </c>
      <c r="O22" s="369">
        <f>M22+N22</f>
        <v>1102</v>
      </c>
    </row>
    <row r="23" spans="1:15" ht="18">
      <c r="A23" s="575" t="s">
        <v>26</v>
      </c>
      <c r="B23" s="365" t="s">
        <v>658</v>
      </c>
      <c r="C23" s="365" t="s">
        <v>711</v>
      </c>
      <c r="D23" s="365" t="s">
        <v>715</v>
      </c>
      <c r="E23" s="365">
        <v>5</v>
      </c>
      <c r="F23" s="365" t="s">
        <v>710</v>
      </c>
      <c r="G23" s="365" t="s">
        <v>711</v>
      </c>
      <c r="H23" s="715" t="s">
        <v>869</v>
      </c>
      <c r="I23" s="374">
        <v>110527</v>
      </c>
      <c r="J23" s="716" t="s">
        <v>65</v>
      </c>
      <c r="K23" s="440">
        <v>1</v>
      </c>
      <c r="L23" s="368"/>
      <c r="M23" s="366">
        <f>156-137</f>
        <v>19</v>
      </c>
      <c r="N23" s="366">
        <f>308-274</f>
        <v>34</v>
      </c>
      <c r="O23" s="369">
        <f>M23+N23</f>
        <v>53</v>
      </c>
    </row>
    <row r="24" spans="1:15" ht="18">
      <c r="A24" s="575" t="s">
        <v>26</v>
      </c>
      <c r="B24" s="365" t="s">
        <v>658</v>
      </c>
      <c r="C24" s="365" t="s">
        <v>711</v>
      </c>
      <c r="D24" s="365" t="s">
        <v>715</v>
      </c>
      <c r="E24" s="365">
        <v>5</v>
      </c>
      <c r="F24" s="365" t="s">
        <v>710</v>
      </c>
      <c r="G24" s="365" t="s">
        <v>711</v>
      </c>
      <c r="H24" s="1025" t="s">
        <v>868</v>
      </c>
      <c r="I24" s="374">
        <v>17076135</v>
      </c>
      <c r="J24" s="717" t="s">
        <v>716</v>
      </c>
      <c r="K24" s="440"/>
      <c r="L24" s="371">
        <f>244-233</f>
        <v>11</v>
      </c>
      <c r="M24" s="321"/>
      <c r="N24" s="321"/>
      <c r="O24" s="372">
        <f>L24</f>
        <v>11</v>
      </c>
    </row>
    <row r="25" spans="1:15" ht="18">
      <c r="A25" s="575" t="s">
        <v>26</v>
      </c>
      <c r="B25" s="365" t="s">
        <v>658</v>
      </c>
      <c r="C25" s="365" t="s">
        <v>711</v>
      </c>
      <c r="D25" s="365" t="s">
        <v>717</v>
      </c>
      <c r="E25" s="365">
        <v>4</v>
      </c>
      <c r="F25" s="365" t="s">
        <v>710</v>
      </c>
      <c r="G25" s="365" t="s">
        <v>711</v>
      </c>
      <c r="H25" s="715" t="s">
        <v>865</v>
      </c>
      <c r="I25" s="374">
        <v>70958876</v>
      </c>
      <c r="J25" s="716" t="s">
        <v>65</v>
      </c>
      <c r="K25" s="440">
        <v>3</v>
      </c>
      <c r="L25" s="368"/>
      <c r="M25" s="366">
        <f>889-728</f>
        <v>161</v>
      </c>
      <c r="N25" s="366">
        <f>1968-1636</f>
        <v>332</v>
      </c>
      <c r="O25" s="370">
        <f>M25+N25</f>
        <v>493</v>
      </c>
    </row>
    <row r="26" spans="1:15" ht="35.25" customHeight="1">
      <c r="A26" s="575" t="s">
        <v>26</v>
      </c>
      <c r="B26" s="365" t="s">
        <v>1686</v>
      </c>
      <c r="C26" s="365" t="s">
        <v>720</v>
      </c>
      <c r="D26" s="295"/>
      <c r="E26" s="365">
        <v>4</v>
      </c>
      <c r="F26" s="365" t="s">
        <v>710</v>
      </c>
      <c r="G26" s="365" t="s">
        <v>711</v>
      </c>
      <c r="H26" s="715" t="s">
        <v>877</v>
      </c>
      <c r="I26" s="374">
        <v>329553</v>
      </c>
      <c r="J26" s="716" t="s">
        <v>65</v>
      </c>
      <c r="K26" s="440">
        <v>6.6</v>
      </c>
      <c r="L26" s="368"/>
      <c r="M26" s="366">
        <f>9182-5415</f>
        <v>3767</v>
      </c>
      <c r="N26" s="366">
        <f>38312-22284</f>
        <v>16028</v>
      </c>
      <c r="O26" s="370">
        <f t="shared" ref="O26:O31" si="0">M26+N26</f>
        <v>19795</v>
      </c>
    </row>
    <row r="27" spans="1:15" ht="35.25" customHeight="1">
      <c r="A27" s="575" t="s">
        <v>26</v>
      </c>
      <c r="B27" s="365" t="s">
        <v>870</v>
      </c>
      <c r="C27" s="365" t="s">
        <v>711</v>
      </c>
      <c r="D27" s="365" t="s">
        <v>722</v>
      </c>
      <c r="E27" s="365" t="s">
        <v>723</v>
      </c>
      <c r="F27" s="365" t="s">
        <v>710</v>
      </c>
      <c r="G27" s="365" t="s">
        <v>711</v>
      </c>
      <c r="H27" s="715" t="s">
        <v>871</v>
      </c>
      <c r="I27" s="374">
        <v>70958885</v>
      </c>
      <c r="J27" s="716" t="s">
        <v>65</v>
      </c>
      <c r="K27" s="440">
        <v>7</v>
      </c>
      <c r="L27" s="368"/>
      <c r="M27" s="366">
        <f>3666-2956</f>
        <v>710</v>
      </c>
      <c r="N27" s="366">
        <f>9485-7619</f>
        <v>1866</v>
      </c>
      <c r="O27" s="370">
        <f t="shared" si="0"/>
        <v>2576</v>
      </c>
    </row>
    <row r="28" spans="1:15" ht="35.25" customHeight="1">
      <c r="A28" s="575" t="s">
        <v>26</v>
      </c>
      <c r="B28" s="365" t="s">
        <v>873</v>
      </c>
      <c r="C28" s="365" t="s">
        <v>711</v>
      </c>
      <c r="D28" s="365" t="s">
        <v>724</v>
      </c>
      <c r="E28" s="365" t="s">
        <v>725</v>
      </c>
      <c r="F28" s="365" t="s">
        <v>710</v>
      </c>
      <c r="G28" s="365" t="s">
        <v>711</v>
      </c>
      <c r="H28" s="715" t="s">
        <v>874</v>
      </c>
      <c r="I28" s="374">
        <v>70510973</v>
      </c>
      <c r="J28" s="716" t="s">
        <v>65</v>
      </c>
      <c r="K28" s="440">
        <v>7</v>
      </c>
      <c r="L28" s="368"/>
      <c r="M28" s="366">
        <f>6666-5922</f>
        <v>744</v>
      </c>
      <c r="N28" s="366">
        <f>15481-13511</f>
        <v>1970</v>
      </c>
      <c r="O28" s="370">
        <f t="shared" si="0"/>
        <v>2714</v>
      </c>
    </row>
    <row r="29" spans="1:15" ht="35.25" customHeight="1">
      <c r="A29" s="575" t="s">
        <v>26</v>
      </c>
      <c r="B29" s="365" t="s">
        <v>875</v>
      </c>
      <c r="C29" s="365" t="s">
        <v>726</v>
      </c>
      <c r="D29" s="295"/>
      <c r="E29" s="365" t="s">
        <v>727</v>
      </c>
      <c r="F29" s="365" t="s">
        <v>710</v>
      </c>
      <c r="G29" s="365" t="s">
        <v>711</v>
      </c>
      <c r="H29" s="1025" t="s">
        <v>876</v>
      </c>
      <c r="I29" s="374">
        <v>70958873</v>
      </c>
      <c r="J29" s="716" t="s">
        <v>65</v>
      </c>
      <c r="K29" s="440">
        <v>11</v>
      </c>
      <c r="L29" s="368"/>
      <c r="M29" s="366">
        <f>5270-4071</f>
        <v>1199</v>
      </c>
      <c r="N29" s="366">
        <f>15305-11723</f>
        <v>3582</v>
      </c>
      <c r="O29" s="370">
        <f t="shared" si="0"/>
        <v>4781</v>
      </c>
    </row>
    <row r="30" spans="1:15" ht="29.25">
      <c r="A30" s="575" t="s">
        <v>26</v>
      </c>
      <c r="B30" s="365" t="s">
        <v>280</v>
      </c>
      <c r="C30" s="365" t="s">
        <v>712</v>
      </c>
      <c r="D30" s="295"/>
      <c r="E30" s="365" t="s">
        <v>1687</v>
      </c>
      <c r="F30" s="365" t="s">
        <v>710</v>
      </c>
      <c r="G30" s="365" t="s">
        <v>711</v>
      </c>
      <c r="H30" s="715" t="s">
        <v>864</v>
      </c>
      <c r="I30" s="374">
        <v>70850858</v>
      </c>
      <c r="J30" s="716" t="s">
        <v>65</v>
      </c>
      <c r="K30" s="440">
        <v>7</v>
      </c>
      <c r="L30" s="368"/>
      <c r="M30" s="366">
        <f>6523-4673</f>
        <v>1850</v>
      </c>
      <c r="N30" s="366">
        <f>22176-15925</f>
        <v>6251</v>
      </c>
      <c r="O30" s="370">
        <f t="shared" si="0"/>
        <v>8101</v>
      </c>
    </row>
    <row r="31" spans="1:15" ht="29.25">
      <c r="A31" s="575" t="s">
        <v>26</v>
      </c>
      <c r="B31" s="365" t="s">
        <v>613</v>
      </c>
      <c r="C31" s="365" t="s">
        <v>728</v>
      </c>
      <c r="D31" s="295"/>
      <c r="E31" s="365" t="s">
        <v>1688</v>
      </c>
      <c r="F31" s="365" t="s">
        <v>710</v>
      </c>
      <c r="G31" s="365" t="s">
        <v>711</v>
      </c>
      <c r="H31" s="715" t="s">
        <v>881</v>
      </c>
      <c r="I31" s="374">
        <v>4143429</v>
      </c>
      <c r="J31" s="718" t="s">
        <v>70</v>
      </c>
      <c r="K31" s="440">
        <v>34</v>
      </c>
      <c r="L31" s="368"/>
      <c r="M31" s="366">
        <f>(2002.57-847.97)*30</f>
        <v>34638</v>
      </c>
      <c r="N31" s="366">
        <f>(4708.55-1904.6)*30</f>
        <v>84118.500000000015</v>
      </c>
      <c r="O31" s="370">
        <f t="shared" si="0"/>
        <v>118756.50000000001</v>
      </c>
    </row>
    <row r="32" spans="1:15" ht="29.25">
      <c r="A32" s="575" t="s">
        <v>26</v>
      </c>
      <c r="B32" s="365" t="s">
        <v>280</v>
      </c>
      <c r="C32" s="365" t="s">
        <v>718</v>
      </c>
      <c r="D32" s="295"/>
      <c r="E32" s="365"/>
      <c r="F32" s="365" t="s">
        <v>710</v>
      </c>
      <c r="G32" s="365" t="s">
        <v>711</v>
      </c>
      <c r="H32" s="1026" t="s">
        <v>1185</v>
      </c>
      <c r="I32" s="374">
        <v>96069598</v>
      </c>
      <c r="J32" s="719" t="s">
        <v>719</v>
      </c>
      <c r="K32" s="440">
        <v>42</v>
      </c>
      <c r="L32" s="375">
        <f>990256-776824</f>
        <v>213432</v>
      </c>
      <c r="M32" s="321"/>
      <c r="N32" s="321"/>
      <c r="O32" s="370">
        <f>L32</f>
        <v>213432</v>
      </c>
    </row>
    <row r="33" spans="1:16" ht="30" customHeight="1">
      <c r="A33" s="603" t="s">
        <v>26</v>
      </c>
      <c r="B33" s="463" t="s">
        <v>660</v>
      </c>
      <c r="C33" s="112" t="s">
        <v>1129</v>
      </c>
      <c r="D33" s="183"/>
      <c r="E33" s="439"/>
      <c r="F33" s="365" t="s">
        <v>710</v>
      </c>
      <c r="G33" s="365" t="s">
        <v>711</v>
      </c>
      <c r="H33" s="715" t="s">
        <v>1208</v>
      </c>
      <c r="I33" s="439">
        <v>7233926</v>
      </c>
      <c r="J33" s="650" t="s">
        <v>28</v>
      </c>
      <c r="K33" s="856">
        <v>7</v>
      </c>
      <c r="L33" s="1260">
        <f>5179-4473</f>
        <v>706</v>
      </c>
      <c r="M33" s="637"/>
      <c r="N33" s="297"/>
      <c r="O33" s="298">
        <f>L33</f>
        <v>706</v>
      </c>
    </row>
    <row r="34" spans="1:16" ht="30" customHeight="1">
      <c r="A34" s="603" t="s">
        <v>26</v>
      </c>
      <c r="B34" s="724" t="s">
        <v>660</v>
      </c>
      <c r="C34" s="112" t="s">
        <v>1128</v>
      </c>
      <c r="D34" s="183"/>
      <c r="E34" s="725">
        <v>16</v>
      </c>
      <c r="F34" s="365" t="s">
        <v>710</v>
      </c>
      <c r="G34" s="365" t="s">
        <v>711</v>
      </c>
      <c r="H34" s="715" t="s">
        <v>1209</v>
      </c>
      <c r="I34" s="439">
        <v>218085</v>
      </c>
      <c r="J34" s="650" t="s">
        <v>28</v>
      </c>
      <c r="K34" s="856">
        <v>6.6</v>
      </c>
      <c r="L34" s="1260">
        <f>2068-1642</f>
        <v>426</v>
      </c>
      <c r="M34" s="637"/>
      <c r="N34" s="297"/>
      <c r="O34" s="298">
        <f>L34</f>
        <v>426</v>
      </c>
    </row>
    <row r="35" spans="1:16" ht="30" customHeight="1">
      <c r="A35" s="603" t="s">
        <v>26</v>
      </c>
      <c r="B35" s="724" t="s">
        <v>660</v>
      </c>
      <c r="C35" s="227" t="s">
        <v>709</v>
      </c>
      <c r="D35" s="183"/>
      <c r="E35" s="439"/>
      <c r="F35" s="365" t="s">
        <v>710</v>
      </c>
      <c r="G35" s="365" t="s">
        <v>711</v>
      </c>
      <c r="H35" s="715" t="s">
        <v>1210</v>
      </c>
      <c r="I35" s="439">
        <v>218082</v>
      </c>
      <c r="J35" s="650" t="s">
        <v>28</v>
      </c>
      <c r="K35" s="856">
        <v>10</v>
      </c>
      <c r="L35" s="1260">
        <f>1844-674</f>
        <v>1170</v>
      </c>
      <c r="M35" s="637"/>
      <c r="N35" s="297"/>
      <c r="O35" s="298">
        <f>L35</f>
        <v>1170</v>
      </c>
    </row>
    <row r="36" spans="1:16" ht="30" customHeight="1">
      <c r="A36" s="603" t="s">
        <v>26</v>
      </c>
      <c r="B36" s="724" t="s">
        <v>660</v>
      </c>
      <c r="C36" s="724" t="s">
        <v>721</v>
      </c>
      <c r="D36" s="1264"/>
      <c r="E36" s="724">
        <v>20</v>
      </c>
      <c r="F36" s="724" t="s">
        <v>710</v>
      </c>
      <c r="G36" s="724" t="s">
        <v>711</v>
      </c>
      <c r="H36" s="715" t="s">
        <v>1186</v>
      </c>
      <c r="I36" s="374">
        <v>218084</v>
      </c>
      <c r="J36" s="720" t="s">
        <v>28</v>
      </c>
      <c r="K36" s="440">
        <v>6.6</v>
      </c>
      <c r="L36" s="840">
        <f>37642-20362</f>
        <v>17280</v>
      </c>
      <c r="M36" s="321"/>
      <c r="N36" s="321"/>
      <c r="O36" s="235">
        <f>L36</f>
        <v>17280</v>
      </c>
    </row>
    <row r="37" spans="1:16" ht="30" customHeight="1">
      <c r="A37" s="575" t="s">
        <v>26</v>
      </c>
      <c r="B37" s="724" t="s">
        <v>1784</v>
      </c>
      <c r="C37" s="200" t="s">
        <v>712</v>
      </c>
      <c r="D37" s="253"/>
      <c r="E37" s="1493"/>
      <c r="F37" s="365" t="s">
        <v>710</v>
      </c>
      <c r="G37" s="365" t="s">
        <v>711</v>
      </c>
      <c r="H37" s="715" t="s">
        <v>1785</v>
      </c>
      <c r="I37" s="1491">
        <v>70958858</v>
      </c>
      <c r="J37" s="1494" t="s">
        <v>65</v>
      </c>
      <c r="K37" s="1495">
        <v>9</v>
      </c>
      <c r="L37" s="637"/>
      <c r="M37" s="1263">
        <f>160*15</f>
        <v>2400</v>
      </c>
      <c r="N37" s="322">
        <f>392*15</f>
        <v>5880</v>
      </c>
      <c r="O37" s="322">
        <f>SUM(M37:N37)</f>
        <v>8280</v>
      </c>
    </row>
    <row r="38" spans="1:16" ht="30" customHeight="1" thickBot="1">
      <c r="A38" s="575" t="s">
        <v>26</v>
      </c>
      <c r="B38" s="365" t="s">
        <v>1490</v>
      </c>
      <c r="C38" s="900" t="s">
        <v>712</v>
      </c>
      <c r="D38" s="900" t="s">
        <v>54</v>
      </c>
      <c r="E38" s="900"/>
      <c r="F38" s="900" t="s">
        <v>710</v>
      </c>
      <c r="G38" s="900" t="s">
        <v>711</v>
      </c>
      <c r="H38" s="715" t="s">
        <v>1786</v>
      </c>
      <c r="I38" s="23">
        <v>90599966</v>
      </c>
      <c r="J38" s="1496" t="s">
        <v>65</v>
      </c>
      <c r="K38" s="1497">
        <v>20</v>
      </c>
      <c r="L38" s="172"/>
      <c r="M38" s="902">
        <f>(2636-905)*2</f>
        <v>3462</v>
      </c>
      <c r="N38" s="902">
        <f>(5836-2078)*2</f>
        <v>7516</v>
      </c>
      <c r="O38" s="902">
        <f>M38+N38</f>
        <v>10978</v>
      </c>
    </row>
    <row r="39" spans="1:16" ht="48.75" customHeight="1" thickBot="1">
      <c r="B39" s="1269" t="s">
        <v>22</v>
      </c>
      <c r="C39" s="1270" t="s">
        <v>708</v>
      </c>
      <c r="D39" s="1271"/>
      <c r="E39" s="361"/>
      <c r="F39" s="361"/>
      <c r="G39" s="1622" t="s">
        <v>1920</v>
      </c>
      <c r="H39" s="1492" t="s">
        <v>708</v>
      </c>
      <c r="I39" s="361"/>
      <c r="J39" s="361"/>
      <c r="K39" s="361"/>
      <c r="L39" s="361"/>
      <c r="M39" s="361"/>
      <c r="N39" s="373" t="s">
        <v>62</v>
      </c>
      <c r="O39" s="1047">
        <f>SUM(O18:O38)</f>
        <v>455783.5</v>
      </c>
    </row>
    <row r="40" spans="1:16" ht="15">
      <c r="B40" s="604"/>
      <c r="C40" s="1272" t="s">
        <v>1057</v>
      </c>
      <c r="D40" s="1271"/>
      <c r="E40" s="361"/>
      <c r="F40" s="361"/>
      <c r="G40" s="244"/>
      <c r="H40" s="1284" t="s">
        <v>1057</v>
      </c>
      <c r="I40" s="361"/>
      <c r="J40" s="361"/>
      <c r="K40" s="361"/>
      <c r="L40" s="361"/>
      <c r="M40" s="361"/>
      <c r="P40" s="429"/>
    </row>
    <row r="41" spans="1:16" ht="15.75" thickBot="1">
      <c r="B41" s="604"/>
      <c r="C41" s="1272" t="s">
        <v>1058</v>
      </c>
      <c r="D41" s="1271"/>
      <c r="E41" s="361"/>
      <c r="F41" s="361"/>
      <c r="G41" s="248"/>
      <c r="H41" s="1280" t="s">
        <v>1058</v>
      </c>
      <c r="I41" s="361"/>
      <c r="J41" s="361"/>
      <c r="K41" s="361"/>
      <c r="L41" s="361"/>
      <c r="M41" s="361"/>
      <c r="P41" s="429"/>
    </row>
    <row r="42" spans="1:16" ht="15">
      <c r="B42" s="1269" t="s">
        <v>160</v>
      </c>
      <c r="C42" s="1272">
        <v>8222147156</v>
      </c>
      <c r="D42" s="1271"/>
      <c r="E42" s="361"/>
      <c r="F42" s="361"/>
      <c r="G42" s="361"/>
      <c r="H42" s="361"/>
      <c r="I42" s="361"/>
      <c r="J42" s="361"/>
      <c r="K42" s="361"/>
      <c r="L42" s="361"/>
      <c r="M42" s="361"/>
      <c r="P42" s="429"/>
    </row>
    <row r="43" spans="1:16" ht="15.75" thickBot="1">
      <c r="B43" s="1273" t="s">
        <v>1061</v>
      </c>
      <c r="C43" s="1274" t="s">
        <v>1126</v>
      </c>
      <c r="D43" s="1275"/>
      <c r="E43" s="361"/>
      <c r="F43" s="361"/>
      <c r="G43" s="361"/>
      <c r="H43" s="361"/>
      <c r="I43" s="361"/>
      <c r="J43" s="361"/>
      <c r="K43" s="361"/>
      <c r="L43" s="361"/>
      <c r="M43" s="361"/>
      <c r="P43" s="429"/>
    </row>
    <row r="44" spans="1:16" ht="15">
      <c r="B44" s="1027"/>
      <c r="C44" s="335"/>
      <c r="D44" s="633"/>
      <c r="E44" s="361"/>
      <c r="F44" s="361"/>
      <c r="G44" s="361"/>
      <c r="H44" s="361"/>
      <c r="I44" s="361"/>
      <c r="J44" s="361"/>
      <c r="K44" s="361"/>
      <c r="L44" s="361"/>
      <c r="M44" s="361"/>
      <c r="P44" s="429"/>
    </row>
    <row r="45" spans="1:16" ht="15">
      <c r="B45" s="1027"/>
      <c r="C45" s="335"/>
      <c r="D45" s="633"/>
      <c r="E45" s="361"/>
      <c r="F45" s="361"/>
      <c r="G45" s="361"/>
      <c r="H45" s="361"/>
      <c r="I45" s="361"/>
      <c r="J45" s="361"/>
      <c r="K45" s="361"/>
      <c r="L45" s="361"/>
      <c r="M45" s="361"/>
      <c r="P45" s="429"/>
    </row>
    <row r="46" spans="1:16" ht="15.75" thickBot="1">
      <c r="B46" s="1027"/>
      <c r="C46" s="335"/>
      <c r="D46" s="633"/>
      <c r="E46" s="361"/>
      <c r="F46" s="361"/>
      <c r="G46" s="361"/>
      <c r="H46" s="361"/>
      <c r="I46" s="361"/>
      <c r="J46" s="361"/>
      <c r="K46" s="361"/>
      <c r="L46" s="361"/>
      <c r="M46" s="361"/>
      <c r="P46" s="429"/>
    </row>
    <row r="47" spans="1:16" ht="35.25" customHeight="1">
      <c r="A47" s="1662" t="s">
        <v>6</v>
      </c>
      <c r="B47" s="1673" t="s">
        <v>633</v>
      </c>
      <c r="C47" s="1676" t="s">
        <v>8</v>
      </c>
      <c r="D47" s="1676" t="s">
        <v>9</v>
      </c>
      <c r="E47" s="1656" t="s">
        <v>634</v>
      </c>
      <c r="F47" s="1656" t="s">
        <v>11</v>
      </c>
      <c r="G47" s="1676" t="s">
        <v>12</v>
      </c>
      <c r="H47" s="1656" t="s">
        <v>13</v>
      </c>
      <c r="I47" s="1695" t="s">
        <v>269</v>
      </c>
      <c r="J47" s="1656" t="s">
        <v>59</v>
      </c>
      <c r="K47" s="1713" t="s">
        <v>635</v>
      </c>
      <c r="L47" s="1725" t="s">
        <v>729</v>
      </c>
      <c r="M47" s="1719"/>
      <c r="N47" s="1719"/>
      <c r="O47" s="1726"/>
      <c r="P47" s="429"/>
    </row>
    <row r="48" spans="1:16" ht="35.25" customHeight="1">
      <c r="A48" s="1663"/>
      <c r="B48" s="1674"/>
      <c r="C48" s="1677"/>
      <c r="D48" s="1677"/>
      <c r="E48" s="1657"/>
      <c r="F48" s="1657"/>
      <c r="G48" s="1677"/>
      <c r="H48" s="1657"/>
      <c r="I48" s="1802"/>
      <c r="J48" s="1657"/>
      <c r="K48" s="1714"/>
      <c r="L48" s="1679" t="s">
        <v>637</v>
      </c>
      <c r="M48" s="1654"/>
      <c r="N48" s="1654"/>
      <c r="O48" s="1680"/>
      <c r="P48" s="429"/>
    </row>
    <row r="49" spans="1:16" ht="35.25" customHeight="1" thickBot="1">
      <c r="A49" s="1664"/>
      <c r="B49" s="1675"/>
      <c r="C49" s="1678"/>
      <c r="D49" s="1678"/>
      <c r="E49" s="1658"/>
      <c r="F49" s="1658"/>
      <c r="G49" s="1678"/>
      <c r="H49" s="1658"/>
      <c r="I49" s="1803"/>
      <c r="J49" s="1658"/>
      <c r="K49" s="1715"/>
      <c r="L49" s="571" t="s">
        <v>638</v>
      </c>
      <c r="M49" s="1156" t="s">
        <v>639</v>
      </c>
      <c r="N49" s="1156" t="s">
        <v>640</v>
      </c>
      <c r="O49" s="1157" t="s">
        <v>16</v>
      </c>
      <c r="P49" s="429"/>
    </row>
    <row r="50" spans="1:16" ht="36.75" customHeight="1" thickBot="1">
      <c r="A50" s="601" t="s">
        <v>26</v>
      </c>
      <c r="B50" s="1029" t="s">
        <v>879</v>
      </c>
      <c r="C50" s="1029" t="s">
        <v>711</v>
      </c>
      <c r="D50" s="1029" t="s">
        <v>162</v>
      </c>
      <c r="E50" s="1029">
        <v>4</v>
      </c>
      <c r="F50" s="1029" t="s">
        <v>710</v>
      </c>
      <c r="G50" s="1029" t="s">
        <v>711</v>
      </c>
      <c r="H50" s="1025" t="s">
        <v>880</v>
      </c>
      <c r="I50" s="1031">
        <v>4143428</v>
      </c>
      <c r="J50" s="481" t="s">
        <v>70</v>
      </c>
      <c r="K50" s="1265">
        <v>80</v>
      </c>
      <c r="L50" s="1262"/>
      <c r="M50" s="252">
        <f>(2381.55-1326.11)*40</f>
        <v>42217.600000000013</v>
      </c>
      <c r="N50" s="252">
        <f>(4716.26-2274.59)*40</f>
        <v>97666.8</v>
      </c>
      <c r="O50" s="1266">
        <f>M50+N50</f>
        <v>139884.40000000002</v>
      </c>
      <c r="P50" s="429"/>
    </row>
    <row r="51" spans="1:16" ht="54" customHeight="1" thickBot="1">
      <c r="B51" s="1269" t="s">
        <v>22</v>
      </c>
      <c r="C51" s="1270" t="s">
        <v>708</v>
      </c>
      <c r="D51" s="1271"/>
      <c r="E51" s="635"/>
      <c r="G51" s="1622" t="s">
        <v>1920</v>
      </c>
      <c r="H51" s="1270" t="s">
        <v>1696</v>
      </c>
      <c r="I51" s="1282"/>
      <c r="J51" s="361"/>
      <c r="K51" s="361"/>
      <c r="L51" s="361"/>
      <c r="M51" s="361"/>
      <c r="N51" s="373" t="s">
        <v>62</v>
      </c>
      <c r="O51" s="1047">
        <f>O50</f>
        <v>139884.40000000002</v>
      </c>
      <c r="P51" s="429"/>
    </row>
    <row r="52" spans="1:16" ht="15">
      <c r="B52" s="604"/>
      <c r="C52" s="1272" t="s">
        <v>1057</v>
      </c>
      <c r="D52" s="1271"/>
      <c r="E52" s="635"/>
      <c r="G52" s="1277"/>
      <c r="H52" s="1261" t="s">
        <v>1692</v>
      </c>
      <c r="I52" s="1282"/>
      <c r="J52" s="361"/>
      <c r="K52" s="361"/>
      <c r="L52" s="361"/>
      <c r="M52" s="361"/>
      <c r="P52" s="429"/>
    </row>
    <row r="53" spans="1:16" ht="15.75" thickBot="1">
      <c r="B53" s="604"/>
      <c r="C53" s="1272" t="s">
        <v>1058</v>
      </c>
      <c r="D53" s="1271"/>
      <c r="E53" s="1113"/>
      <c r="G53" s="1279"/>
      <c r="H53" s="1274" t="s">
        <v>1693</v>
      </c>
      <c r="I53" s="1283"/>
      <c r="J53" s="361"/>
      <c r="K53" s="361"/>
      <c r="L53" s="361"/>
      <c r="M53" s="361"/>
      <c r="P53" s="429"/>
    </row>
    <row r="54" spans="1:16" ht="15">
      <c r="B54" s="1269" t="s">
        <v>160</v>
      </c>
      <c r="C54" s="1272">
        <v>8222147156</v>
      </c>
      <c r="D54" s="1271"/>
      <c r="H54" s="361"/>
      <c r="I54" s="361"/>
      <c r="J54" s="361"/>
      <c r="K54" s="361"/>
      <c r="L54" s="361"/>
      <c r="M54" s="361"/>
      <c r="P54" s="429"/>
    </row>
    <row r="55" spans="1:16" ht="15.75" thickBot="1">
      <c r="B55" s="1273" t="s">
        <v>1061</v>
      </c>
      <c r="C55" s="1274" t="s">
        <v>1126</v>
      </c>
      <c r="D55" s="1275"/>
      <c r="H55" s="361"/>
      <c r="I55" s="361"/>
      <c r="J55" s="361"/>
      <c r="K55" s="361"/>
      <c r="L55" s="361"/>
      <c r="M55" s="361"/>
      <c r="P55" s="429"/>
    </row>
    <row r="56" spans="1:16" ht="15">
      <c r="B56" s="1027"/>
      <c r="C56" s="335"/>
      <c r="D56" s="633"/>
      <c r="H56" s="361"/>
      <c r="I56" s="361"/>
      <c r="J56" s="361"/>
      <c r="K56" s="361"/>
      <c r="L56" s="361"/>
      <c r="M56" s="361"/>
      <c r="P56" s="429"/>
    </row>
    <row r="57" spans="1:16" ht="15.75" thickBot="1">
      <c r="B57" s="1027"/>
      <c r="C57" s="335"/>
      <c r="D57" s="633"/>
      <c r="E57" s="361"/>
      <c r="F57" s="361"/>
      <c r="G57" s="361"/>
      <c r="H57" s="361"/>
      <c r="I57" s="361"/>
      <c r="J57" s="361"/>
      <c r="K57" s="361"/>
      <c r="L57" s="361"/>
      <c r="M57" s="361"/>
      <c r="P57" s="429"/>
    </row>
    <row r="58" spans="1:16" ht="37.5" customHeight="1">
      <c r="A58" s="1662" t="s">
        <v>6</v>
      </c>
      <c r="B58" s="1673" t="s">
        <v>633</v>
      </c>
      <c r="C58" s="1676" t="s">
        <v>8</v>
      </c>
      <c r="D58" s="1676" t="s">
        <v>9</v>
      </c>
      <c r="E58" s="1656" t="s">
        <v>634</v>
      </c>
      <c r="F58" s="1656" t="s">
        <v>11</v>
      </c>
      <c r="G58" s="1676" t="s">
        <v>12</v>
      </c>
      <c r="H58" s="1656" t="s">
        <v>13</v>
      </c>
      <c r="I58" s="1695" t="s">
        <v>269</v>
      </c>
      <c r="J58" s="1656" t="s">
        <v>59</v>
      </c>
      <c r="K58" s="1713" t="s">
        <v>635</v>
      </c>
      <c r="L58" s="1725" t="s">
        <v>729</v>
      </c>
      <c r="M58" s="1719"/>
      <c r="N58" s="1719"/>
      <c r="O58" s="1726"/>
      <c r="P58" s="429"/>
    </row>
    <row r="59" spans="1:16" ht="37.5" customHeight="1">
      <c r="A59" s="1663"/>
      <c r="B59" s="1674"/>
      <c r="C59" s="1677"/>
      <c r="D59" s="1677"/>
      <c r="E59" s="1657"/>
      <c r="F59" s="1657"/>
      <c r="G59" s="1677"/>
      <c r="H59" s="1657"/>
      <c r="I59" s="1802"/>
      <c r="J59" s="1657"/>
      <c r="K59" s="1714"/>
      <c r="L59" s="1679" t="s">
        <v>637</v>
      </c>
      <c r="M59" s="1654"/>
      <c r="N59" s="1654"/>
      <c r="O59" s="1680"/>
      <c r="P59" s="429"/>
    </row>
    <row r="60" spans="1:16" ht="37.5" customHeight="1" thickBot="1">
      <c r="A60" s="1664"/>
      <c r="B60" s="1675"/>
      <c r="C60" s="1678"/>
      <c r="D60" s="1678"/>
      <c r="E60" s="1658"/>
      <c r="F60" s="1658"/>
      <c r="G60" s="1678"/>
      <c r="H60" s="1658"/>
      <c r="I60" s="1803"/>
      <c r="J60" s="1658"/>
      <c r="K60" s="1715"/>
      <c r="L60" s="571" t="s">
        <v>638</v>
      </c>
      <c r="M60" s="1156" t="s">
        <v>639</v>
      </c>
      <c r="N60" s="1156" t="s">
        <v>640</v>
      </c>
      <c r="O60" s="1157" t="s">
        <v>16</v>
      </c>
      <c r="P60" s="429"/>
    </row>
    <row r="61" spans="1:16" ht="33" customHeight="1" thickBot="1">
      <c r="A61" s="601" t="s">
        <v>26</v>
      </c>
      <c r="B61" s="1029" t="s">
        <v>1689</v>
      </c>
      <c r="C61" s="1029" t="s">
        <v>712</v>
      </c>
      <c r="D61" s="373" t="s">
        <v>162</v>
      </c>
      <c r="E61" s="1029">
        <v>16</v>
      </c>
      <c r="F61" s="1029" t="s">
        <v>710</v>
      </c>
      <c r="G61" s="1032" t="s">
        <v>711</v>
      </c>
      <c r="H61" s="1112" t="s">
        <v>878</v>
      </c>
      <c r="I61" s="1031">
        <v>4145123</v>
      </c>
      <c r="J61" s="481" t="s">
        <v>70</v>
      </c>
      <c r="K61" s="1265">
        <v>65</v>
      </c>
      <c r="L61" s="1262"/>
      <c r="M61" s="252">
        <f>(7732.65-6888.77)*30</f>
        <v>25316.399999999976</v>
      </c>
      <c r="N61" s="252">
        <f>(12533.55-11068.92)*30</f>
        <v>43938.89999999998</v>
      </c>
      <c r="O61" s="1266">
        <f>M61+N61</f>
        <v>69255.299999999959</v>
      </c>
      <c r="P61" s="429"/>
    </row>
    <row r="62" spans="1:16" ht="45.75" customHeight="1" thickBot="1">
      <c r="B62" s="1269" t="s">
        <v>22</v>
      </c>
      <c r="C62" s="1270" t="s">
        <v>708</v>
      </c>
      <c r="D62" s="1271"/>
      <c r="G62" s="1622" t="s">
        <v>1920</v>
      </c>
      <c r="H62" s="1276" t="s">
        <v>1694</v>
      </c>
      <c r="I62" s="361"/>
      <c r="J62" s="361"/>
      <c r="K62" s="361"/>
      <c r="L62" s="361"/>
      <c r="M62" s="361"/>
      <c r="N62" s="373" t="s">
        <v>62</v>
      </c>
      <c r="O62" s="1047">
        <f>O61</f>
        <v>69255.299999999959</v>
      </c>
      <c r="P62" s="429"/>
    </row>
    <row r="63" spans="1:16" ht="15">
      <c r="B63" s="604"/>
      <c r="C63" s="1272" t="s">
        <v>1057</v>
      </c>
      <c r="D63" s="1271"/>
      <c r="G63" s="1277"/>
      <c r="H63" s="1278" t="s">
        <v>1695</v>
      </c>
      <c r="I63" s="361"/>
      <c r="J63" s="361"/>
      <c r="K63" s="361"/>
      <c r="L63" s="361"/>
      <c r="M63" s="361"/>
      <c r="P63" s="429"/>
    </row>
    <row r="64" spans="1:16" ht="15.75" thickBot="1">
      <c r="B64" s="604"/>
      <c r="C64" s="1272" t="s">
        <v>1058</v>
      </c>
      <c r="D64" s="1271"/>
      <c r="G64" s="1279"/>
      <c r="H64" s="1280" t="s">
        <v>1693</v>
      </c>
      <c r="I64" s="361"/>
      <c r="J64" s="361"/>
      <c r="K64" s="361"/>
      <c r="L64" s="361"/>
      <c r="M64" s="361"/>
      <c r="P64" s="429"/>
    </row>
    <row r="65" spans="1:21" ht="15">
      <c r="B65" s="1269" t="s">
        <v>160</v>
      </c>
      <c r="C65" s="1272">
        <v>8222147156</v>
      </c>
      <c r="D65" s="1271"/>
      <c r="H65" s="361"/>
      <c r="I65" s="361"/>
      <c r="J65" s="361"/>
      <c r="K65" s="361"/>
      <c r="L65" s="361"/>
      <c r="M65" s="361"/>
      <c r="P65" s="429"/>
    </row>
    <row r="66" spans="1:21" ht="15.75" thickBot="1">
      <c r="B66" s="1273" t="s">
        <v>1061</v>
      </c>
      <c r="C66" s="1274" t="s">
        <v>1126</v>
      </c>
      <c r="D66" s="1275"/>
      <c r="H66" s="361"/>
      <c r="I66" s="361"/>
      <c r="J66" s="361"/>
      <c r="K66" s="361"/>
      <c r="L66" s="361"/>
      <c r="M66" s="361"/>
      <c r="P66" s="429"/>
    </row>
    <row r="67" spans="1:21" ht="15">
      <c r="B67" s="1027"/>
      <c r="C67" s="335"/>
      <c r="D67" s="633"/>
      <c r="H67" s="361"/>
      <c r="I67" s="361"/>
      <c r="J67" s="361"/>
      <c r="K67" s="361"/>
      <c r="L67" s="361"/>
      <c r="M67" s="361"/>
      <c r="P67" s="429"/>
    </row>
    <row r="68" spans="1:21" ht="15.75" thickBot="1">
      <c r="B68" s="1027"/>
      <c r="C68" s="335"/>
      <c r="D68" s="633"/>
      <c r="E68" s="361"/>
      <c r="F68" s="361"/>
      <c r="G68" s="361"/>
      <c r="H68" s="361"/>
      <c r="I68" s="361"/>
      <c r="J68" s="361"/>
      <c r="K68" s="361"/>
      <c r="L68" s="361"/>
      <c r="M68" s="361"/>
      <c r="P68" s="429"/>
    </row>
    <row r="69" spans="1:21" ht="36.75" customHeight="1">
      <c r="A69" s="1662" t="s">
        <v>6</v>
      </c>
      <c r="B69" s="1673" t="s">
        <v>633</v>
      </c>
      <c r="C69" s="1676" t="s">
        <v>8</v>
      </c>
      <c r="D69" s="1676" t="s">
        <v>9</v>
      </c>
      <c r="E69" s="1656" t="s">
        <v>634</v>
      </c>
      <c r="F69" s="1656" t="s">
        <v>11</v>
      </c>
      <c r="G69" s="1676" t="s">
        <v>12</v>
      </c>
      <c r="H69" s="1656" t="s">
        <v>13</v>
      </c>
      <c r="I69" s="1695" t="s">
        <v>269</v>
      </c>
      <c r="J69" s="1656" t="s">
        <v>59</v>
      </c>
      <c r="K69" s="1713" t="s">
        <v>635</v>
      </c>
      <c r="L69" s="1725" t="s">
        <v>729</v>
      </c>
      <c r="M69" s="1719"/>
      <c r="N69" s="1719"/>
      <c r="O69" s="1726"/>
      <c r="P69" s="429"/>
    </row>
    <row r="70" spans="1:21" ht="36.75" customHeight="1">
      <c r="A70" s="1663"/>
      <c r="B70" s="1674"/>
      <c r="C70" s="1677"/>
      <c r="D70" s="1677"/>
      <c r="E70" s="1657"/>
      <c r="F70" s="1657"/>
      <c r="G70" s="1677"/>
      <c r="H70" s="1657"/>
      <c r="I70" s="1802"/>
      <c r="J70" s="1657"/>
      <c r="K70" s="1714"/>
      <c r="L70" s="1679" t="s">
        <v>637</v>
      </c>
      <c r="M70" s="1654"/>
      <c r="N70" s="1654"/>
      <c r="O70" s="1680"/>
      <c r="P70" s="429"/>
    </row>
    <row r="71" spans="1:21" ht="36.75" customHeight="1" thickBot="1">
      <c r="A71" s="1664"/>
      <c r="B71" s="1675"/>
      <c r="C71" s="1678"/>
      <c r="D71" s="1678"/>
      <c r="E71" s="1658"/>
      <c r="F71" s="1658"/>
      <c r="G71" s="1678"/>
      <c r="H71" s="1658"/>
      <c r="I71" s="1803"/>
      <c r="J71" s="1658"/>
      <c r="K71" s="1715"/>
      <c r="L71" s="571" t="s">
        <v>638</v>
      </c>
      <c r="M71" s="1156" t="s">
        <v>639</v>
      </c>
      <c r="N71" s="1156" t="s">
        <v>640</v>
      </c>
      <c r="O71" s="1157" t="s">
        <v>16</v>
      </c>
      <c r="P71" s="429"/>
    </row>
    <row r="72" spans="1:21" ht="36" customHeight="1" thickBot="1">
      <c r="A72" s="601" t="s">
        <v>26</v>
      </c>
      <c r="B72" s="1029" t="s">
        <v>879</v>
      </c>
      <c r="C72" s="1029" t="s">
        <v>721</v>
      </c>
      <c r="D72" s="373" t="s">
        <v>162</v>
      </c>
      <c r="E72" s="1029">
        <v>4</v>
      </c>
      <c r="F72" s="1029" t="s">
        <v>710</v>
      </c>
      <c r="G72" s="1032" t="s">
        <v>711</v>
      </c>
      <c r="H72" s="1112" t="s">
        <v>1690</v>
      </c>
      <c r="I72" s="1267">
        <v>907874</v>
      </c>
      <c r="J72" s="1268" t="s">
        <v>65</v>
      </c>
      <c r="K72" s="1265">
        <v>6.6</v>
      </c>
      <c r="L72" s="1262"/>
      <c r="M72" s="1266">
        <f>31176-25578</f>
        <v>5598</v>
      </c>
      <c r="N72" s="1266">
        <f>68465-56405</f>
        <v>12060</v>
      </c>
      <c r="O72" s="1266">
        <f>SUM(M72:N72)</f>
        <v>17658</v>
      </c>
      <c r="P72" s="429"/>
    </row>
    <row r="73" spans="1:21" ht="51" customHeight="1" thickBot="1">
      <c r="B73" s="1269" t="s">
        <v>22</v>
      </c>
      <c r="C73" s="1270" t="s">
        <v>708</v>
      </c>
      <c r="D73" s="1271"/>
      <c r="G73" s="1622" t="s">
        <v>1920</v>
      </c>
      <c r="H73" s="1276" t="s">
        <v>1691</v>
      </c>
      <c r="I73" s="361"/>
      <c r="J73" s="361"/>
      <c r="K73" s="361"/>
      <c r="L73" s="361"/>
      <c r="M73" s="361"/>
      <c r="N73" s="373" t="s">
        <v>62</v>
      </c>
      <c r="O73" s="1047">
        <f>O72</f>
        <v>17658</v>
      </c>
      <c r="P73" s="429"/>
    </row>
    <row r="74" spans="1:21" ht="15">
      <c r="B74" s="604"/>
      <c r="C74" s="1272" t="s">
        <v>1057</v>
      </c>
      <c r="D74" s="1271"/>
      <c r="G74" s="1277"/>
      <c r="H74" s="1278" t="s">
        <v>1692</v>
      </c>
      <c r="I74" s="361"/>
      <c r="J74" s="361"/>
      <c r="K74" s="361"/>
      <c r="L74" s="361"/>
      <c r="M74" s="361"/>
      <c r="P74" s="429"/>
    </row>
    <row r="75" spans="1:21" ht="15.75" thickBot="1">
      <c r="B75" s="604"/>
      <c r="C75" s="1272" t="s">
        <v>1058</v>
      </c>
      <c r="D75" s="1271"/>
      <c r="G75" s="1279"/>
      <c r="H75" s="1280" t="s">
        <v>1693</v>
      </c>
      <c r="I75" s="361"/>
      <c r="J75" s="361"/>
      <c r="K75" s="361"/>
      <c r="L75" s="361"/>
      <c r="M75" s="361"/>
      <c r="P75" s="429"/>
    </row>
    <row r="76" spans="1:21" ht="15">
      <c r="B76" s="1269" t="s">
        <v>160</v>
      </c>
      <c r="C76" s="1272">
        <v>8222147156</v>
      </c>
      <c r="D76" s="1271"/>
      <c r="H76" s="361"/>
      <c r="I76" s="361"/>
      <c r="J76" s="361"/>
      <c r="K76" s="361"/>
      <c r="L76" s="361"/>
      <c r="M76" s="361"/>
      <c r="P76" s="429"/>
    </row>
    <row r="77" spans="1:21" ht="15.75" thickBot="1">
      <c r="B77" s="1273" t="s">
        <v>1061</v>
      </c>
      <c r="C77" s="1274" t="s">
        <v>1126</v>
      </c>
      <c r="D77" s="1275"/>
      <c r="H77" s="361"/>
      <c r="I77" s="361"/>
      <c r="J77" s="361"/>
      <c r="K77" s="361"/>
      <c r="L77" s="361"/>
      <c r="M77" s="361"/>
      <c r="P77" s="429"/>
    </row>
    <row r="78" spans="1:21" ht="15">
      <c r="B78" s="1293"/>
      <c r="C78" s="1272"/>
      <c r="D78" s="309"/>
      <c r="H78" s="361"/>
      <c r="I78" s="361"/>
      <c r="J78" s="361"/>
      <c r="K78" s="361"/>
      <c r="L78" s="361"/>
      <c r="M78" s="361"/>
      <c r="P78" s="429"/>
    </row>
    <row r="79" spans="1:21" ht="15.75" thickBot="1">
      <c r="B79" s="1293"/>
      <c r="C79" s="1272"/>
      <c r="D79" s="309"/>
      <c r="H79" s="361"/>
      <c r="I79" s="361"/>
      <c r="J79" s="361"/>
      <c r="K79" s="361"/>
      <c r="L79" s="361"/>
      <c r="M79" s="361"/>
      <c r="P79" s="429"/>
    </row>
    <row r="80" spans="1:21" ht="43.5" customHeight="1">
      <c r="A80" s="1662" t="s">
        <v>6</v>
      </c>
      <c r="B80" s="1656" t="s">
        <v>7</v>
      </c>
      <c r="C80" s="1656" t="s">
        <v>8</v>
      </c>
      <c r="D80" s="1656" t="s">
        <v>9</v>
      </c>
      <c r="E80" s="1656" t="s">
        <v>884</v>
      </c>
      <c r="F80" s="1656" t="s">
        <v>11</v>
      </c>
      <c r="G80" s="1656" t="s">
        <v>12</v>
      </c>
      <c r="H80" s="1656" t="s">
        <v>14</v>
      </c>
      <c r="I80" s="1656" t="s">
        <v>269</v>
      </c>
      <c r="J80" s="1656" t="s">
        <v>59</v>
      </c>
      <c r="K80" s="1719" t="s">
        <v>15</v>
      </c>
      <c r="L80" s="1650" t="s">
        <v>641</v>
      </c>
      <c r="M80" s="1650"/>
      <c r="N80" s="1650"/>
      <c r="O80" s="1650"/>
      <c r="P80" s="1650" t="s">
        <v>642</v>
      </c>
      <c r="Q80" s="1650"/>
      <c r="R80" s="1650"/>
      <c r="S80" s="1650"/>
      <c r="T80" s="1656" t="s">
        <v>1175</v>
      </c>
      <c r="U80" s="1790" t="s">
        <v>1127</v>
      </c>
    </row>
    <row r="81" spans="1:21">
      <c r="A81" s="1663"/>
      <c r="B81" s="1657"/>
      <c r="C81" s="1657"/>
      <c r="D81" s="1657"/>
      <c r="E81" s="1657"/>
      <c r="F81" s="1657"/>
      <c r="G81" s="1657"/>
      <c r="H81" s="1657"/>
      <c r="I81" s="1657"/>
      <c r="J81" s="1657"/>
      <c r="K81" s="1720"/>
      <c r="L81" s="1654" t="s">
        <v>638</v>
      </c>
      <c r="M81" s="1654" t="s">
        <v>639</v>
      </c>
      <c r="N81" s="1654" t="s">
        <v>640</v>
      </c>
      <c r="O81" s="1654" t="s">
        <v>643</v>
      </c>
      <c r="P81" s="1654" t="s">
        <v>638</v>
      </c>
      <c r="Q81" s="1654" t="s">
        <v>639</v>
      </c>
      <c r="R81" s="1654" t="s">
        <v>640</v>
      </c>
      <c r="S81" s="1654" t="s">
        <v>643</v>
      </c>
      <c r="T81" s="1657"/>
      <c r="U81" s="1791"/>
    </row>
    <row r="82" spans="1:21" ht="15" thickBot="1">
      <c r="A82" s="1664"/>
      <c r="B82" s="1658"/>
      <c r="C82" s="1658"/>
      <c r="D82" s="1658"/>
      <c r="E82" s="1658"/>
      <c r="F82" s="1658"/>
      <c r="G82" s="1658"/>
      <c r="H82" s="1658"/>
      <c r="I82" s="1658"/>
      <c r="J82" s="1658"/>
      <c r="K82" s="1721"/>
      <c r="L82" s="1655"/>
      <c r="M82" s="1655"/>
      <c r="N82" s="1655"/>
      <c r="O82" s="1655"/>
      <c r="P82" s="1655"/>
      <c r="Q82" s="1655"/>
      <c r="R82" s="1655"/>
      <c r="S82" s="1655"/>
      <c r="T82" s="1658"/>
      <c r="U82" s="1801"/>
    </row>
    <row r="83" spans="1:21" ht="54" customHeight="1" thickBot="1">
      <c r="A83" s="601" t="s">
        <v>17</v>
      </c>
      <c r="B83" s="1617" t="s">
        <v>1686</v>
      </c>
      <c r="C83" s="1618" t="s">
        <v>1697</v>
      </c>
      <c r="D83" s="1619"/>
      <c r="E83" s="1612" t="s">
        <v>1915</v>
      </c>
      <c r="F83" s="1287" t="s">
        <v>710</v>
      </c>
      <c r="G83" s="1287" t="s">
        <v>711</v>
      </c>
      <c r="H83" s="1025">
        <v>53914249</v>
      </c>
      <c r="I83" s="1613">
        <v>194251</v>
      </c>
      <c r="J83" s="1614" t="s">
        <v>28</v>
      </c>
      <c r="K83" s="1615">
        <v>8</v>
      </c>
      <c r="L83" s="1616">
        <v>750</v>
      </c>
      <c r="M83" s="1262"/>
      <c r="N83" s="1262"/>
      <c r="O83" s="436">
        <f>L83</f>
        <v>750</v>
      </c>
      <c r="P83" s="1616">
        <v>750</v>
      </c>
      <c r="Q83" s="1262"/>
      <c r="R83" s="1262"/>
      <c r="S83" s="436">
        <f>P83</f>
        <v>750</v>
      </c>
      <c r="T83" s="266" t="s">
        <v>1456</v>
      </c>
      <c r="U83" s="517" t="s">
        <v>1873</v>
      </c>
    </row>
    <row r="84" spans="1:21" ht="51.75" customHeight="1" thickBot="1">
      <c r="A84" s="288"/>
      <c r="B84" s="1285" t="s">
        <v>22</v>
      </c>
      <c r="C84" s="1281" t="s">
        <v>708</v>
      </c>
      <c r="D84" s="1286"/>
      <c r="E84" s="361"/>
      <c r="F84" s="361"/>
      <c r="G84" s="1622" t="s">
        <v>1920</v>
      </c>
      <c r="H84" s="1492" t="s">
        <v>708</v>
      </c>
      <c r="I84" s="1607"/>
      <c r="J84" s="245"/>
      <c r="K84" s="1608"/>
      <c r="L84" s="1609"/>
      <c r="M84" s="1611"/>
      <c r="N84" s="1611"/>
      <c r="O84" s="1610"/>
      <c r="P84" s="429"/>
      <c r="R84" s="373" t="s">
        <v>62</v>
      </c>
      <c r="S84" s="1047">
        <f>S83</f>
        <v>750</v>
      </c>
    </row>
    <row r="85" spans="1:21" ht="18">
      <c r="A85" s="288"/>
      <c r="B85" s="604"/>
      <c r="C85" s="1272" t="s">
        <v>1057</v>
      </c>
      <c r="D85" s="1271"/>
      <c r="E85" s="361"/>
      <c r="F85" s="361"/>
      <c r="G85" s="244"/>
      <c r="H85" s="1284" t="s">
        <v>1057</v>
      </c>
      <c r="I85" s="1607"/>
      <c r="J85" s="245"/>
      <c r="K85" s="1608"/>
      <c r="L85" s="1609"/>
      <c r="M85" s="1611"/>
      <c r="N85" s="1611"/>
      <c r="O85" s="1610"/>
      <c r="P85" s="429"/>
    </row>
    <row r="86" spans="1:21" ht="18.75" thickBot="1">
      <c r="A86" s="288"/>
      <c r="B86" s="604"/>
      <c r="C86" s="1272" t="s">
        <v>1058</v>
      </c>
      <c r="D86" s="1271"/>
      <c r="E86" s="361"/>
      <c r="F86" s="361"/>
      <c r="G86" s="248"/>
      <c r="H86" s="1280" t="s">
        <v>1058</v>
      </c>
      <c r="I86" s="1607"/>
      <c r="J86" s="245"/>
      <c r="K86" s="1608"/>
      <c r="L86" s="1609"/>
      <c r="M86" s="1611"/>
      <c r="N86" s="1611"/>
      <c r="O86" s="1610"/>
      <c r="P86" s="429"/>
    </row>
    <row r="87" spans="1:21" ht="18.75" thickBot="1">
      <c r="A87" s="288"/>
      <c r="B87" s="1273" t="s">
        <v>160</v>
      </c>
      <c r="C87" s="1274">
        <v>8222147156</v>
      </c>
      <c r="D87" s="1275"/>
      <c r="E87" s="361"/>
      <c r="F87" s="361"/>
      <c r="G87" s="361"/>
      <c r="H87" s="361"/>
      <c r="I87" s="1607"/>
      <c r="J87" s="245"/>
      <c r="K87" s="1608"/>
      <c r="L87" s="1609"/>
      <c r="M87" s="1611"/>
      <c r="N87" s="1611"/>
      <c r="O87" s="1610"/>
      <c r="P87" s="429"/>
    </row>
    <row r="88" spans="1:21" ht="15">
      <c r="B88" s="1039"/>
      <c r="C88" s="335"/>
      <c r="D88" s="633"/>
      <c r="L88" s="448" t="s">
        <v>62</v>
      </c>
      <c r="M88" s="625">
        <f>O39+O51+O62+O73</f>
        <v>682581.2</v>
      </c>
      <c r="P88" s="429"/>
    </row>
    <row r="89" spans="1:21" ht="15.75" thickBot="1">
      <c r="B89" s="1039"/>
      <c r="C89" s="335"/>
      <c r="D89" s="633"/>
      <c r="P89" s="429"/>
    </row>
    <row r="90" spans="1:21" ht="51.75" customHeight="1">
      <c r="B90" s="362"/>
      <c r="C90" s="362"/>
      <c r="D90" s="633"/>
      <c r="K90" s="1706" t="s">
        <v>59</v>
      </c>
      <c r="L90" s="1708" t="s">
        <v>644</v>
      </c>
      <c r="M90" s="1709"/>
      <c r="N90" s="1710"/>
      <c r="O90" s="1711" t="s">
        <v>60</v>
      </c>
    </row>
    <row r="91" spans="1:21" ht="22.5" customHeight="1" thickBot="1">
      <c r="B91" s="362"/>
      <c r="C91" s="362"/>
      <c r="D91" s="681"/>
      <c r="K91" s="1707"/>
      <c r="L91" s="274" t="s">
        <v>61</v>
      </c>
      <c r="M91" s="274" t="s">
        <v>639</v>
      </c>
      <c r="N91" s="274" t="s">
        <v>640</v>
      </c>
      <c r="O91" s="1712"/>
    </row>
    <row r="92" spans="1:21" ht="22.5" customHeight="1">
      <c r="K92" s="290" t="s">
        <v>716</v>
      </c>
      <c r="L92" s="679">
        <f>O24</f>
        <v>11</v>
      </c>
      <c r="M92" s="680"/>
      <c r="N92" s="680"/>
      <c r="O92" s="376">
        <v>1</v>
      </c>
    </row>
    <row r="93" spans="1:21" ht="22.5" customHeight="1">
      <c r="K93" s="178" t="s">
        <v>719</v>
      </c>
      <c r="L93" s="208">
        <f>O32</f>
        <v>213432</v>
      </c>
      <c r="M93" s="172"/>
      <c r="N93" s="172"/>
      <c r="O93" s="208">
        <v>1</v>
      </c>
    </row>
    <row r="94" spans="1:21" ht="22.5" customHeight="1">
      <c r="K94" s="178" t="s">
        <v>28</v>
      </c>
      <c r="L94" s="208">
        <f>O20+O33+O34+O35+O36</f>
        <v>19996</v>
      </c>
      <c r="M94" s="172"/>
      <c r="N94" s="172"/>
      <c r="O94" s="208">
        <v>5</v>
      </c>
    </row>
    <row r="95" spans="1:21" ht="22.5" customHeight="1">
      <c r="K95" s="227" t="s">
        <v>65</v>
      </c>
      <c r="L95" s="172"/>
      <c r="M95" s="208">
        <f>M18+M19+M21+M22+M23+M25+M26+M27+M28+M29+M30+M83+M72+M37+M38</f>
        <v>35204</v>
      </c>
      <c r="N95" s="208">
        <f>N18+N19+N21+N22+N23+N25+N26+N27+N28+N29+N30+N83+N72+N37+N38</f>
        <v>86042</v>
      </c>
      <c r="O95" s="208">
        <v>15</v>
      </c>
    </row>
    <row r="96" spans="1:21" ht="23.25" customHeight="1" thickBot="1">
      <c r="K96" s="227" t="s">
        <v>70</v>
      </c>
      <c r="L96" s="170"/>
      <c r="M96" s="203">
        <f>M31+M50+M61</f>
        <v>102171.99999999999</v>
      </c>
      <c r="N96" s="203">
        <f>N31+N50+N61</f>
        <v>225724.2</v>
      </c>
      <c r="O96" s="203">
        <v>3</v>
      </c>
    </row>
    <row r="97" spans="11:16" ht="23.25" customHeight="1" thickBot="1">
      <c r="K97" s="341" t="s">
        <v>62</v>
      </c>
      <c r="L97" s="291">
        <f>SUM(L92:L96)</f>
        <v>233439</v>
      </c>
      <c r="M97" s="292">
        <f>SUM(M92:M96)</f>
        <v>137376</v>
      </c>
      <c r="N97" s="173">
        <f>SUM(N92:N96)</f>
        <v>311766.2</v>
      </c>
      <c r="O97" s="667">
        <f>SUM(O92:O96)</f>
        <v>25</v>
      </c>
    </row>
    <row r="98" spans="11:16" ht="23.25" customHeight="1" thickBot="1">
      <c r="K98" s="1"/>
      <c r="L98" s="123" t="s">
        <v>63</v>
      </c>
      <c r="M98" s="659">
        <f>SUM(L97:N97)</f>
        <v>682581.2</v>
      </c>
      <c r="N98" s="31"/>
      <c r="O98" s="31"/>
    </row>
    <row r="99" spans="11:16" ht="18">
      <c r="L99" s="1"/>
      <c r="M99" s="123"/>
      <c r="N99" s="682"/>
      <c r="O99" s="31"/>
      <c r="P99" s="31"/>
    </row>
  </sheetData>
  <mergeCells count="81">
    <mergeCell ref="S81:S82"/>
    <mergeCell ref="P80:S80"/>
    <mergeCell ref="T80:T82"/>
    <mergeCell ref="U80:U82"/>
    <mergeCell ref="L81:L82"/>
    <mergeCell ref="M81:M82"/>
    <mergeCell ref="N81:N82"/>
    <mergeCell ref="O81:O82"/>
    <mergeCell ref="P81:P82"/>
    <mergeCell ref="Q81:Q82"/>
    <mergeCell ref="R81:R82"/>
    <mergeCell ref="G80:G82"/>
    <mergeCell ref="H80:H82"/>
    <mergeCell ref="I80:I82"/>
    <mergeCell ref="J80:J82"/>
    <mergeCell ref="K80:K82"/>
    <mergeCell ref="L80:O80"/>
    <mergeCell ref="A15:A17"/>
    <mergeCell ref="C15:C17"/>
    <mergeCell ref="D15:D17"/>
    <mergeCell ref="O90:O91"/>
    <mergeCell ref="G15:G17"/>
    <mergeCell ref="H15:H17"/>
    <mergeCell ref="L16:O16"/>
    <mergeCell ref="E15:E17"/>
    <mergeCell ref="F15:F17"/>
    <mergeCell ref="J15:J17"/>
    <mergeCell ref="A80:A82"/>
    <mergeCell ref="B80:B82"/>
    <mergeCell ref="C80:C82"/>
    <mergeCell ref="D80:D82"/>
    <mergeCell ref="E80:E82"/>
    <mergeCell ref="F80:F82"/>
    <mergeCell ref="B1:I1"/>
    <mergeCell ref="B5:J5"/>
    <mergeCell ref="B3:J3"/>
    <mergeCell ref="B15:B17"/>
    <mergeCell ref="L90:N90"/>
    <mergeCell ref="G47:G49"/>
    <mergeCell ref="F47:F49"/>
    <mergeCell ref="K90:K91"/>
    <mergeCell ref="I15:I17"/>
    <mergeCell ref="L15:O15"/>
    <mergeCell ref="K15:K17"/>
    <mergeCell ref="A47:A49"/>
    <mergeCell ref="B47:B49"/>
    <mergeCell ref="C47:C49"/>
    <mergeCell ref="D47:D49"/>
    <mergeCell ref="E47:E49"/>
    <mergeCell ref="H47:H49"/>
    <mergeCell ref="I47:I49"/>
    <mergeCell ref="J47:J49"/>
    <mergeCell ref="K47:K49"/>
    <mergeCell ref="L47:O47"/>
    <mergeCell ref="L48:O48"/>
    <mergeCell ref="L58:O58"/>
    <mergeCell ref="L59:O59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K60"/>
    <mergeCell ref="L69:O69"/>
    <mergeCell ref="L70:O70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</mergeCells>
  <pageMargins left="0.7" right="0.7" top="0.75" bottom="0.75" header="0.3" footer="0.3"/>
  <pageSetup paperSize="9" orientation="portrait" horizontalDpi="0" verticalDpi="0" r:id="rId1"/>
  <ignoredErrors>
    <ignoredError sqref="O20 O24 O3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D136" zoomScale="80" zoomScaleNormal="80" workbookViewId="0">
      <selection activeCell="O161" sqref="O161"/>
    </sheetView>
  </sheetViews>
  <sheetFormatPr defaultRowHeight="14.25"/>
  <cols>
    <col min="1" max="1" width="14.375" style="307" customWidth="1"/>
    <col min="2" max="2" width="17.125" style="307" customWidth="1"/>
    <col min="3" max="3" width="18.75" style="307" customWidth="1"/>
    <col min="4" max="4" width="15" style="307" customWidth="1"/>
    <col min="5" max="5" width="12.625" style="307" customWidth="1"/>
    <col min="6" max="6" width="9.125" style="307" customWidth="1"/>
    <col min="7" max="7" width="16.25" style="307" customWidth="1"/>
    <col min="8" max="8" width="25.25" style="307" customWidth="1"/>
    <col min="9" max="9" width="27.375" style="307" customWidth="1"/>
    <col min="10" max="10" width="16" style="307" customWidth="1"/>
    <col min="11" max="11" width="15.625" style="307" customWidth="1"/>
    <col min="12" max="12" width="14.875" style="307" customWidth="1"/>
    <col min="13" max="13" width="16.375" style="307" customWidth="1"/>
    <col min="14" max="14" width="17" style="307" customWidth="1"/>
    <col min="15" max="15" width="15.875" style="307" customWidth="1"/>
    <col min="16" max="16" width="16.5" style="307" customWidth="1"/>
    <col min="17" max="17" width="12.125" style="307" customWidth="1"/>
    <col min="18" max="18" width="14.875" style="307" customWidth="1"/>
    <col min="19" max="19" width="16.375" style="307" customWidth="1"/>
    <col min="20" max="20" width="22.125" style="307" customWidth="1"/>
    <col min="21" max="21" width="21.125" style="307" customWidth="1"/>
    <col min="22" max="16384" width="9" style="307"/>
  </cols>
  <sheetData>
    <row r="1" spans="1:16" ht="18">
      <c r="B1" s="1691" t="s">
        <v>1174</v>
      </c>
      <c r="C1" s="1691"/>
      <c r="D1" s="1691"/>
      <c r="E1" s="1691"/>
      <c r="F1" s="1691"/>
      <c r="G1" s="1691"/>
      <c r="H1" s="1691"/>
      <c r="I1" s="1691"/>
    </row>
    <row r="3" spans="1:16" ht="29.25" customHeight="1">
      <c r="B3" s="1727" t="s">
        <v>1495</v>
      </c>
      <c r="C3" s="1728"/>
      <c r="D3" s="1728"/>
      <c r="E3" s="1728"/>
      <c r="F3" s="1728"/>
      <c r="G3" s="1728"/>
      <c r="H3" s="1728"/>
      <c r="I3" s="1728"/>
      <c r="J3" s="1729"/>
    </row>
    <row r="4" spans="1:16" ht="15">
      <c r="A4" s="1"/>
      <c r="B4" s="855"/>
      <c r="C4" s="855"/>
      <c r="D4" s="855"/>
      <c r="E4" s="855"/>
      <c r="F4" s="855"/>
      <c r="G4" s="855"/>
      <c r="H4" s="855"/>
      <c r="I4" s="855"/>
      <c r="J4" s="855"/>
      <c r="L4" s="1"/>
      <c r="M4" s="1"/>
      <c r="N4" s="1"/>
      <c r="O4" s="1"/>
      <c r="P4" s="1"/>
    </row>
    <row r="5" spans="1:16" ht="22.5" customHeight="1">
      <c r="A5" s="1"/>
      <c r="B5" s="1756" t="s">
        <v>1052</v>
      </c>
      <c r="C5" s="1757"/>
      <c r="D5" s="1757"/>
      <c r="E5" s="1757"/>
      <c r="F5" s="1757"/>
      <c r="G5" s="1757"/>
      <c r="H5" s="1757"/>
      <c r="I5" s="1757"/>
      <c r="J5" s="1758"/>
      <c r="L5" s="1"/>
      <c r="M5" s="1"/>
      <c r="N5" s="1"/>
      <c r="O5" s="1"/>
      <c r="P5" s="1"/>
    </row>
    <row r="6" spans="1:16" ht="15">
      <c r="A6" s="1"/>
      <c r="B6" s="469"/>
      <c r="C6" s="469"/>
      <c r="D6" s="469"/>
      <c r="E6" s="469"/>
      <c r="F6" s="469"/>
      <c r="G6" s="469"/>
      <c r="H6" s="469"/>
      <c r="I6" s="472"/>
      <c r="J6" s="471"/>
      <c r="L6" s="1"/>
      <c r="M6" s="1"/>
      <c r="N6" s="1"/>
      <c r="O6" s="1"/>
      <c r="P6" s="1"/>
    </row>
    <row r="7" spans="1:16" ht="15.75">
      <c r="A7" s="1"/>
      <c r="B7" s="470" t="s">
        <v>1</v>
      </c>
      <c r="C7" s="469"/>
      <c r="D7" s="469"/>
      <c r="E7" s="469"/>
      <c r="F7" s="471"/>
      <c r="G7" s="469"/>
      <c r="H7" s="469"/>
      <c r="I7" s="472"/>
      <c r="J7" s="471"/>
      <c r="L7" s="1"/>
      <c r="M7" s="1"/>
      <c r="N7" s="1"/>
      <c r="O7" s="1"/>
      <c r="P7" s="1"/>
    </row>
    <row r="8" spans="1:16" ht="20.25">
      <c r="A8" s="1"/>
      <c r="B8" s="1307" t="s">
        <v>1921</v>
      </c>
      <c r="C8" s="469"/>
      <c r="D8" s="469"/>
      <c r="E8" s="469"/>
      <c r="F8" s="471"/>
      <c r="G8" s="469"/>
      <c r="H8" s="469"/>
      <c r="I8" s="472"/>
      <c r="J8" s="471"/>
      <c r="K8" s="271"/>
      <c r="L8" s="1"/>
      <c r="M8" s="1"/>
      <c r="N8" s="1"/>
      <c r="O8" s="1"/>
      <c r="P8" s="1"/>
    </row>
    <row r="9" spans="1:16" ht="15.75">
      <c r="A9" s="1"/>
      <c r="B9" s="473" t="s">
        <v>1872</v>
      </c>
      <c r="C9" s="471"/>
      <c r="D9" s="474"/>
      <c r="E9" s="469"/>
      <c r="F9" s="469"/>
      <c r="G9" s="471"/>
      <c r="H9" s="471"/>
      <c r="I9" s="472"/>
      <c r="J9" s="471"/>
      <c r="K9" s="1"/>
      <c r="L9" s="1"/>
      <c r="M9" s="1"/>
      <c r="N9" s="1"/>
      <c r="O9" s="1"/>
      <c r="P9" s="1"/>
    </row>
    <row r="10" spans="1:16" ht="15.75">
      <c r="A10" s="1"/>
      <c r="B10" s="473" t="s">
        <v>1045</v>
      </c>
      <c r="C10" s="471"/>
      <c r="D10" s="474"/>
      <c r="E10" s="469"/>
      <c r="F10" s="469"/>
      <c r="G10" s="471"/>
      <c r="H10" s="471"/>
      <c r="I10" s="472"/>
      <c r="J10" s="471"/>
      <c r="K10" s="1"/>
      <c r="L10" s="1"/>
      <c r="M10" s="1"/>
      <c r="N10" s="1"/>
      <c r="O10" s="1"/>
      <c r="P10" s="1"/>
    </row>
    <row r="11" spans="1:16" ht="15">
      <c r="A11" s="1"/>
      <c r="B11" s="471" t="s">
        <v>696</v>
      </c>
      <c r="C11" s="471"/>
      <c r="D11" s="471"/>
      <c r="E11" s="471"/>
      <c r="F11" s="471"/>
      <c r="G11" s="471"/>
      <c r="H11" s="471"/>
      <c r="I11" s="472"/>
      <c r="J11" s="471"/>
      <c r="K11" s="1"/>
      <c r="L11" s="1"/>
      <c r="M11" s="1"/>
      <c r="N11" s="1"/>
      <c r="O11" s="1"/>
      <c r="P11" s="1"/>
    </row>
    <row r="12" spans="1:16" ht="18">
      <c r="A12" s="1"/>
      <c r="B12" s="475" t="s">
        <v>4</v>
      </c>
      <c r="C12" s="476" t="s">
        <v>5</v>
      </c>
      <c r="D12" s="474"/>
      <c r="E12" s="477"/>
      <c r="F12" s="471"/>
      <c r="G12" s="471"/>
      <c r="H12" s="157"/>
      <c r="I12" s="471"/>
      <c r="J12" s="471"/>
      <c r="K12" s="61"/>
      <c r="L12" s="1"/>
      <c r="M12" s="1"/>
      <c r="N12" s="1"/>
      <c r="O12" s="1"/>
      <c r="P12" s="1"/>
    </row>
    <row r="13" spans="1:16" ht="30.75" customHeight="1" thickBot="1">
      <c r="A13" s="1"/>
      <c r="B13" s="475"/>
      <c r="C13" s="476"/>
      <c r="D13" s="474"/>
      <c r="E13" s="477"/>
      <c r="F13" s="471"/>
      <c r="G13" s="471"/>
      <c r="H13" s="157"/>
      <c r="I13" s="471"/>
      <c r="J13" s="471"/>
      <c r="K13" s="61"/>
      <c r="L13" s="1"/>
      <c r="M13" s="1"/>
      <c r="N13" s="1"/>
      <c r="O13" s="1"/>
      <c r="P13" s="1"/>
    </row>
    <row r="14" spans="1:16" ht="48.75" customHeight="1">
      <c r="A14" s="1819" t="s">
        <v>6</v>
      </c>
      <c r="B14" s="1804" t="s">
        <v>633</v>
      </c>
      <c r="C14" s="1804" t="s">
        <v>8</v>
      </c>
      <c r="D14" s="1804" t="s">
        <v>9</v>
      </c>
      <c r="E14" s="1822" t="s">
        <v>634</v>
      </c>
      <c r="F14" s="1822" t="s">
        <v>11</v>
      </c>
      <c r="G14" s="1804" t="s">
        <v>12</v>
      </c>
      <c r="H14" s="1807" t="s">
        <v>13</v>
      </c>
      <c r="I14" s="1807" t="s">
        <v>269</v>
      </c>
      <c r="J14" s="1807" t="s">
        <v>59</v>
      </c>
      <c r="K14" s="1810" t="s">
        <v>635</v>
      </c>
      <c r="L14" s="1813" t="s">
        <v>636</v>
      </c>
      <c r="M14" s="1814"/>
      <c r="N14" s="1814"/>
      <c r="O14" s="1815"/>
      <c r="P14" s="1"/>
    </row>
    <row r="15" spans="1:16" ht="34.5" customHeight="1">
      <c r="A15" s="1820"/>
      <c r="B15" s="1805"/>
      <c r="C15" s="1805"/>
      <c r="D15" s="1805"/>
      <c r="E15" s="1823"/>
      <c r="F15" s="1823"/>
      <c r="G15" s="1805"/>
      <c r="H15" s="1808"/>
      <c r="I15" s="1808"/>
      <c r="J15" s="1808"/>
      <c r="K15" s="1811"/>
      <c r="L15" s="1816" t="s">
        <v>637</v>
      </c>
      <c r="M15" s="1817"/>
      <c r="N15" s="1817"/>
      <c r="O15" s="1818"/>
      <c r="P15" s="1"/>
    </row>
    <row r="16" spans="1:16" ht="34.5" customHeight="1" thickBot="1">
      <c r="A16" s="1821"/>
      <c r="B16" s="1806"/>
      <c r="C16" s="1806"/>
      <c r="D16" s="1806"/>
      <c r="E16" s="1824"/>
      <c r="F16" s="1824"/>
      <c r="G16" s="1806"/>
      <c r="H16" s="1809"/>
      <c r="I16" s="1809"/>
      <c r="J16" s="1809"/>
      <c r="K16" s="1812"/>
      <c r="L16" s="1036" t="s">
        <v>638</v>
      </c>
      <c r="M16" s="1037" t="s">
        <v>639</v>
      </c>
      <c r="N16" s="1037" t="s">
        <v>640</v>
      </c>
      <c r="O16" s="1038" t="s">
        <v>16</v>
      </c>
      <c r="P16" s="1"/>
    </row>
    <row r="17" spans="1:16" ht="30" customHeight="1">
      <c r="A17" s="1028" t="s">
        <v>26</v>
      </c>
      <c r="B17" s="1029" t="s">
        <v>228</v>
      </c>
      <c r="C17" s="1029" t="s">
        <v>492</v>
      </c>
      <c r="D17" s="1030"/>
      <c r="E17" s="1029"/>
      <c r="F17" s="1029" t="s">
        <v>1496</v>
      </c>
      <c r="G17" s="1029" t="s">
        <v>1497</v>
      </c>
      <c r="H17" s="1025" t="s">
        <v>1522</v>
      </c>
      <c r="I17" s="1031">
        <v>11507495</v>
      </c>
      <c r="J17" s="534" t="s">
        <v>28</v>
      </c>
      <c r="K17" s="413">
        <v>6</v>
      </c>
      <c r="L17" s="268">
        <f>711-461</f>
        <v>250</v>
      </c>
      <c r="M17" s="1034"/>
      <c r="N17" s="1034"/>
      <c r="O17" s="1035">
        <f t="shared" ref="O17:O39" si="0">L17</f>
        <v>250</v>
      </c>
      <c r="P17" s="1"/>
    </row>
    <row r="18" spans="1:16" ht="30" customHeight="1">
      <c r="A18" s="1028" t="s">
        <v>26</v>
      </c>
      <c r="B18" s="1029"/>
      <c r="C18" s="365" t="s">
        <v>1498</v>
      </c>
      <c r="D18" s="439"/>
      <c r="E18" s="365" t="s">
        <v>859</v>
      </c>
      <c r="F18" s="1029" t="s">
        <v>1496</v>
      </c>
      <c r="G18" s="1029" t="s">
        <v>1497</v>
      </c>
      <c r="H18" s="1025" t="s">
        <v>1523</v>
      </c>
      <c r="I18" s="374">
        <v>15170170</v>
      </c>
      <c r="J18" s="487" t="s">
        <v>28</v>
      </c>
      <c r="K18" s="90">
        <v>1</v>
      </c>
      <c r="L18" s="32">
        <f>29518-28397</f>
        <v>1121</v>
      </c>
      <c r="M18" s="172"/>
      <c r="N18" s="172"/>
      <c r="O18" s="208">
        <f t="shared" si="0"/>
        <v>1121</v>
      </c>
      <c r="P18" s="1"/>
    </row>
    <row r="19" spans="1:16" ht="30" customHeight="1">
      <c r="A19" s="1028" t="s">
        <v>26</v>
      </c>
      <c r="B19" s="1029"/>
      <c r="C19" s="365" t="s">
        <v>1499</v>
      </c>
      <c r="D19" s="439"/>
      <c r="E19" s="365"/>
      <c r="F19" s="1029" t="s">
        <v>1496</v>
      </c>
      <c r="G19" s="1029" t="s">
        <v>1497</v>
      </c>
      <c r="H19" s="1025" t="s">
        <v>1524</v>
      </c>
      <c r="I19" s="374">
        <v>7541524</v>
      </c>
      <c r="J19" s="487" t="s">
        <v>28</v>
      </c>
      <c r="K19" s="90">
        <v>6</v>
      </c>
      <c r="L19" s="32">
        <f>706-30</f>
        <v>676</v>
      </c>
      <c r="M19" s="172"/>
      <c r="N19" s="172"/>
      <c r="O19" s="208">
        <f t="shared" si="0"/>
        <v>676</v>
      </c>
      <c r="P19" s="1"/>
    </row>
    <row r="20" spans="1:16" ht="30" customHeight="1">
      <c r="A20" s="1028" t="s">
        <v>26</v>
      </c>
      <c r="B20" s="1029" t="s">
        <v>184</v>
      </c>
      <c r="C20" s="365" t="s">
        <v>1500</v>
      </c>
      <c r="D20" s="439"/>
      <c r="E20" s="365"/>
      <c r="F20" s="1029" t="s">
        <v>1496</v>
      </c>
      <c r="G20" s="1029" t="s">
        <v>1497</v>
      </c>
      <c r="H20" s="1025" t="s">
        <v>1525</v>
      </c>
      <c r="I20" s="374">
        <v>90265692</v>
      </c>
      <c r="J20" s="487" t="s">
        <v>28</v>
      </c>
      <c r="K20" s="90">
        <v>13</v>
      </c>
      <c r="L20" s="32">
        <f>33424-14654</f>
        <v>18770</v>
      </c>
      <c r="M20" s="172"/>
      <c r="N20" s="172"/>
      <c r="O20" s="208">
        <f t="shared" si="0"/>
        <v>18770</v>
      </c>
      <c r="P20" s="1"/>
    </row>
    <row r="21" spans="1:16" ht="30" customHeight="1">
      <c r="A21" s="1028" t="s">
        <v>26</v>
      </c>
      <c r="B21" s="1029" t="s">
        <v>228</v>
      </c>
      <c r="C21" s="365" t="s">
        <v>1501</v>
      </c>
      <c r="D21" s="439"/>
      <c r="E21" s="365"/>
      <c r="F21" s="1029" t="s">
        <v>1496</v>
      </c>
      <c r="G21" s="1029" t="s">
        <v>1497</v>
      </c>
      <c r="H21" s="1025" t="s">
        <v>1526</v>
      </c>
      <c r="I21" s="374">
        <v>11684311</v>
      </c>
      <c r="J21" s="487" t="s">
        <v>28</v>
      </c>
      <c r="K21" s="90">
        <v>10.5</v>
      </c>
      <c r="L21" s="32">
        <f>38203-29120</f>
        <v>9083</v>
      </c>
      <c r="M21" s="172"/>
      <c r="N21" s="172"/>
      <c r="O21" s="208">
        <f t="shared" si="0"/>
        <v>9083</v>
      </c>
      <c r="P21" s="1"/>
    </row>
    <row r="22" spans="1:16" ht="30" customHeight="1">
      <c r="A22" s="1028" t="s">
        <v>26</v>
      </c>
      <c r="B22" s="1029" t="s">
        <v>184</v>
      </c>
      <c r="C22" s="365" t="s">
        <v>1497</v>
      </c>
      <c r="D22" s="439" t="s">
        <v>1502</v>
      </c>
      <c r="E22" s="365"/>
      <c r="F22" s="1029" t="s">
        <v>1496</v>
      </c>
      <c r="G22" s="1029" t="s">
        <v>1497</v>
      </c>
      <c r="H22" s="1025" t="s">
        <v>1527</v>
      </c>
      <c r="I22" s="374">
        <v>119163</v>
      </c>
      <c r="J22" s="487" t="s">
        <v>28</v>
      </c>
      <c r="K22" s="90">
        <v>25</v>
      </c>
      <c r="L22" s="32">
        <f>75104-54026</f>
        <v>21078</v>
      </c>
      <c r="M22" s="172"/>
      <c r="N22" s="172"/>
      <c r="O22" s="208">
        <f t="shared" si="0"/>
        <v>21078</v>
      </c>
      <c r="P22" s="1"/>
    </row>
    <row r="23" spans="1:16" ht="30" customHeight="1">
      <c r="A23" s="1028" t="s">
        <v>26</v>
      </c>
      <c r="B23" s="1029"/>
      <c r="C23" s="365" t="s">
        <v>1497</v>
      </c>
      <c r="D23" s="439" t="s">
        <v>1528</v>
      </c>
      <c r="E23" s="365"/>
      <c r="F23" s="1029" t="s">
        <v>1496</v>
      </c>
      <c r="G23" s="1029" t="s">
        <v>1497</v>
      </c>
      <c r="H23" s="1025" t="s">
        <v>1529</v>
      </c>
      <c r="I23" s="374">
        <v>11211777</v>
      </c>
      <c r="J23" s="487" t="s">
        <v>28</v>
      </c>
      <c r="K23" s="90">
        <v>1.1000000000000001</v>
      </c>
      <c r="L23" s="32">
        <f>437-395</f>
        <v>42</v>
      </c>
      <c r="M23" s="172"/>
      <c r="N23" s="172"/>
      <c r="O23" s="208">
        <f t="shared" si="0"/>
        <v>42</v>
      </c>
      <c r="P23" s="1"/>
    </row>
    <row r="24" spans="1:16" ht="30" customHeight="1">
      <c r="A24" s="1028" t="s">
        <v>26</v>
      </c>
      <c r="B24" s="1029" t="s">
        <v>1698</v>
      </c>
      <c r="C24" s="365" t="s">
        <v>1497</v>
      </c>
      <c r="D24" s="439" t="s">
        <v>1316</v>
      </c>
      <c r="E24" s="365" t="s">
        <v>1530</v>
      </c>
      <c r="F24" s="1029" t="s">
        <v>1496</v>
      </c>
      <c r="G24" s="1029" t="s">
        <v>1497</v>
      </c>
      <c r="H24" s="1025" t="s">
        <v>1531</v>
      </c>
      <c r="I24" s="374">
        <v>97993</v>
      </c>
      <c r="J24" s="487" t="s">
        <v>28</v>
      </c>
      <c r="K24" s="90">
        <v>16</v>
      </c>
      <c r="L24" s="32">
        <f>4267-3650</f>
        <v>617</v>
      </c>
      <c r="M24" s="172"/>
      <c r="N24" s="172"/>
      <c r="O24" s="208">
        <f t="shared" si="0"/>
        <v>617</v>
      </c>
      <c r="P24" s="1"/>
    </row>
    <row r="25" spans="1:16" ht="30" customHeight="1">
      <c r="A25" s="1028" t="s">
        <v>26</v>
      </c>
      <c r="B25" s="1029" t="s">
        <v>228</v>
      </c>
      <c r="C25" s="365" t="s">
        <v>1503</v>
      </c>
      <c r="D25" s="439"/>
      <c r="E25" s="365"/>
      <c r="F25" s="1029" t="s">
        <v>1496</v>
      </c>
      <c r="G25" s="1029" t="s">
        <v>1497</v>
      </c>
      <c r="H25" s="1025" t="s">
        <v>1532</v>
      </c>
      <c r="I25" s="374">
        <v>8436006</v>
      </c>
      <c r="J25" s="487" t="s">
        <v>28</v>
      </c>
      <c r="K25" s="90">
        <v>4.5</v>
      </c>
      <c r="L25" s="32">
        <f>21345-19737</f>
        <v>1608</v>
      </c>
      <c r="M25" s="172"/>
      <c r="N25" s="172"/>
      <c r="O25" s="208">
        <f t="shared" si="0"/>
        <v>1608</v>
      </c>
      <c r="P25" s="1"/>
    </row>
    <row r="26" spans="1:16" ht="30" customHeight="1">
      <c r="A26" s="1028" t="s">
        <v>26</v>
      </c>
      <c r="B26" s="1029" t="s">
        <v>228</v>
      </c>
      <c r="C26" s="365" t="s">
        <v>1533</v>
      </c>
      <c r="D26" s="439"/>
      <c r="E26" s="365"/>
      <c r="F26" s="1029" t="s">
        <v>1496</v>
      </c>
      <c r="G26" s="1029" t="s">
        <v>1497</v>
      </c>
      <c r="H26" s="1025" t="s">
        <v>1534</v>
      </c>
      <c r="I26" s="374">
        <v>9409759</v>
      </c>
      <c r="J26" s="487" t="s">
        <v>28</v>
      </c>
      <c r="K26" s="90">
        <v>4</v>
      </c>
      <c r="L26" s="32">
        <f>27664-21420</f>
        <v>6244</v>
      </c>
      <c r="M26" s="172"/>
      <c r="N26" s="172"/>
      <c r="O26" s="208">
        <f t="shared" si="0"/>
        <v>6244</v>
      </c>
      <c r="P26" s="1"/>
    </row>
    <row r="27" spans="1:16" ht="30" customHeight="1">
      <c r="A27" s="1028" t="s">
        <v>26</v>
      </c>
      <c r="B27" s="1029"/>
      <c r="C27" s="365" t="s">
        <v>1533</v>
      </c>
      <c r="D27" s="439"/>
      <c r="E27" s="365"/>
      <c r="F27" s="1029" t="s">
        <v>1496</v>
      </c>
      <c r="G27" s="1029" t="s">
        <v>1497</v>
      </c>
      <c r="H27" s="1025" t="s">
        <v>1535</v>
      </c>
      <c r="I27" s="374">
        <v>78240915</v>
      </c>
      <c r="J27" s="487" t="s">
        <v>28</v>
      </c>
      <c r="K27" s="90">
        <v>1.5</v>
      </c>
      <c r="L27" s="32">
        <f>105433-95450</f>
        <v>9983</v>
      </c>
      <c r="M27" s="172"/>
      <c r="N27" s="172"/>
      <c r="O27" s="208">
        <f t="shared" si="0"/>
        <v>9983</v>
      </c>
      <c r="P27" s="1"/>
    </row>
    <row r="28" spans="1:16" ht="30" customHeight="1">
      <c r="A28" s="1028" t="s">
        <v>26</v>
      </c>
      <c r="B28" s="1029" t="s">
        <v>228</v>
      </c>
      <c r="C28" s="365" t="s">
        <v>1504</v>
      </c>
      <c r="D28" s="439"/>
      <c r="E28" s="365"/>
      <c r="F28" s="1029" t="s">
        <v>1496</v>
      </c>
      <c r="G28" s="1029" t="s">
        <v>1497</v>
      </c>
      <c r="H28" s="1025" t="s">
        <v>1536</v>
      </c>
      <c r="I28" s="374">
        <v>8190936</v>
      </c>
      <c r="J28" s="487" t="s">
        <v>28</v>
      </c>
      <c r="K28" s="90">
        <v>5</v>
      </c>
      <c r="L28" s="32">
        <f>61683-38447</f>
        <v>23236</v>
      </c>
      <c r="M28" s="172"/>
      <c r="N28" s="172"/>
      <c r="O28" s="208">
        <f t="shared" si="0"/>
        <v>23236</v>
      </c>
      <c r="P28" s="1"/>
    </row>
    <row r="29" spans="1:16" ht="30" customHeight="1">
      <c r="A29" s="1028" t="s">
        <v>26</v>
      </c>
      <c r="B29" s="1029" t="s">
        <v>228</v>
      </c>
      <c r="C29" s="365" t="s">
        <v>1505</v>
      </c>
      <c r="D29" s="439"/>
      <c r="E29" s="365"/>
      <c r="F29" s="1029" t="s">
        <v>1496</v>
      </c>
      <c r="G29" s="1029" t="s">
        <v>1497</v>
      </c>
      <c r="H29" s="1025" t="s">
        <v>1537</v>
      </c>
      <c r="I29" s="374">
        <v>90904653</v>
      </c>
      <c r="J29" s="487" t="s">
        <v>28</v>
      </c>
      <c r="K29" s="90">
        <v>6</v>
      </c>
      <c r="L29" s="32">
        <f>10-10</f>
        <v>0</v>
      </c>
      <c r="M29" s="172"/>
      <c r="N29" s="172"/>
      <c r="O29" s="208">
        <f t="shared" si="0"/>
        <v>0</v>
      </c>
      <c r="P29" s="1"/>
    </row>
    <row r="30" spans="1:16" ht="30" customHeight="1">
      <c r="A30" s="1028" t="s">
        <v>26</v>
      </c>
      <c r="B30" s="1029" t="s">
        <v>184</v>
      </c>
      <c r="C30" s="365" t="s">
        <v>1506</v>
      </c>
      <c r="D30" s="439"/>
      <c r="E30" s="365"/>
      <c r="F30" s="1029" t="s">
        <v>1496</v>
      </c>
      <c r="G30" s="1029" t="s">
        <v>1497</v>
      </c>
      <c r="H30" s="1025" t="s">
        <v>1538</v>
      </c>
      <c r="I30" s="374">
        <v>11440445</v>
      </c>
      <c r="J30" s="487" t="s">
        <v>28</v>
      </c>
      <c r="K30" s="90">
        <v>4.5</v>
      </c>
      <c r="L30" s="32">
        <f>15800-8241</f>
        <v>7559</v>
      </c>
      <c r="M30" s="172"/>
      <c r="N30" s="172"/>
      <c r="O30" s="208">
        <f t="shared" si="0"/>
        <v>7559</v>
      </c>
      <c r="P30" s="1"/>
    </row>
    <row r="31" spans="1:16" ht="30" customHeight="1">
      <c r="A31" s="1028" t="s">
        <v>26</v>
      </c>
      <c r="B31" s="1029" t="s">
        <v>184</v>
      </c>
      <c r="C31" s="365" t="s">
        <v>1507</v>
      </c>
      <c r="D31" s="439"/>
      <c r="E31" s="365"/>
      <c r="F31" s="1029" t="s">
        <v>1496</v>
      </c>
      <c r="G31" s="1029" t="s">
        <v>1497</v>
      </c>
      <c r="H31" s="1025" t="s">
        <v>1539</v>
      </c>
      <c r="I31" s="374">
        <v>8371824</v>
      </c>
      <c r="J31" s="487" t="s">
        <v>28</v>
      </c>
      <c r="K31" s="90">
        <v>6</v>
      </c>
      <c r="L31" s="32">
        <f>77033-70747</f>
        <v>6286</v>
      </c>
      <c r="M31" s="172"/>
      <c r="N31" s="172"/>
      <c r="O31" s="208">
        <f t="shared" si="0"/>
        <v>6286</v>
      </c>
      <c r="P31" s="1"/>
    </row>
    <row r="32" spans="1:16" ht="30" customHeight="1">
      <c r="A32" s="1028" t="s">
        <v>26</v>
      </c>
      <c r="B32" s="1029"/>
      <c r="C32" s="365" t="s">
        <v>1507</v>
      </c>
      <c r="D32" s="439"/>
      <c r="E32" s="365">
        <v>75</v>
      </c>
      <c r="F32" s="1029" t="s">
        <v>1496</v>
      </c>
      <c r="G32" s="1029" t="s">
        <v>1497</v>
      </c>
      <c r="H32" s="1025" t="s">
        <v>1540</v>
      </c>
      <c r="I32" s="463">
        <v>242143</v>
      </c>
      <c r="J32" s="487" t="s">
        <v>28</v>
      </c>
      <c r="K32" s="90">
        <v>3</v>
      </c>
      <c r="L32" s="32">
        <f>2711-1920</f>
        <v>791</v>
      </c>
      <c r="M32" s="172"/>
      <c r="N32" s="172"/>
      <c r="O32" s="208">
        <f t="shared" si="0"/>
        <v>791</v>
      </c>
      <c r="P32" s="1"/>
    </row>
    <row r="33" spans="1:16" ht="30" customHeight="1">
      <c r="A33" s="1028" t="s">
        <v>26</v>
      </c>
      <c r="B33" s="1029" t="s">
        <v>228</v>
      </c>
      <c r="C33" s="365" t="s">
        <v>1508</v>
      </c>
      <c r="D33" s="439"/>
      <c r="E33" s="365"/>
      <c r="F33" s="1029" t="s">
        <v>1496</v>
      </c>
      <c r="G33" s="1029" t="s">
        <v>1497</v>
      </c>
      <c r="H33" s="1025" t="s">
        <v>1541</v>
      </c>
      <c r="I33" s="374">
        <v>242877</v>
      </c>
      <c r="J33" s="487" t="s">
        <v>28</v>
      </c>
      <c r="K33" s="90">
        <v>12</v>
      </c>
      <c r="L33" s="32">
        <f>7050-5549</f>
        <v>1501</v>
      </c>
      <c r="M33" s="172"/>
      <c r="N33" s="172"/>
      <c r="O33" s="208">
        <f t="shared" si="0"/>
        <v>1501</v>
      </c>
      <c r="P33" s="1"/>
    </row>
    <row r="34" spans="1:16" ht="30" customHeight="1">
      <c r="A34" s="1028" t="s">
        <v>26</v>
      </c>
      <c r="B34" s="1029"/>
      <c r="C34" s="365" t="s">
        <v>1497</v>
      </c>
      <c r="D34" s="439" t="s">
        <v>1740</v>
      </c>
      <c r="E34" s="365"/>
      <c r="F34" s="1029" t="s">
        <v>1496</v>
      </c>
      <c r="G34" s="1029" t="s">
        <v>1497</v>
      </c>
      <c r="H34" s="1025" t="s">
        <v>1542</v>
      </c>
      <c r="I34" s="374">
        <v>13038301</v>
      </c>
      <c r="J34" s="487" t="s">
        <v>28</v>
      </c>
      <c r="K34" s="90">
        <v>1.1000000000000001</v>
      </c>
      <c r="L34" s="32">
        <f>12362-11545</f>
        <v>817</v>
      </c>
      <c r="M34" s="172"/>
      <c r="N34" s="172"/>
      <c r="O34" s="208">
        <f t="shared" si="0"/>
        <v>817</v>
      </c>
      <c r="P34" s="1"/>
    </row>
    <row r="35" spans="1:16" ht="30" customHeight="1">
      <c r="A35" s="1028" t="s">
        <v>26</v>
      </c>
      <c r="B35" s="1029"/>
      <c r="C35" s="365" t="s">
        <v>1509</v>
      </c>
      <c r="D35" s="439"/>
      <c r="E35" s="365"/>
      <c r="F35" s="1029" t="s">
        <v>1496</v>
      </c>
      <c r="G35" s="1029" t="s">
        <v>1497</v>
      </c>
      <c r="H35" s="1025" t="s">
        <v>1543</v>
      </c>
      <c r="I35" s="374">
        <v>1487679</v>
      </c>
      <c r="J35" s="487" t="s">
        <v>28</v>
      </c>
      <c r="K35" s="90">
        <v>1</v>
      </c>
      <c r="L35" s="32">
        <f>0-0</f>
        <v>0</v>
      </c>
      <c r="M35" s="172"/>
      <c r="N35" s="172"/>
      <c r="O35" s="208">
        <f t="shared" si="0"/>
        <v>0</v>
      </c>
      <c r="P35" s="1"/>
    </row>
    <row r="36" spans="1:16" ht="30" customHeight="1">
      <c r="A36" s="1028" t="s">
        <v>26</v>
      </c>
      <c r="B36" s="1029" t="s">
        <v>184</v>
      </c>
      <c r="C36" s="365" t="s">
        <v>1510</v>
      </c>
      <c r="D36" s="439"/>
      <c r="E36" s="365"/>
      <c r="F36" s="1029" t="s">
        <v>1496</v>
      </c>
      <c r="G36" s="1029" t="s">
        <v>1497</v>
      </c>
      <c r="H36" s="1025" t="s">
        <v>1544</v>
      </c>
      <c r="I36" s="374">
        <v>5686908</v>
      </c>
      <c r="J36" s="487" t="s">
        <v>28</v>
      </c>
      <c r="K36" s="90">
        <v>5.5</v>
      </c>
      <c r="L36" s="32">
        <f>52600-41458</f>
        <v>11142</v>
      </c>
      <c r="M36" s="172"/>
      <c r="N36" s="172"/>
      <c r="O36" s="208">
        <f t="shared" si="0"/>
        <v>11142</v>
      </c>
      <c r="P36" s="1"/>
    </row>
    <row r="37" spans="1:16" ht="30" customHeight="1">
      <c r="A37" s="1028" t="s">
        <v>26</v>
      </c>
      <c r="B37" s="1029"/>
      <c r="C37" s="365" t="s">
        <v>1497</v>
      </c>
      <c r="D37" s="439" t="s">
        <v>249</v>
      </c>
      <c r="E37" s="365"/>
      <c r="F37" s="1029" t="s">
        <v>1496</v>
      </c>
      <c r="G37" s="1029" t="s">
        <v>1497</v>
      </c>
      <c r="H37" s="1025" t="s">
        <v>1545</v>
      </c>
      <c r="I37" s="374">
        <v>12711400</v>
      </c>
      <c r="J37" s="487" t="s">
        <v>28</v>
      </c>
      <c r="K37" s="90">
        <v>1.1000000000000001</v>
      </c>
      <c r="L37" s="32">
        <f>2650-2574</f>
        <v>76</v>
      </c>
      <c r="M37" s="172"/>
      <c r="N37" s="172"/>
      <c r="O37" s="208">
        <f t="shared" si="0"/>
        <v>76</v>
      </c>
      <c r="P37" s="1"/>
    </row>
    <row r="38" spans="1:16" ht="30" customHeight="1">
      <c r="A38" s="1028" t="s">
        <v>26</v>
      </c>
      <c r="B38" s="1029"/>
      <c r="C38" s="365" t="s">
        <v>1497</v>
      </c>
      <c r="D38" s="439" t="s">
        <v>1546</v>
      </c>
      <c r="E38" s="365">
        <v>1</v>
      </c>
      <c r="F38" s="1029" t="s">
        <v>1496</v>
      </c>
      <c r="G38" s="1029" t="s">
        <v>1497</v>
      </c>
      <c r="H38" s="1025" t="s">
        <v>1547</v>
      </c>
      <c r="I38" s="374">
        <v>7979576</v>
      </c>
      <c r="J38" s="487" t="s">
        <v>28</v>
      </c>
      <c r="K38" s="90">
        <v>1.1000000000000001</v>
      </c>
      <c r="L38" s="32">
        <f>1632-1275</f>
        <v>357</v>
      </c>
      <c r="M38" s="172"/>
      <c r="N38" s="172"/>
      <c r="O38" s="208">
        <f t="shared" si="0"/>
        <v>357</v>
      </c>
      <c r="P38" s="1"/>
    </row>
    <row r="39" spans="1:16" ht="30" customHeight="1">
      <c r="A39" s="1028" t="s">
        <v>26</v>
      </c>
      <c r="B39" s="1029" t="s">
        <v>226</v>
      </c>
      <c r="C39" s="365" t="s">
        <v>1497</v>
      </c>
      <c r="D39" s="439" t="s">
        <v>1316</v>
      </c>
      <c r="E39" s="365"/>
      <c r="F39" s="1029" t="s">
        <v>1496</v>
      </c>
      <c r="G39" s="1029" t="s">
        <v>1497</v>
      </c>
      <c r="H39" s="1025" t="s">
        <v>1548</v>
      </c>
      <c r="I39" s="374">
        <v>11601462</v>
      </c>
      <c r="J39" s="487" t="s">
        <v>28</v>
      </c>
      <c r="K39" s="90">
        <v>16</v>
      </c>
      <c r="L39" s="32">
        <f>112987-102689</f>
        <v>10298</v>
      </c>
      <c r="M39" s="172"/>
      <c r="N39" s="172"/>
      <c r="O39" s="208">
        <f t="shared" si="0"/>
        <v>10298</v>
      </c>
      <c r="P39" s="1"/>
    </row>
    <row r="40" spans="1:16" ht="30" customHeight="1">
      <c r="A40" s="1028" t="s">
        <v>26</v>
      </c>
      <c r="B40" s="1029" t="s">
        <v>1700</v>
      </c>
      <c r="C40" s="365" t="s">
        <v>1497</v>
      </c>
      <c r="D40" s="439" t="s">
        <v>318</v>
      </c>
      <c r="E40" s="365">
        <v>4</v>
      </c>
      <c r="F40" s="1029" t="s">
        <v>1496</v>
      </c>
      <c r="G40" s="1029" t="s">
        <v>1497</v>
      </c>
      <c r="H40" s="1025" t="s">
        <v>1549</v>
      </c>
      <c r="I40" s="374">
        <v>71896370</v>
      </c>
      <c r="J40" s="377" t="s">
        <v>65</v>
      </c>
      <c r="K40" s="90">
        <v>12.5</v>
      </c>
      <c r="L40" s="172"/>
      <c r="M40" s="308">
        <f>10058-6498</f>
        <v>3560</v>
      </c>
      <c r="N40" s="171">
        <f>27947-17863</f>
        <v>10084</v>
      </c>
      <c r="O40" s="208">
        <f>M40+N40</f>
        <v>13644</v>
      </c>
      <c r="P40" s="1"/>
    </row>
    <row r="41" spans="1:16" ht="30" customHeight="1">
      <c r="A41" s="1028" t="s">
        <v>26</v>
      </c>
      <c r="B41" s="1029" t="s">
        <v>1699</v>
      </c>
      <c r="C41" s="365" t="s">
        <v>1497</v>
      </c>
      <c r="D41" s="439" t="s">
        <v>480</v>
      </c>
      <c r="E41" s="365">
        <v>10</v>
      </c>
      <c r="F41" s="1029" t="s">
        <v>1496</v>
      </c>
      <c r="G41" s="1029" t="s">
        <v>1497</v>
      </c>
      <c r="H41" s="1025" t="s">
        <v>1550</v>
      </c>
      <c r="I41" s="374">
        <v>24852395</v>
      </c>
      <c r="J41" s="487" t="s">
        <v>28</v>
      </c>
      <c r="K41" s="90">
        <v>2</v>
      </c>
      <c r="L41" s="32">
        <f>2-2</f>
        <v>0</v>
      </c>
      <c r="M41" s="172"/>
      <c r="N41" s="172"/>
      <c r="O41" s="208">
        <f t="shared" ref="O41:O46" si="1">L41</f>
        <v>0</v>
      </c>
      <c r="P41" s="1"/>
    </row>
    <row r="42" spans="1:16" ht="30" customHeight="1">
      <c r="A42" s="1028" t="s">
        <v>26</v>
      </c>
      <c r="B42" s="1029" t="s">
        <v>226</v>
      </c>
      <c r="C42" s="365" t="s">
        <v>1497</v>
      </c>
      <c r="D42" s="597" t="s">
        <v>1316</v>
      </c>
      <c r="E42" s="365" t="s">
        <v>1551</v>
      </c>
      <c r="F42" s="1029" t="s">
        <v>1496</v>
      </c>
      <c r="G42" s="1029" t="s">
        <v>1497</v>
      </c>
      <c r="H42" s="1025" t="s">
        <v>1552</v>
      </c>
      <c r="I42" s="374">
        <v>9233710</v>
      </c>
      <c r="J42" s="487" t="s">
        <v>28</v>
      </c>
      <c r="K42" s="90">
        <v>20</v>
      </c>
      <c r="L42" s="32">
        <f>187905-161229</f>
        <v>26676</v>
      </c>
      <c r="M42" s="172"/>
      <c r="N42" s="172"/>
      <c r="O42" s="208">
        <f t="shared" si="1"/>
        <v>26676</v>
      </c>
      <c r="P42" s="1"/>
    </row>
    <row r="43" spans="1:16" ht="30" customHeight="1">
      <c r="A43" s="1028" t="s">
        <v>26</v>
      </c>
      <c r="B43" s="1029" t="s">
        <v>1699</v>
      </c>
      <c r="C43" s="365" t="s">
        <v>1497</v>
      </c>
      <c r="D43" s="439" t="s">
        <v>480</v>
      </c>
      <c r="E43" s="365">
        <v>10</v>
      </c>
      <c r="F43" s="1029" t="s">
        <v>1496</v>
      </c>
      <c r="G43" s="1029" t="s">
        <v>1497</v>
      </c>
      <c r="H43" s="1025" t="s">
        <v>1553</v>
      </c>
      <c r="I43" s="374">
        <v>12250937</v>
      </c>
      <c r="J43" s="487" t="s">
        <v>28</v>
      </c>
      <c r="K43" s="90">
        <v>4.5</v>
      </c>
      <c r="L43" s="32">
        <f>269542-256121</f>
        <v>13421</v>
      </c>
      <c r="M43" s="172"/>
      <c r="N43" s="172"/>
      <c r="O43" s="208">
        <f t="shared" si="1"/>
        <v>13421</v>
      </c>
      <c r="P43" s="1"/>
    </row>
    <row r="44" spans="1:16" ht="30" customHeight="1">
      <c r="A44" s="1028" t="s">
        <v>26</v>
      </c>
      <c r="B44" s="1029" t="s">
        <v>1699</v>
      </c>
      <c r="C44" s="365" t="s">
        <v>1497</v>
      </c>
      <c r="D44" s="439" t="s">
        <v>480</v>
      </c>
      <c r="E44" s="365">
        <v>10</v>
      </c>
      <c r="F44" s="1029" t="s">
        <v>1496</v>
      </c>
      <c r="G44" s="1029" t="s">
        <v>1497</v>
      </c>
      <c r="H44" s="1025" t="s">
        <v>1554</v>
      </c>
      <c r="I44" s="374">
        <v>19590931</v>
      </c>
      <c r="J44" s="487" t="s">
        <v>28</v>
      </c>
      <c r="K44" s="90">
        <v>2</v>
      </c>
      <c r="L44" s="32">
        <f>30968-26956</f>
        <v>4012</v>
      </c>
      <c r="M44" s="172"/>
      <c r="N44" s="172"/>
      <c r="O44" s="208">
        <f t="shared" si="1"/>
        <v>4012</v>
      </c>
      <c r="P44" s="1"/>
    </row>
    <row r="45" spans="1:16" ht="30" customHeight="1">
      <c r="A45" s="1028" t="s">
        <v>26</v>
      </c>
      <c r="B45" s="1029"/>
      <c r="C45" s="365" t="s">
        <v>1497</v>
      </c>
      <c r="D45" s="439" t="s">
        <v>779</v>
      </c>
      <c r="E45" s="365"/>
      <c r="F45" s="1029" t="s">
        <v>1496</v>
      </c>
      <c r="G45" s="1029" t="s">
        <v>1497</v>
      </c>
      <c r="H45" s="1025" t="s">
        <v>1555</v>
      </c>
      <c r="I45" s="374">
        <v>12612369</v>
      </c>
      <c r="J45" s="487" t="s">
        <v>28</v>
      </c>
      <c r="K45" s="90">
        <v>1.1000000000000001</v>
      </c>
      <c r="L45" s="32">
        <f>57-49</f>
        <v>8</v>
      </c>
      <c r="M45" s="172"/>
      <c r="N45" s="172"/>
      <c r="O45" s="208">
        <f t="shared" si="1"/>
        <v>8</v>
      </c>
      <c r="P45" s="1"/>
    </row>
    <row r="46" spans="1:16" ht="30" customHeight="1">
      <c r="A46" s="1028" t="s">
        <v>26</v>
      </c>
      <c r="B46" s="1029" t="s">
        <v>1699</v>
      </c>
      <c r="C46" s="365" t="s">
        <v>1497</v>
      </c>
      <c r="D46" s="439" t="s">
        <v>1511</v>
      </c>
      <c r="E46" s="365">
        <v>9</v>
      </c>
      <c r="F46" s="1029" t="s">
        <v>1496</v>
      </c>
      <c r="G46" s="1029" t="s">
        <v>1497</v>
      </c>
      <c r="H46" s="1025" t="s">
        <v>1556</v>
      </c>
      <c r="I46" s="374">
        <v>20743621</v>
      </c>
      <c r="J46" s="29" t="s">
        <v>716</v>
      </c>
      <c r="K46" s="90"/>
      <c r="L46" s="32">
        <f>52-52</f>
        <v>0</v>
      </c>
      <c r="M46" s="172"/>
      <c r="N46" s="172"/>
      <c r="O46" s="208">
        <f t="shared" si="1"/>
        <v>0</v>
      </c>
      <c r="P46" s="1"/>
    </row>
    <row r="47" spans="1:16" ht="30" customHeight="1">
      <c r="A47" s="1028" t="s">
        <v>26</v>
      </c>
      <c r="B47" s="1029" t="s">
        <v>1699</v>
      </c>
      <c r="C47" s="365" t="s">
        <v>1497</v>
      </c>
      <c r="D47" s="439" t="s">
        <v>1316</v>
      </c>
      <c r="E47" s="365" t="s">
        <v>1557</v>
      </c>
      <c r="F47" s="1029" t="s">
        <v>1496</v>
      </c>
      <c r="G47" s="1029" t="s">
        <v>1497</v>
      </c>
      <c r="H47" s="1025" t="s">
        <v>1558</v>
      </c>
      <c r="I47" s="374">
        <v>229065</v>
      </c>
      <c r="J47" s="377" t="s">
        <v>65</v>
      </c>
      <c r="K47" s="90">
        <v>7</v>
      </c>
      <c r="L47" s="172"/>
      <c r="M47" s="308">
        <f>5550-2795</f>
        <v>2755</v>
      </c>
      <c r="N47" s="171">
        <f>14588-7184</f>
        <v>7404</v>
      </c>
      <c r="O47" s="208">
        <f>M47+N47</f>
        <v>10159</v>
      </c>
      <c r="P47" s="1"/>
    </row>
    <row r="48" spans="1:16" ht="30" customHeight="1">
      <c r="A48" s="1028" t="s">
        <v>26</v>
      </c>
      <c r="B48" s="1029"/>
      <c r="C48" s="365" t="s">
        <v>1497</v>
      </c>
      <c r="D48" s="439" t="s">
        <v>779</v>
      </c>
      <c r="E48" s="365"/>
      <c r="F48" s="1029" t="s">
        <v>1496</v>
      </c>
      <c r="G48" s="1029" t="s">
        <v>1497</v>
      </c>
      <c r="H48" s="1025" t="s">
        <v>1559</v>
      </c>
      <c r="I48" s="374">
        <v>12703135</v>
      </c>
      <c r="J48" s="487" t="s">
        <v>28</v>
      </c>
      <c r="K48" s="90">
        <v>1.1000000000000001</v>
      </c>
      <c r="L48" s="32">
        <f>46128-43889</f>
        <v>2239</v>
      </c>
      <c r="M48" s="172"/>
      <c r="N48" s="172"/>
      <c r="O48" s="208">
        <f t="shared" ref="O48:O56" si="2">L48</f>
        <v>2239</v>
      </c>
      <c r="P48" s="1"/>
    </row>
    <row r="49" spans="1:16" ht="30" customHeight="1">
      <c r="A49" s="1028" t="s">
        <v>26</v>
      </c>
      <c r="B49" s="1029"/>
      <c r="C49" s="365" t="s">
        <v>1497</v>
      </c>
      <c r="D49" s="365" t="s">
        <v>1511</v>
      </c>
      <c r="E49" s="365"/>
      <c r="F49" s="1029" t="s">
        <v>1496</v>
      </c>
      <c r="G49" s="1029" t="s">
        <v>1497</v>
      </c>
      <c r="H49" s="1025" t="s">
        <v>1560</v>
      </c>
      <c r="I49" s="374">
        <v>12712723</v>
      </c>
      <c r="J49" s="487" t="s">
        <v>28</v>
      </c>
      <c r="K49" s="90">
        <v>1.1000000000000001</v>
      </c>
      <c r="L49" s="32">
        <f>35578-31676</f>
        <v>3902</v>
      </c>
      <c r="M49" s="172"/>
      <c r="N49" s="172"/>
      <c r="O49" s="208">
        <f t="shared" si="2"/>
        <v>3902</v>
      </c>
      <c r="P49" s="1"/>
    </row>
    <row r="50" spans="1:16" ht="30" customHeight="1">
      <c r="A50" s="1028" t="s">
        <v>26</v>
      </c>
      <c r="B50" s="1029" t="s">
        <v>228</v>
      </c>
      <c r="C50" s="365" t="s">
        <v>1561</v>
      </c>
      <c r="D50" s="365"/>
      <c r="E50" s="365"/>
      <c r="F50" s="1029" t="s">
        <v>1496</v>
      </c>
      <c r="G50" s="1029" t="s">
        <v>1497</v>
      </c>
      <c r="H50" s="1025" t="s">
        <v>1562</v>
      </c>
      <c r="I50" s="374">
        <v>19589106</v>
      </c>
      <c r="J50" s="29" t="s">
        <v>716</v>
      </c>
      <c r="K50" s="90"/>
      <c r="L50" s="32">
        <f>39948-35264</f>
        <v>4684</v>
      </c>
      <c r="M50" s="172"/>
      <c r="N50" s="172"/>
      <c r="O50" s="208">
        <f t="shared" si="2"/>
        <v>4684</v>
      </c>
      <c r="P50" s="1"/>
    </row>
    <row r="51" spans="1:16" ht="30" customHeight="1">
      <c r="A51" s="1028" t="s">
        <v>26</v>
      </c>
      <c r="B51" s="1029"/>
      <c r="C51" s="365" t="s">
        <v>1561</v>
      </c>
      <c r="D51" s="365"/>
      <c r="E51" s="365"/>
      <c r="F51" s="1029" t="s">
        <v>1496</v>
      </c>
      <c r="G51" s="1029" t="s">
        <v>1497</v>
      </c>
      <c r="H51" s="1025" t="s">
        <v>1563</v>
      </c>
      <c r="I51" s="374">
        <v>1409605</v>
      </c>
      <c r="J51" s="487" t="s">
        <v>28</v>
      </c>
      <c r="K51" s="90">
        <v>2</v>
      </c>
      <c r="L51" s="32">
        <f>8020-6581</f>
        <v>1439</v>
      </c>
      <c r="M51" s="172"/>
      <c r="N51" s="172"/>
      <c r="O51" s="208">
        <f t="shared" si="2"/>
        <v>1439</v>
      </c>
      <c r="P51" s="1"/>
    </row>
    <row r="52" spans="1:16" ht="30" customHeight="1">
      <c r="A52" s="1028" t="s">
        <v>26</v>
      </c>
      <c r="B52" s="1029" t="s">
        <v>1699</v>
      </c>
      <c r="C52" s="365" t="s">
        <v>1512</v>
      </c>
      <c r="D52" s="365"/>
      <c r="E52" s="365" t="s">
        <v>1564</v>
      </c>
      <c r="F52" s="1029" t="s">
        <v>1496</v>
      </c>
      <c r="G52" s="1029" t="s">
        <v>1497</v>
      </c>
      <c r="H52" s="1025" t="s">
        <v>1565</v>
      </c>
      <c r="I52" s="374">
        <v>23614748</v>
      </c>
      <c r="J52" s="29" t="s">
        <v>716</v>
      </c>
      <c r="K52" s="90"/>
      <c r="L52" s="32">
        <f>1193-1158</f>
        <v>35</v>
      </c>
      <c r="M52" s="172"/>
      <c r="N52" s="172"/>
      <c r="O52" s="208">
        <f t="shared" si="2"/>
        <v>35</v>
      </c>
      <c r="P52" s="1"/>
    </row>
    <row r="53" spans="1:16" ht="30" customHeight="1">
      <c r="A53" s="1028" t="s">
        <v>26</v>
      </c>
      <c r="B53" s="1029" t="s">
        <v>1699</v>
      </c>
      <c r="C53" s="365" t="s">
        <v>1512</v>
      </c>
      <c r="D53" s="365"/>
      <c r="E53" s="365" t="s">
        <v>1567</v>
      </c>
      <c r="F53" s="1029" t="s">
        <v>1496</v>
      </c>
      <c r="G53" s="1029" t="s">
        <v>1497</v>
      </c>
      <c r="H53" s="1025" t="s">
        <v>1566</v>
      </c>
      <c r="I53" s="374">
        <v>21012609</v>
      </c>
      <c r="J53" s="29" t="s">
        <v>716</v>
      </c>
      <c r="K53" s="90"/>
      <c r="L53" s="32">
        <f>3300-3300</f>
        <v>0</v>
      </c>
      <c r="M53" s="172"/>
      <c r="N53" s="172"/>
      <c r="O53" s="208">
        <f t="shared" si="2"/>
        <v>0</v>
      </c>
      <c r="P53" s="1"/>
    </row>
    <row r="54" spans="1:16" ht="30" customHeight="1">
      <c r="A54" s="1028" t="s">
        <v>26</v>
      </c>
      <c r="B54" s="1029" t="s">
        <v>1699</v>
      </c>
      <c r="C54" s="365" t="s">
        <v>1512</v>
      </c>
      <c r="D54" s="365"/>
      <c r="E54" s="365" t="s">
        <v>1568</v>
      </c>
      <c r="F54" s="1029" t="s">
        <v>1496</v>
      </c>
      <c r="G54" s="1029" t="s">
        <v>1497</v>
      </c>
      <c r="H54" s="1025" t="s">
        <v>1569</v>
      </c>
      <c r="I54" s="374">
        <v>20562176</v>
      </c>
      <c r="J54" s="29" t="s">
        <v>716</v>
      </c>
      <c r="K54" s="90"/>
      <c r="L54" s="32">
        <f>721-721</f>
        <v>0</v>
      </c>
      <c r="M54" s="172"/>
      <c r="N54" s="172"/>
      <c r="O54" s="208">
        <f t="shared" si="2"/>
        <v>0</v>
      </c>
      <c r="P54" s="1"/>
    </row>
    <row r="55" spans="1:16" ht="30" customHeight="1">
      <c r="A55" s="1028" t="s">
        <v>26</v>
      </c>
      <c r="B55" s="1029" t="s">
        <v>1699</v>
      </c>
      <c r="C55" s="365" t="s">
        <v>1512</v>
      </c>
      <c r="D55" s="365"/>
      <c r="E55" s="365" t="s">
        <v>1570</v>
      </c>
      <c r="F55" s="1029" t="s">
        <v>1496</v>
      </c>
      <c r="G55" s="1029" t="s">
        <v>1497</v>
      </c>
      <c r="H55" s="1025" t="s">
        <v>1571</v>
      </c>
      <c r="I55" s="374">
        <v>20758505</v>
      </c>
      <c r="J55" s="29" t="s">
        <v>716</v>
      </c>
      <c r="K55" s="90"/>
      <c r="L55" s="32">
        <f>3126-3126</f>
        <v>0</v>
      </c>
      <c r="M55" s="172"/>
      <c r="N55" s="172"/>
      <c r="O55" s="208">
        <f t="shared" si="2"/>
        <v>0</v>
      </c>
      <c r="P55" s="1"/>
    </row>
    <row r="56" spans="1:16" ht="30" customHeight="1">
      <c r="A56" s="1028" t="s">
        <v>26</v>
      </c>
      <c r="B56" s="1029"/>
      <c r="C56" s="365" t="s">
        <v>1512</v>
      </c>
      <c r="D56" s="365"/>
      <c r="E56" s="365">
        <v>18</v>
      </c>
      <c r="F56" s="1029" t="s">
        <v>1496</v>
      </c>
      <c r="G56" s="1029" t="s">
        <v>1497</v>
      </c>
      <c r="H56" s="1025" t="s">
        <v>1572</v>
      </c>
      <c r="I56" s="463">
        <v>1481172</v>
      </c>
      <c r="J56" s="487" t="s">
        <v>28</v>
      </c>
      <c r="K56" s="90">
        <v>2</v>
      </c>
      <c r="L56" s="32">
        <f>5903-4484</f>
        <v>1419</v>
      </c>
      <c r="M56" s="172"/>
      <c r="N56" s="172"/>
      <c r="O56" s="208">
        <f t="shared" si="2"/>
        <v>1419</v>
      </c>
      <c r="P56" s="1"/>
    </row>
    <row r="57" spans="1:16" ht="30" customHeight="1">
      <c r="A57" s="1028" t="s">
        <v>26</v>
      </c>
      <c r="B57" s="1029" t="s">
        <v>228</v>
      </c>
      <c r="C57" s="365" t="s">
        <v>1513</v>
      </c>
      <c r="D57" s="365"/>
      <c r="E57" s="365"/>
      <c r="F57" s="1029" t="s">
        <v>1496</v>
      </c>
      <c r="G57" s="1029" t="s">
        <v>1497</v>
      </c>
      <c r="H57" s="1025" t="s">
        <v>1573</v>
      </c>
      <c r="I57" s="374">
        <v>90376465</v>
      </c>
      <c r="J57" s="377" t="s">
        <v>442</v>
      </c>
      <c r="K57" s="90">
        <v>12</v>
      </c>
      <c r="L57" s="172"/>
      <c r="M57" s="308">
        <f>68-45</f>
        <v>23</v>
      </c>
      <c r="N57" s="171">
        <f>48-30</f>
        <v>18</v>
      </c>
      <c r="O57" s="208">
        <f>M57+N57</f>
        <v>41</v>
      </c>
      <c r="P57" s="1"/>
    </row>
    <row r="58" spans="1:16" ht="30" customHeight="1">
      <c r="A58" s="1028" t="s">
        <v>26</v>
      </c>
      <c r="B58" s="1029"/>
      <c r="C58" s="365" t="s">
        <v>1574</v>
      </c>
      <c r="D58" s="365"/>
      <c r="E58" s="365" t="s">
        <v>859</v>
      </c>
      <c r="F58" s="1029" t="s">
        <v>1496</v>
      </c>
      <c r="G58" s="1029" t="s">
        <v>1497</v>
      </c>
      <c r="H58" s="1025" t="s">
        <v>1575</v>
      </c>
      <c r="I58" s="374">
        <v>25364724</v>
      </c>
      <c r="J58" s="487" t="s">
        <v>28</v>
      </c>
      <c r="K58" s="90">
        <v>1.4</v>
      </c>
      <c r="L58" s="32">
        <f>13198-9819</f>
        <v>3379</v>
      </c>
      <c r="M58" s="172"/>
      <c r="N58" s="172"/>
      <c r="O58" s="208">
        <f t="shared" ref="O58:O70" si="3">L58</f>
        <v>3379</v>
      </c>
      <c r="P58" s="1"/>
    </row>
    <row r="59" spans="1:16" ht="30" customHeight="1">
      <c r="A59" s="1028" t="s">
        <v>26</v>
      </c>
      <c r="B59" s="1029" t="s">
        <v>228</v>
      </c>
      <c r="C59" s="365" t="s">
        <v>1576</v>
      </c>
      <c r="D59" s="439"/>
      <c r="E59" s="365"/>
      <c r="F59" s="1029" t="s">
        <v>1496</v>
      </c>
      <c r="G59" s="1029" t="s">
        <v>1497</v>
      </c>
      <c r="H59" s="1025" t="s">
        <v>1577</v>
      </c>
      <c r="I59" s="463">
        <v>83427004</v>
      </c>
      <c r="J59" s="487" t="s">
        <v>28</v>
      </c>
      <c r="K59" s="90">
        <v>1</v>
      </c>
      <c r="L59" s="32">
        <f>0.8-0.8</f>
        <v>0</v>
      </c>
      <c r="M59" s="172"/>
      <c r="N59" s="172"/>
      <c r="O59" s="208">
        <f t="shared" si="3"/>
        <v>0</v>
      </c>
      <c r="P59" s="1"/>
    </row>
    <row r="60" spans="1:16" ht="30" customHeight="1">
      <c r="A60" s="1028" t="s">
        <v>26</v>
      </c>
      <c r="B60" s="1287" t="s">
        <v>228</v>
      </c>
      <c r="C60" s="365" t="s">
        <v>1514</v>
      </c>
      <c r="D60" s="439"/>
      <c r="E60" s="365" t="s">
        <v>1578</v>
      </c>
      <c r="F60" s="1029" t="s">
        <v>1496</v>
      </c>
      <c r="G60" s="1029" t="s">
        <v>1497</v>
      </c>
      <c r="H60" s="1025" t="s">
        <v>1579</v>
      </c>
      <c r="I60" s="374">
        <v>70903237</v>
      </c>
      <c r="J60" s="487" t="s">
        <v>28</v>
      </c>
      <c r="K60" s="90">
        <v>13</v>
      </c>
      <c r="L60" s="32">
        <f>69892-58655</f>
        <v>11237</v>
      </c>
      <c r="M60" s="172"/>
      <c r="N60" s="172"/>
      <c r="O60" s="208">
        <f t="shared" si="3"/>
        <v>11237</v>
      </c>
      <c r="P60" s="1"/>
    </row>
    <row r="61" spans="1:16" ht="30" customHeight="1">
      <c r="A61" s="1028" t="s">
        <v>26</v>
      </c>
      <c r="B61" s="1287" t="s">
        <v>228</v>
      </c>
      <c r="C61" s="365" t="s">
        <v>1515</v>
      </c>
      <c r="D61" s="439"/>
      <c r="E61" s="365">
        <v>45</v>
      </c>
      <c r="F61" s="1029" t="s">
        <v>1496</v>
      </c>
      <c r="G61" s="1029" t="s">
        <v>1497</v>
      </c>
      <c r="H61" s="1025" t="s">
        <v>1580</v>
      </c>
      <c r="I61" s="374">
        <v>90379841</v>
      </c>
      <c r="J61" s="487" t="s">
        <v>28</v>
      </c>
      <c r="K61" s="90">
        <v>4</v>
      </c>
      <c r="L61" s="32">
        <f>8-8</f>
        <v>0</v>
      </c>
      <c r="M61" s="172"/>
      <c r="N61" s="172"/>
      <c r="O61" s="208">
        <f t="shared" si="3"/>
        <v>0</v>
      </c>
      <c r="P61" s="1"/>
    </row>
    <row r="62" spans="1:16" ht="30" customHeight="1">
      <c r="A62" s="1028" t="s">
        <v>26</v>
      </c>
      <c r="B62" s="1287" t="s">
        <v>228</v>
      </c>
      <c r="C62" s="365" t="s">
        <v>1516</v>
      </c>
      <c r="D62" s="439"/>
      <c r="E62" s="365"/>
      <c r="F62" s="1029" t="s">
        <v>1496</v>
      </c>
      <c r="G62" s="1029" t="s">
        <v>1497</v>
      </c>
      <c r="H62" s="1025" t="s">
        <v>1581</v>
      </c>
      <c r="I62" s="374">
        <v>11560190</v>
      </c>
      <c r="J62" s="487" t="s">
        <v>28</v>
      </c>
      <c r="K62" s="90">
        <v>13</v>
      </c>
      <c r="L62" s="32">
        <f>42246-26365</f>
        <v>15881</v>
      </c>
      <c r="M62" s="172"/>
      <c r="N62" s="172"/>
      <c r="O62" s="208">
        <f t="shared" si="3"/>
        <v>15881</v>
      </c>
      <c r="P62" s="1"/>
    </row>
    <row r="63" spans="1:16" ht="30" customHeight="1">
      <c r="A63" s="1028" t="s">
        <v>26</v>
      </c>
      <c r="B63" s="1029"/>
      <c r="C63" s="365" t="s">
        <v>1517</v>
      </c>
      <c r="D63" s="439"/>
      <c r="E63" s="365"/>
      <c r="F63" s="1029" t="s">
        <v>1496</v>
      </c>
      <c r="G63" s="1029" t="s">
        <v>1497</v>
      </c>
      <c r="H63" s="1025" t="s">
        <v>1582</v>
      </c>
      <c r="I63" s="374">
        <v>119162</v>
      </c>
      <c r="J63" s="487" t="s">
        <v>28</v>
      </c>
      <c r="K63" s="90">
        <v>7</v>
      </c>
      <c r="L63" s="32">
        <f>22-22</f>
        <v>0</v>
      </c>
      <c r="M63" s="172"/>
      <c r="N63" s="172"/>
      <c r="O63" s="208">
        <f t="shared" si="3"/>
        <v>0</v>
      </c>
      <c r="P63" s="1"/>
    </row>
    <row r="64" spans="1:16" ht="30" customHeight="1">
      <c r="A64" s="1028" t="s">
        <v>26</v>
      </c>
      <c r="B64" s="1029" t="s">
        <v>228</v>
      </c>
      <c r="C64" s="365" t="s">
        <v>1518</v>
      </c>
      <c r="D64" s="439" t="s">
        <v>1502</v>
      </c>
      <c r="E64" s="365"/>
      <c r="F64" s="1029" t="s">
        <v>1496</v>
      </c>
      <c r="G64" s="1029" t="s">
        <v>1497</v>
      </c>
      <c r="H64" s="1025" t="s">
        <v>1583</v>
      </c>
      <c r="I64" s="374">
        <v>78240952</v>
      </c>
      <c r="J64" s="487" t="s">
        <v>28</v>
      </c>
      <c r="K64" s="90">
        <v>14</v>
      </c>
      <c r="L64" s="32">
        <f>110165-101520</f>
        <v>8645</v>
      </c>
      <c r="M64" s="172"/>
      <c r="N64" s="172"/>
      <c r="O64" s="208">
        <f t="shared" si="3"/>
        <v>8645</v>
      </c>
      <c r="P64" s="1"/>
    </row>
    <row r="65" spans="1:16" ht="30" customHeight="1">
      <c r="A65" s="1028" t="s">
        <v>26</v>
      </c>
      <c r="B65" s="1029" t="s">
        <v>855</v>
      </c>
      <c r="C65" s="365" t="s">
        <v>1518</v>
      </c>
      <c r="D65" s="439"/>
      <c r="E65" s="365"/>
      <c r="F65" s="1029" t="s">
        <v>1496</v>
      </c>
      <c r="G65" s="1029" t="s">
        <v>1497</v>
      </c>
      <c r="H65" s="1025" t="s">
        <v>1584</v>
      </c>
      <c r="I65" s="374">
        <v>12817220</v>
      </c>
      <c r="J65" s="487" t="s">
        <v>28</v>
      </c>
      <c r="K65" s="90">
        <v>7</v>
      </c>
      <c r="L65" s="32">
        <f>146737-136532</f>
        <v>10205</v>
      </c>
      <c r="M65" s="172"/>
      <c r="N65" s="172"/>
      <c r="O65" s="208">
        <f t="shared" si="3"/>
        <v>10205</v>
      </c>
      <c r="P65" s="1"/>
    </row>
    <row r="66" spans="1:16" ht="30" customHeight="1">
      <c r="A66" s="1028" t="s">
        <v>26</v>
      </c>
      <c r="B66" s="1029"/>
      <c r="C66" s="365" t="s">
        <v>1518</v>
      </c>
      <c r="D66" s="439"/>
      <c r="E66" s="365"/>
      <c r="F66" s="1029" t="s">
        <v>1496</v>
      </c>
      <c r="G66" s="1029" t="s">
        <v>1497</v>
      </c>
      <c r="H66" s="1025" t="s">
        <v>1585</v>
      </c>
      <c r="I66" s="374">
        <v>7052841</v>
      </c>
      <c r="J66" s="487" t="s">
        <v>28</v>
      </c>
      <c r="K66" s="90">
        <v>5.5</v>
      </c>
      <c r="L66" s="32">
        <f>3137-2164</f>
        <v>973</v>
      </c>
      <c r="M66" s="172"/>
      <c r="N66" s="172"/>
      <c r="O66" s="208">
        <f t="shared" si="3"/>
        <v>973</v>
      </c>
      <c r="P66" s="1"/>
    </row>
    <row r="67" spans="1:16" ht="30" customHeight="1">
      <c r="A67" s="1028" t="s">
        <v>26</v>
      </c>
      <c r="B67" s="1029" t="s">
        <v>1699</v>
      </c>
      <c r="C67" s="365" t="s">
        <v>1498</v>
      </c>
      <c r="D67" s="439"/>
      <c r="E67" s="365">
        <v>36</v>
      </c>
      <c r="F67" s="1029" t="s">
        <v>1496</v>
      </c>
      <c r="G67" s="1029" t="s">
        <v>1497</v>
      </c>
      <c r="H67" s="1025" t="s">
        <v>1590</v>
      </c>
      <c r="I67" s="374">
        <v>10694526</v>
      </c>
      <c r="J67" s="487" t="s">
        <v>28</v>
      </c>
      <c r="K67" s="90">
        <v>12.6</v>
      </c>
      <c r="L67" s="32">
        <f>105553-102405</f>
        <v>3148</v>
      </c>
      <c r="M67" s="172"/>
      <c r="N67" s="172"/>
      <c r="O67" s="208">
        <f t="shared" si="3"/>
        <v>3148</v>
      </c>
      <c r="P67" s="1"/>
    </row>
    <row r="68" spans="1:16" ht="30" customHeight="1">
      <c r="A68" s="1028" t="s">
        <v>26</v>
      </c>
      <c r="B68" s="1032" t="s">
        <v>1699</v>
      </c>
      <c r="C68" s="634" t="s">
        <v>1518</v>
      </c>
      <c r="D68" s="653"/>
      <c r="E68" s="634">
        <v>29</v>
      </c>
      <c r="F68" s="1032" t="s">
        <v>1496</v>
      </c>
      <c r="G68" s="1032" t="s">
        <v>1497</v>
      </c>
      <c r="H68" s="1112" t="s">
        <v>1586</v>
      </c>
      <c r="I68" s="689">
        <v>27417</v>
      </c>
      <c r="J68" s="1023" t="s">
        <v>716</v>
      </c>
      <c r="K68" s="1288"/>
      <c r="L68" s="115">
        <f>1-1</f>
        <v>0</v>
      </c>
      <c r="M68" s="170"/>
      <c r="N68" s="170"/>
      <c r="O68" s="203">
        <f t="shared" si="3"/>
        <v>0</v>
      </c>
      <c r="P68" s="1"/>
    </row>
    <row r="69" spans="1:16" ht="33.75" customHeight="1">
      <c r="A69" s="1028" t="s">
        <v>26</v>
      </c>
      <c r="B69" s="365" t="s">
        <v>1699</v>
      </c>
      <c r="C69" s="365" t="s">
        <v>1509</v>
      </c>
      <c r="D69" s="439"/>
      <c r="E69" s="365">
        <v>42</v>
      </c>
      <c r="F69" s="365" t="s">
        <v>1496</v>
      </c>
      <c r="G69" s="634" t="s">
        <v>1497</v>
      </c>
      <c r="H69" s="1026" t="s">
        <v>1593</v>
      </c>
      <c r="I69" s="374">
        <v>104663</v>
      </c>
      <c r="J69" s="487" t="s">
        <v>28</v>
      </c>
      <c r="K69" s="90">
        <v>17</v>
      </c>
      <c r="L69" s="32">
        <f>41960-37932</f>
        <v>4028</v>
      </c>
      <c r="M69" s="172"/>
      <c r="N69" s="172"/>
      <c r="O69" s="208">
        <f t="shared" si="3"/>
        <v>4028</v>
      </c>
      <c r="P69" s="1"/>
    </row>
    <row r="70" spans="1:16" ht="33.75" customHeight="1">
      <c r="A70" s="1028" t="s">
        <v>26</v>
      </c>
      <c r="B70" s="365"/>
      <c r="C70" s="365" t="s">
        <v>1533</v>
      </c>
      <c r="D70" s="439"/>
      <c r="E70" s="365" t="s">
        <v>1735</v>
      </c>
      <c r="F70" s="365" t="s">
        <v>1496</v>
      </c>
      <c r="G70" s="365" t="s">
        <v>1497</v>
      </c>
      <c r="H70" s="1026" t="s">
        <v>1736</v>
      </c>
      <c r="I70" s="374">
        <v>91001181</v>
      </c>
      <c r="J70" s="487" t="s">
        <v>28</v>
      </c>
      <c r="K70" s="90">
        <v>7</v>
      </c>
      <c r="L70" s="32">
        <f>100</f>
        <v>100</v>
      </c>
      <c r="M70" s="172"/>
      <c r="N70" s="172"/>
      <c r="O70" s="208">
        <f t="shared" si="3"/>
        <v>100</v>
      </c>
      <c r="P70" s="1"/>
    </row>
    <row r="71" spans="1:16" ht="33.75" customHeight="1">
      <c r="A71" s="1028" t="s">
        <v>26</v>
      </c>
      <c r="B71" s="365"/>
      <c r="C71" s="365" t="s">
        <v>1508</v>
      </c>
      <c r="D71" s="439" t="s">
        <v>318</v>
      </c>
      <c r="E71" s="365" t="s">
        <v>1737</v>
      </c>
      <c r="F71" s="365" t="s">
        <v>1496</v>
      </c>
      <c r="G71" s="365" t="s">
        <v>1497</v>
      </c>
      <c r="H71" s="1025" t="s">
        <v>1738</v>
      </c>
      <c r="I71" s="374">
        <v>83670125</v>
      </c>
      <c r="J71" s="377" t="s">
        <v>65</v>
      </c>
      <c r="K71" s="90">
        <v>1</v>
      </c>
      <c r="L71" s="172"/>
      <c r="M71" s="308">
        <v>250</v>
      </c>
      <c r="N71" s="171">
        <v>1500</v>
      </c>
      <c r="O71" s="208">
        <f>M71+N71</f>
        <v>1750</v>
      </c>
      <c r="P71" s="1"/>
    </row>
    <row r="72" spans="1:16" ht="33.75" customHeight="1" thickBot="1">
      <c r="A72" s="1028" t="s">
        <v>26</v>
      </c>
      <c r="B72" s="365"/>
      <c r="C72" s="365" t="s">
        <v>1533</v>
      </c>
      <c r="D72" s="439"/>
      <c r="E72" s="365">
        <v>11</v>
      </c>
      <c r="F72" s="365" t="s">
        <v>1496</v>
      </c>
      <c r="G72" s="634" t="s">
        <v>1497</v>
      </c>
      <c r="H72" s="1026" t="s">
        <v>1739</v>
      </c>
      <c r="I72" s="374">
        <v>83599336</v>
      </c>
      <c r="J72" s="487" t="s">
        <v>28</v>
      </c>
      <c r="K72" s="90">
        <v>4</v>
      </c>
      <c r="L72" s="32">
        <v>100</v>
      </c>
      <c r="M72" s="172"/>
      <c r="N72" s="172"/>
      <c r="O72" s="208">
        <f>L72</f>
        <v>100</v>
      </c>
      <c r="P72" s="1"/>
    </row>
    <row r="73" spans="1:16" ht="48.75" customHeight="1">
      <c r="A73" s="1"/>
      <c r="B73" s="1269" t="s">
        <v>22</v>
      </c>
      <c r="C73" s="1270" t="s">
        <v>1519</v>
      </c>
      <c r="D73" s="1271"/>
      <c r="E73" s="1330"/>
      <c r="F73" s="246"/>
      <c r="G73" s="1622" t="s">
        <v>1920</v>
      </c>
      <c r="H73" s="1276" t="s">
        <v>1519</v>
      </c>
      <c r="I73" s="1"/>
      <c r="J73" s="1"/>
      <c r="K73" s="1"/>
      <c r="L73" s="123"/>
      <c r="M73" s="123"/>
      <c r="N73" s="1035" t="s">
        <v>62</v>
      </c>
      <c r="O73" s="1289">
        <f>SUM(O17:O72)</f>
        <v>272660</v>
      </c>
      <c r="P73" s="1"/>
    </row>
    <row r="74" spans="1:16" ht="15">
      <c r="A74" s="1"/>
      <c r="B74" s="604"/>
      <c r="C74" s="1272" t="s">
        <v>1520</v>
      </c>
      <c r="D74" s="1271"/>
      <c r="E74" s="1330"/>
      <c r="F74" s="246"/>
      <c r="G74" s="1465"/>
      <c r="H74" s="1284" t="s">
        <v>1520</v>
      </c>
      <c r="I74" s="1"/>
      <c r="J74" s="1"/>
      <c r="K74" s="1"/>
      <c r="L74" s="1"/>
      <c r="M74" s="123"/>
      <c r="N74" s="123"/>
      <c r="O74" s="123"/>
      <c r="P74" s="1"/>
    </row>
    <row r="75" spans="1:16" ht="15.75" thickBot="1">
      <c r="A75" s="1"/>
      <c r="B75" s="604"/>
      <c r="C75" s="1272" t="s">
        <v>1587</v>
      </c>
      <c r="D75" s="1271"/>
      <c r="E75" s="1330"/>
      <c r="F75" s="246"/>
      <c r="G75" s="1466"/>
      <c r="H75" s="1280" t="s">
        <v>1587</v>
      </c>
      <c r="I75" s="1"/>
      <c r="J75" s="1"/>
      <c r="K75" s="1"/>
      <c r="L75" s="1"/>
      <c r="M75" s="123"/>
      <c r="N75" s="123"/>
      <c r="O75" s="123"/>
      <c r="P75" s="1"/>
    </row>
    <row r="76" spans="1:16" ht="15">
      <c r="A76" s="1"/>
      <c r="B76" s="1269" t="s">
        <v>160</v>
      </c>
      <c r="C76" s="1272">
        <v>8212394019</v>
      </c>
      <c r="D76" s="1271"/>
      <c r="E76" s="1330"/>
      <c r="F76" s="246"/>
      <c r="G76" s="577"/>
      <c r="H76" s="1272"/>
      <c r="I76" s="1"/>
      <c r="J76" s="1"/>
      <c r="K76" s="1"/>
      <c r="L76" s="1"/>
      <c r="M76" s="123"/>
      <c r="N76" s="123"/>
      <c r="O76" s="123"/>
      <c r="P76" s="1"/>
    </row>
    <row r="77" spans="1:16" ht="15.75" thickBot="1">
      <c r="A77" s="1"/>
      <c r="B77" s="1273" t="s">
        <v>1061</v>
      </c>
      <c r="C77" s="1274" t="s">
        <v>1521</v>
      </c>
      <c r="D77" s="1275"/>
      <c r="E77" s="1330"/>
      <c r="F77" s="1330"/>
      <c r="G77" s="1330"/>
      <c r="H77" s="1330"/>
      <c r="I77" s="1"/>
      <c r="J77" s="1"/>
      <c r="K77" s="1"/>
      <c r="L77" s="1"/>
      <c r="M77" s="123"/>
      <c r="N77" s="123"/>
      <c r="O77" s="123"/>
      <c r="P77" s="1"/>
    </row>
    <row r="78" spans="1:16">
      <c r="A78" s="1"/>
      <c r="B78" s="1039"/>
      <c r="C78" s="335"/>
      <c r="D78" s="633"/>
      <c r="E78" s="1"/>
      <c r="F78" s="1"/>
      <c r="G78" s="1"/>
      <c r="H78" s="1"/>
      <c r="I78" s="1"/>
      <c r="J78" s="1"/>
      <c r="K78" s="1"/>
      <c r="L78" s="1"/>
      <c r="M78" s="123"/>
      <c r="N78" s="123"/>
      <c r="O78" s="123"/>
      <c r="P78" s="1"/>
    </row>
    <row r="79" spans="1:16" ht="15" thickBot="1">
      <c r="A79" s="1"/>
      <c r="B79" s="1039"/>
      <c r="C79" s="335"/>
      <c r="D79" s="633"/>
      <c r="E79" s="1"/>
      <c r="F79" s="1"/>
      <c r="G79" s="1"/>
      <c r="H79" s="1"/>
      <c r="I79" s="1"/>
      <c r="J79" s="1"/>
      <c r="K79" s="1"/>
      <c r="L79" s="1"/>
      <c r="M79" s="123"/>
      <c r="N79" s="123"/>
      <c r="O79" s="123"/>
      <c r="P79" s="1"/>
    </row>
    <row r="80" spans="1:16" ht="37.5" customHeight="1">
      <c r="A80" s="1819" t="s">
        <v>6</v>
      </c>
      <c r="B80" s="1804" t="s">
        <v>633</v>
      </c>
      <c r="C80" s="1804" t="s">
        <v>8</v>
      </c>
      <c r="D80" s="1804" t="s">
        <v>9</v>
      </c>
      <c r="E80" s="1822" t="s">
        <v>634</v>
      </c>
      <c r="F80" s="1822" t="s">
        <v>11</v>
      </c>
      <c r="G80" s="1804" t="s">
        <v>12</v>
      </c>
      <c r="H80" s="1807" t="s">
        <v>13</v>
      </c>
      <c r="I80" s="1807" t="s">
        <v>269</v>
      </c>
      <c r="J80" s="1807" t="s">
        <v>59</v>
      </c>
      <c r="K80" s="1810" t="s">
        <v>635</v>
      </c>
      <c r="L80" s="1813" t="s">
        <v>636</v>
      </c>
      <c r="M80" s="1814"/>
      <c r="N80" s="1814"/>
      <c r="O80" s="1815"/>
      <c r="P80" s="1"/>
    </row>
    <row r="81" spans="1:16" ht="37.5" customHeight="1">
      <c r="A81" s="1820"/>
      <c r="B81" s="1805"/>
      <c r="C81" s="1805"/>
      <c r="D81" s="1805"/>
      <c r="E81" s="1823"/>
      <c r="F81" s="1823"/>
      <c r="G81" s="1805"/>
      <c r="H81" s="1808"/>
      <c r="I81" s="1808"/>
      <c r="J81" s="1808"/>
      <c r="K81" s="1811"/>
      <c r="L81" s="1816" t="s">
        <v>637</v>
      </c>
      <c r="M81" s="1817"/>
      <c r="N81" s="1817"/>
      <c r="O81" s="1818"/>
      <c r="P81" s="1"/>
    </row>
    <row r="82" spans="1:16" ht="27" customHeight="1" thickBot="1">
      <c r="A82" s="1821"/>
      <c r="B82" s="1806"/>
      <c r="C82" s="1806"/>
      <c r="D82" s="1806"/>
      <c r="E82" s="1824"/>
      <c r="F82" s="1824"/>
      <c r="G82" s="1806"/>
      <c r="H82" s="1809"/>
      <c r="I82" s="1809"/>
      <c r="J82" s="1809"/>
      <c r="K82" s="1812"/>
      <c r="L82" s="1036" t="s">
        <v>638</v>
      </c>
      <c r="M82" s="1037" t="s">
        <v>639</v>
      </c>
      <c r="N82" s="1037" t="s">
        <v>640</v>
      </c>
      <c r="O82" s="1038" t="s">
        <v>16</v>
      </c>
      <c r="P82" s="1"/>
    </row>
    <row r="83" spans="1:16" ht="34.5" customHeight="1" thickBot="1">
      <c r="A83" s="1028" t="s">
        <v>26</v>
      </c>
      <c r="B83" s="1029" t="s">
        <v>1701</v>
      </c>
      <c r="C83" s="1029" t="s">
        <v>1497</v>
      </c>
      <c r="D83" s="1030" t="s">
        <v>724</v>
      </c>
      <c r="E83" s="1029" t="s">
        <v>1588</v>
      </c>
      <c r="F83" s="1029" t="s">
        <v>1496</v>
      </c>
      <c r="G83" s="1032" t="s">
        <v>1497</v>
      </c>
      <c r="H83" s="1112" t="s">
        <v>1589</v>
      </c>
      <c r="I83" s="1302">
        <v>880193</v>
      </c>
      <c r="J83" s="420" t="s">
        <v>28</v>
      </c>
      <c r="K83" s="413">
        <v>40</v>
      </c>
      <c r="L83" s="268">
        <f>(7860.77-6495.61)*40</f>
        <v>54606.400000000031</v>
      </c>
      <c r="M83" s="1034"/>
      <c r="N83" s="1034"/>
      <c r="O83" s="1035">
        <f>L83</f>
        <v>54606.400000000031</v>
      </c>
      <c r="P83" s="1"/>
    </row>
    <row r="84" spans="1:16" ht="49.5" customHeight="1">
      <c r="B84" s="1269" t="s">
        <v>22</v>
      </c>
      <c r="C84" s="1270" t="s">
        <v>1519</v>
      </c>
      <c r="D84" s="1271"/>
      <c r="G84" s="1622" t="s">
        <v>1920</v>
      </c>
      <c r="H84" s="1281" t="s">
        <v>1704</v>
      </c>
      <c r="I84" s="1303"/>
      <c r="N84" s="208" t="s">
        <v>62</v>
      </c>
      <c r="O84" s="1033">
        <f>SUM(O83)</f>
        <v>54606.400000000031</v>
      </c>
      <c r="P84" s="1"/>
    </row>
    <row r="85" spans="1:16" ht="15">
      <c r="B85" s="604"/>
      <c r="C85" s="1272" t="s">
        <v>1520</v>
      </c>
      <c r="D85" s="1271"/>
      <c r="G85" s="1296"/>
      <c r="H85" s="1295" t="s">
        <v>1741</v>
      </c>
      <c r="I85" s="1304"/>
      <c r="P85" s="1"/>
    </row>
    <row r="86" spans="1:16" ht="15.75" thickBot="1">
      <c r="B86" s="604"/>
      <c r="C86" s="1272" t="s">
        <v>1587</v>
      </c>
      <c r="D86" s="1271"/>
      <c r="G86" s="1298"/>
      <c r="H86" s="1305" t="s">
        <v>1587</v>
      </c>
      <c r="I86" s="1306"/>
      <c r="P86" s="1"/>
    </row>
    <row r="87" spans="1:16" ht="15">
      <c r="B87" s="1269" t="s">
        <v>160</v>
      </c>
      <c r="C87" s="1272">
        <v>8212394019</v>
      </c>
      <c r="D87" s="1271"/>
      <c r="P87" s="1"/>
    </row>
    <row r="88" spans="1:16" ht="15.75" thickBot="1">
      <c r="B88" s="1273" t="s">
        <v>1061</v>
      </c>
      <c r="C88" s="1274" t="s">
        <v>1521</v>
      </c>
      <c r="D88" s="1275"/>
      <c r="P88" s="1"/>
    </row>
    <row r="89" spans="1:16">
      <c r="A89" s="1"/>
      <c r="F89" s="1"/>
      <c r="G89" s="1"/>
      <c r="H89" s="1"/>
      <c r="I89" s="1"/>
      <c r="J89" s="1"/>
      <c r="K89" s="1"/>
      <c r="L89" s="1"/>
      <c r="M89" s="123"/>
      <c r="P89" s="1"/>
    </row>
    <row r="90" spans="1:16" ht="15" thickBot="1">
      <c r="A90" s="1"/>
      <c r="F90" s="1"/>
      <c r="G90" s="1"/>
      <c r="H90" s="1"/>
      <c r="I90" s="1"/>
      <c r="J90" s="1"/>
      <c r="K90" s="1"/>
      <c r="L90" s="1"/>
      <c r="M90" s="123"/>
      <c r="N90" s="123"/>
      <c r="O90" s="123"/>
      <c r="P90" s="1"/>
    </row>
    <row r="91" spans="1:16" ht="33" customHeight="1">
      <c r="A91" s="1819" t="s">
        <v>6</v>
      </c>
      <c r="B91" s="1804" t="s">
        <v>633</v>
      </c>
      <c r="C91" s="1804" t="s">
        <v>8</v>
      </c>
      <c r="D91" s="1804" t="s">
        <v>9</v>
      </c>
      <c r="E91" s="1822" t="s">
        <v>634</v>
      </c>
      <c r="F91" s="1822" t="s">
        <v>11</v>
      </c>
      <c r="G91" s="1804" t="s">
        <v>12</v>
      </c>
      <c r="H91" s="1807" t="s">
        <v>13</v>
      </c>
      <c r="I91" s="1807" t="s">
        <v>269</v>
      </c>
      <c r="J91" s="1807" t="s">
        <v>59</v>
      </c>
      <c r="K91" s="1810" t="s">
        <v>635</v>
      </c>
      <c r="L91" s="1813" t="s">
        <v>636</v>
      </c>
      <c r="M91" s="1814"/>
      <c r="N91" s="1814"/>
      <c r="O91" s="1815"/>
      <c r="P91" s="1"/>
    </row>
    <row r="92" spans="1:16" ht="33" customHeight="1">
      <c r="A92" s="1820"/>
      <c r="B92" s="1805"/>
      <c r="C92" s="1805"/>
      <c r="D92" s="1805"/>
      <c r="E92" s="1823"/>
      <c r="F92" s="1823"/>
      <c r="G92" s="1805"/>
      <c r="H92" s="1808"/>
      <c r="I92" s="1808"/>
      <c r="J92" s="1808"/>
      <c r="K92" s="1811"/>
      <c r="L92" s="1816" t="s">
        <v>637</v>
      </c>
      <c r="M92" s="1817"/>
      <c r="N92" s="1817"/>
      <c r="O92" s="1818"/>
      <c r="P92" s="1"/>
    </row>
    <row r="93" spans="1:16" ht="33" customHeight="1" thickBot="1">
      <c r="A93" s="1821"/>
      <c r="B93" s="1806"/>
      <c r="C93" s="1806"/>
      <c r="D93" s="1806"/>
      <c r="E93" s="1824"/>
      <c r="F93" s="1824"/>
      <c r="G93" s="1806"/>
      <c r="H93" s="1809"/>
      <c r="I93" s="1809"/>
      <c r="J93" s="1809"/>
      <c r="K93" s="1812"/>
      <c r="L93" s="1036" t="s">
        <v>638</v>
      </c>
      <c r="M93" s="1037" t="s">
        <v>639</v>
      </c>
      <c r="N93" s="1037" t="s">
        <v>640</v>
      </c>
      <c r="O93" s="1038" t="s">
        <v>16</v>
      </c>
      <c r="P93" s="1"/>
    </row>
    <row r="94" spans="1:16" ht="30" thickBot="1">
      <c r="A94" s="1028" t="s">
        <v>26</v>
      </c>
      <c r="B94" s="1029" t="s">
        <v>1689</v>
      </c>
      <c r="C94" s="365" t="s">
        <v>1533</v>
      </c>
      <c r="D94" s="439"/>
      <c r="E94" s="365">
        <v>13</v>
      </c>
      <c r="F94" s="1029" t="s">
        <v>1496</v>
      </c>
      <c r="G94" s="1032" t="s">
        <v>1497</v>
      </c>
      <c r="H94" s="1112" t="s">
        <v>1591</v>
      </c>
      <c r="I94" s="689">
        <v>11590711</v>
      </c>
      <c r="J94" s="651" t="s">
        <v>28</v>
      </c>
      <c r="K94" s="90">
        <v>6</v>
      </c>
      <c r="L94" s="32">
        <f>58000-40418</f>
        <v>17582</v>
      </c>
      <c r="M94" s="172"/>
      <c r="N94" s="172"/>
      <c r="O94" s="208">
        <f>L94</f>
        <v>17582</v>
      </c>
      <c r="P94" s="1"/>
    </row>
    <row r="95" spans="1:16" ht="48.75" customHeight="1">
      <c r="A95" s="1"/>
      <c r="B95" s="1269" t="s">
        <v>22</v>
      </c>
      <c r="C95" s="1270" t="s">
        <v>1519</v>
      </c>
      <c r="D95" s="1271"/>
      <c r="E95" s="54"/>
      <c r="F95" s="1"/>
      <c r="G95" s="1622" t="s">
        <v>1920</v>
      </c>
      <c r="H95" s="121" t="s">
        <v>1705</v>
      </c>
      <c r="I95" s="648"/>
      <c r="J95" s="1"/>
      <c r="K95" s="1"/>
      <c r="L95" s="1"/>
      <c r="M95" s="123"/>
      <c r="N95" s="208" t="s">
        <v>62</v>
      </c>
      <c r="O95" s="1033">
        <f>SUM(O94)</f>
        <v>17582</v>
      </c>
      <c r="P95" s="1"/>
    </row>
    <row r="96" spans="1:16" ht="15">
      <c r="A96" s="1"/>
      <c r="B96" s="604"/>
      <c r="C96" s="1272" t="s">
        <v>1520</v>
      </c>
      <c r="D96" s="1271"/>
      <c r="E96" s="54"/>
      <c r="F96" s="1"/>
      <c r="G96" s="16"/>
      <c r="H96" s="582" t="s">
        <v>1706</v>
      </c>
      <c r="I96" s="176"/>
      <c r="J96" s="1"/>
      <c r="K96" s="1"/>
      <c r="L96" s="1"/>
      <c r="M96" s="123"/>
      <c r="N96" s="123"/>
      <c r="O96" s="123"/>
      <c r="P96" s="1"/>
    </row>
    <row r="97" spans="1:16" ht="15.75" thickBot="1">
      <c r="A97" s="1"/>
      <c r="B97" s="604"/>
      <c r="C97" s="1272" t="s">
        <v>1587</v>
      </c>
      <c r="D97" s="1271"/>
      <c r="E97" s="54"/>
      <c r="F97" s="1"/>
      <c r="G97" s="1124"/>
      <c r="H97" s="442" t="s">
        <v>1587</v>
      </c>
      <c r="I97" s="177"/>
      <c r="J97" s="1"/>
      <c r="K97" s="1"/>
      <c r="L97" s="1"/>
      <c r="M97" s="123"/>
      <c r="N97" s="123"/>
      <c r="O97" s="123"/>
      <c r="P97" s="1"/>
    </row>
    <row r="98" spans="1:16" ht="15">
      <c r="A98" s="1"/>
      <c r="B98" s="1269" t="s">
        <v>160</v>
      </c>
      <c r="C98" s="1272">
        <v>8212394019</v>
      </c>
      <c r="D98" s="1271"/>
      <c r="E98" s="54"/>
      <c r="F98" s="1"/>
      <c r="G98" s="1"/>
      <c r="H98" s="1"/>
      <c r="I98" s="1"/>
      <c r="J98" s="1"/>
      <c r="K98" s="1"/>
      <c r="L98" s="1"/>
      <c r="M98" s="123"/>
      <c r="N98" s="123"/>
      <c r="O98" s="123"/>
      <c r="P98" s="1"/>
    </row>
    <row r="99" spans="1:16" ht="15.75" thickBot="1">
      <c r="A99" s="1"/>
      <c r="B99" s="1273" t="s">
        <v>1061</v>
      </c>
      <c r="C99" s="1274" t="s">
        <v>1521</v>
      </c>
      <c r="D99" s="1275"/>
      <c r="E99" s="54"/>
      <c r="F99" s="1"/>
      <c r="G99" s="1"/>
      <c r="H99" s="1"/>
      <c r="I99" s="1"/>
      <c r="J99" s="1"/>
      <c r="K99" s="1"/>
      <c r="L99" s="1"/>
      <c r="M99" s="123"/>
      <c r="N99" s="123"/>
      <c r="O99" s="123"/>
      <c r="P99" s="1"/>
    </row>
    <row r="100" spans="1:16" ht="15">
      <c r="A100" s="1"/>
      <c r="B100" s="1293"/>
      <c r="C100" s="1272"/>
      <c r="D100" s="309"/>
      <c r="E100" s="54"/>
      <c r="F100" s="1"/>
      <c r="G100" s="1"/>
      <c r="H100" s="1"/>
      <c r="I100" s="1"/>
      <c r="J100" s="1"/>
      <c r="K100" s="1"/>
      <c r="L100" s="1"/>
      <c r="M100" s="123"/>
      <c r="N100" s="123"/>
      <c r="O100" s="123"/>
      <c r="P100" s="1"/>
    </row>
    <row r="101" spans="1:16" ht="15" thickBot="1">
      <c r="A101" s="1"/>
      <c r="B101" s="1039"/>
      <c r="C101" s="335"/>
      <c r="D101" s="633"/>
      <c r="E101" s="54"/>
      <c r="F101" s="1"/>
      <c r="G101" s="1"/>
      <c r="H101" s="1"/>
      <c r="I101" s="1"/>
      <c r="J101" s="1"/>
      <c r="K101" s="1"/>
      <c r="L101" s="1"/>
      <c r="M101" s="123"/>
      <c r="N101" s="123"/>
      <c r="O101" s="123"/>
      <c r="P101" s="1"/>
    </row>
    <row r="102" spans="1:16" ht="36.75" customHeight="1">
      <c r="A102" s="1819" t="s">
        <v>6</v>
      </c>
      <c r="B102" s="1804" t="s">
        <v>633</v>
      </c>
      <c r="C102" s="1804" t="s">
        <v>8</v>
      </c>
      <c r="D102" s="1804" t="s">
        <v>9</v>
      </c>
      <c r="E102" s="1822" t="s">
        <v>634</v>
      </c>
      <c r="F102" s="1822" t="s">
        <v>11</v>
      </c>
      <c r="G102" s="1804" t="s">
        <v>12</v>
      </c>
      <c r="H102" s="1807" t="s">
        <v>13</v>
      </c>
      <c r="I102" s="1807" t="s">
        <v>269</v>
      </c>
      <c r="J102" s="1807" t="s">
        <v>59</v>
      </c>
      <c r="K102" s="1810" t="s">
        <v>635</v>
      </c>
      <c r="L102" s="1813" t="s">
        <v>636</v>
      </c>
      <c r="M102" s="1814"/>
      <c r="N102" s="1814"/>
      <c r="O102" s="1815"/>
      <c r="P102" s="1"/>
    </row>
    <row r="103" spans="1:16" ht="36.75" customHeight="1">
      <c r="A103" s="1820"/>
      <c r="B103" s="1805"/>
      <c r="C103" s="1805"/>
      <c r="D103" s="1805"/>
      <c r="E103" s="1823"/>
      <c r="F103" s="1823"/>
      <c r="G103" s="1805"/>
      <c r="H103" s="1808"/>
      <c r="I103" s="1808"/>
      <c r="J103" s="1808"/>
      <c r="K103" s="1811"/>
      <c r="L103" s="1816" t="s">
        <v>637</v>
      </c>
      <c r="M103" s="1817"/>
      <c r="N103" s="1817"/>
      <c r="O103" s="1818"/>
      <c r="P103" s="1"/>
    </row>
    <row r="104" spans="1:16" ht="36.75" customHeight="1" thickBot="1">
      <c r="A104" s="1821"/>
      <c r="B104" s="1806"/>
      <c r="C104" s="1806"/>
      <c r="D104" s="1806"/>
      <c r="E104" s="1824"/>
      <c r="F104" s="1824"/>
      <c r="G104" s="1806"/>
      <c r="H104" s="1809"/>
      <c r="I104" s="1809"/>
      <c r="J104" s="1809"/>
      <c r="K104" s="1812"/>
      <c r="L104" s="1036" t="s">
        <v>638</v>
      </c>
      <c r="M104" s="1037" t="s">
        <v>639</v>
      </c>
      <c r="N104" s="1037" t="s">
        <v>640</v>
      </c>
      <c r="O104" s="1038" t="s">
        <v>16</v>
      </c>
      <c r="P104" s="1"/>
    </row>
    <row r="105" spans="1:16" ht="18.75" thickBot="1">
      <c r="A105" s="1028" t="s">
        <v>26</v>
      </c>
      <c r="B105" s="1029" t="s">
        <v>1702</v>
      </c>
      <c r="C105" s="365" t="s">
        <v>1497</v>
      </c>
      <c r="D105" s="439" t="s">
        <v>162</v>
      </c>
      <c r="E105" s="365">
        <v>2</v>
      </c>
      <c r="F105" s="1029" t="s">
        <v>1496</v>
      </c>
      <c r="G105" s="1032" t="s">
        <v>1497</v>
      </c>
      <c r="H105" s="1112" t="s">
        <v>1592</v>
      </c>
      <c r="I105" s="374">
        <v>11143757</v>
      </c>
      <c r="J105" s="651" t="s">
        <v>28</v>
      </c>
      <c r="K105" s="90">
        <v>40</v>
      </c>
      <c r="L105" s="32">
        <f>133878-94179</f>
        <v>39699</v>
      </c>
      <c r="M105" s="172"/>
      <c r="N105" s="172"/>
      <c r="O105" s="208">
        <f>L105</f>
        <v>39699</v>
      </c>
      <c r="P105" s="1"/>
    </row>
    <row r="106" spans="1:16" ht="51" customHeight="1">
      <c r="A106" s="1"/>
      <c r="B106" s="1269" t="s">
        <v>22</v>
      </c>
      <c r="C106" s="1270" t="s">
        <v>1519</v>
      </c>
      <c r="D106" s="1271"/>
      <c r="E106" s="54"/>
      <c r="F106" s="1"/>
      <c r="G106" s="1622" t="s">
        <v>1920</v>
      </c>
      <c r="H106" s="1128" t="s">
        <v>1707</v>
      </c>
      <c r="I106" s="1"/>
      <c r="J106" s="1"/>
      <c r="K106" s="1"/>
      <c r="L106" s="1"/>
      <c r="M106" s="123"/>
      <c r="N106" s="208" t="s">
        <v>62</v>
      </c>
      <c r="O106" s="1033">
        <f>SUM(O105)</f>
        <v>39699</v>
      </c>
      <c r="P106" s="1"/>
    </row>
    <row r="107" spans="1:16" ht="15">
      <c r="A107" s="1"/>
      <c r="B107" s="604"/>
      <c r="C107" s="1272" t="s">
        <v>1520</v>
      </c>
      <c r="D107" s="1271"/>
      <c r="E107" s="54"/>
      <c r="F107" s="1"/>
      <c r="G107" s="1129"/>
      <c r="H107" s="1300" t="s">
        <v>959</v>
      </c>
      <c r="I107" s="1"/>
      <c r="J107" s="1"/>
      <c r="K107" s="1"/>
      <c r="L107" s="1"/>
      <c r="M107" s="123"/>
      <c r="N107" s="123"/>
      <c r="O107" s="123"/>
      <c r="P107" s="1"/>
    </row>
    <row r="108" spans="1:16" ht="15.75" thickBot="1">
      <c r="A108" s="1"/>
      <c r="B108" s="604"/>
      <c r="C108" s="1272" t="s">
        <v>1587</v>
      </c>
      <c r="D108" s="1271"/>
      <c r="E108" s="54"/>
      <c r="F108" s="1"/>
      <c r="G108" s="1138"/>
      <c r="H108" s="1301" t="s">
        <v>1587</v>
      </c>
      <c r="I108" s="1"/>
      <c r="J108" s="1"/>
      <c r="K108" s="1"/>
      <c r="L108" s="1"/>
      <c r="M108" s="123"/>
      <c r="N108" s="123"/>
      <c r="O108" s="123"/>
      <c r="P108" s="1"/>
    </row>
    <row r="109" spans="1:16" ht="15">
      <c r="A109" s="1"/>
      <c r="B109" s="1269" t="s">
        <v>160</v>
      </c>
      <c r="C109" s="1272">
        <v>8212394019</v>
      </c>
      <c r="D109" s="1271"/>
      <c r="E109" s="54"/>
      <c r="F109" s="1"/>
      <c r="G109" s="1"/>
      <c r="H109" s="1"/>
      <c r="I109" s="1"/>
      <c r="J109" s="1"/>
      <c r="K109" s="1"/>
      <c r="L109" s="1"/>
      <c r="M109" s="123"/>
      <c r="N109" s="123"/>
      <c r="O109" s="123"/>
      <c r="P109" s="1"/>
    </row>
    <row r="110" spans="1:16" ht="15.75" thickBot="1">
      <c r="A110" s="1"/>
      <c r="B110" s="1273" t="s">
        <v>1061</v>
      </c>
      <c r="C110" s="1274" t="s">
        <v>1521</v>
      </c>
      <c r="D110" s="1275"/>
      <c r="E110" s="54"/>
      <c r="F110" s="1"/>
      <c r="G110" s="1"/>
      <c r="H110" s="1"/>
      <c r="I110" s="1"/>
      <c r="J110" s="1"/>
      <c r="K110" s="1"/>
      <c r="L110" s="1"/>
      <c r="M110" s="123"/>
      <c r="N110" s="123"/>
      <c r="O110" s="123"/>
      <c r="P110" s="1"/>
    </row>
    <row r="111" spans="1:16" ht="15">
      <c r="A111" s="1"/>
      <c r="B111" s="1293"/>
      <c r="C111" s="1272"/>
      <c r="D111" s="309"/>
      <c r="E111" s="54"/>
      <c r="F111" s="1"/>
      <c r="G111" s="1"/>
      <c r="H111" s="1"/>
      <c r="I111" s="1"/>
      <c r="J111" s="1"/>
      <c r="K111" s="1"/>
      <c r="L111" s="1"/>
      <c r="M111" s="123"/>
      <c r="N111" s="123"/>
      <c r="O111" s="123"/>
      <c r="P111" s="1"/>
    </row>
    <row r="112" spans="1:16" ht="15" thickBot="1">
      <c r="A112" s="1"/>
      <c r="B112" s="1039"/>
      <c r="C112" s="335"/>
      <c r="D112" s="633"/>
      <c r="E112" s="54"/>
      <c r="F112" s="1"/>
      <c r="G112" s="1"/>
      <c r="H112" s="1"/>
      <c r="I112" s="1"/>
      <c r="J112" s="1"/>
      <c r="K112" s="1"/>
      <c r="L112" s="1"/>
      <c r="M112" s="123"/>
      <c r="N112" s="123"/>
      <c r="O112" s="123"/>
      <c r="P112" s="1"/>
    </row>
    <row r="113" spans="1:16" ht="34.5" customHeight="1">
      <c r="A113" s="1819" t="s">
        <v>6</v>
      </c>
      <c r="B113" s="1804" t="s">
        <v>633</v>
      </c>
      <c r="C113" s="1804" t="s">
        <v>8</v>
      </c>
      <c r="D113" s="1804" t="s">
        <v>9</v>
      </c>
      <c r="E113" s="1822" t="s">
        <v>634</v>
      </c>
      <c r="F113" s="1822" t="s">
        <v>11</v>
      </c>
      <c r="G113" s="1804" t="s">
        <v>12</v>
      </c>
      <c r="H113" s="1807" t="s">
        <v>13</v>
      </c>
      <c r="I113" s="1807" t="s">
        <v>269</v>
      </c>
      <c r="J113" s="1807" t="s">
        <v>59</v>
      </c>
      <c r="K113" s="1810" t="s">
        <v>635</v>
      </c>
      <c r="L113" s="1813" t="s">
        <v>636</v>
      </c>
      <c r="M113" s="1814"/>
      <c r="N113" s="1814"/>
      <c r="O113" s="1815"/>
      <c r="P113" s="1"/>
    </row>
    <row r="114" spans="1:16" ht="34.5" customHeight="1">
      <c r="A114" s="1820"/>
      <c r="B114" s="1805"/>
      <c r="C114" s="1805"/>
      <c r="D114" s="1805"/>
      <c r="E114" s="1823"/>
      <c r="F114" s="1823"/>
      <c r="G114" s="1805"/>
      <c r="H114" s="1808"/>
      <c r="I114" s="1808"/>
      <c r="J114" s="1808"/>
      <c r="K114" s="1811"/>
      <c r="L114" s="1816" t="s">
        <v>637</v>
      </c>
      <c r="M114" s="1817"/>
      <c r="N114" s="1817"/>
      <c r="O114" s="1818"/>
      <c r="P114" s="1"/>
    </row>
    <row r="115" spans="1:16" ht="34.5" customHeight="1" thickBot="1">
      <c r="A115" s="1821"/>
      <c r="B115" s="1806"/>
      <c r="C115" s="1806"/>
      <c r="D115" s="1806"/>
      <c r="E115" s="1824"/>
      <c r="F115" s="1824"/>
      <c r="G115" s="1806"/>
      <c r="H115" s="1809"/>
      <c r="I115" s="1809"/>
      <c r="J115" s="1809"/>
      <c r="K115" s="1812"/>
      <c r="L115" s="1036" t="s">
        <v>638</v>
      </c>
      <c r="M115" s="1037" t="s">
        <v>639</v>
      </c>
      <c r="N115" s="1037" t="s">
        <v>640</v>
      </c>
      <c r="O115" s="1038" t="s">
        <v>16</v>
      </c>
      <c r="P115" s="1"/>
    </row>
    <row r="116" spans="1:16" ht="29.25">
      <c r="A116" s="1028" t="s">
        <v>26</v>
      </c>
      <c r="B116" s="1029" t="s">
        <v>1703</v>
      </c>
      <c r="C116" s="365" t="s">
        <v>1518</v>
      </c>
      <c r="D116" s="439"/>
      <c r="E116" s="365" t="s">
        <v>1594</v>
      </c>
      <c r="F116" s="1029" t="s">
        <v>1597</v>
      </c>
      <c r="G116" s="1029" t="s">
        <v>1518</v>
      </c>
      <c r="H116" s="1025" t="s">
        <v>1595</v>
      </c>
      <c r="I116" s="374">
        <v>9688156</v>
      </c>
      <c r="J116" s="651" t="s">
        <v>28</v>
      </c>
      <c r="K116" s="90">
        <v>4</v>
      </c>
      <c r="L116" s="32">
        <f>35608-29617</f>
        <v>5991</v>
      </c>
      <c r="M116" s="172"/>
      <c r="N116" s="172"/>
      <c r="O116" s="208">
        <f>L116</f>
        <v>5991</v>
      </c>
      <c r="P116" s="1"/>
    </row>
    <row r="117" spans="1:16" ht="18">
      <c r="A117" s="1028" t="s">
        <v>26</v>
      </c>
      <c r="B117" s="1029" t="s">
        <v>1689</v>
      </c>
      <c r="C117" s="365" t="s">
        <v>1518</v>
      </c>
      <c r="D117" s="439"/>
      <c r="E117" s="365">
        <v>33</v>
      </c>
      <c r="F117" s="1029" t="s">
        <v>1597</v>
      </c>
      <c r="G117" s="1029" t="s">
        <v>1518</v>
      </c>
      <c r="H117" s="1025" t="s">
        <v>1596</v>
      </c>
      <c r="I117" s="374">
        <v>90376420</v>
      </c>
      <c r="J117" s="651" t="s">
        <v>28</v>
      </c>
      <c r="K117" s="90">
        <f>18</f>
        <v>18</v>
      </c>
      <c r="L117" s="32">
        <f>33953-16500</f>
        <v>17453</v>
      </c>
      <c r="M117" s="172"/>
      <c r="N117" s="172"/>
      <c r="O117" s="208">
        <f>L117</f>
        <v>17453</v>
      </c>
      <c r="P117" s="1"/>
    </row>
    <row r="118" spans="1:16" ht="18.75" thickBot="1">
      <c r="A118" s="1028" t="s">
        <v>26</v>
      </c>
      <c r="B118" s="1029" t="s">
        <v>1689</v>
      </c>
      <c r="C118" s="365" t="s">
        <v>1518</v>
      </c>
      <c r="D118" s="439"/>
      <c r="E118" s="365">
        <v>29</v>
      </c>
      <c r="F118" s="1029" t="s">
        <v>1597</v>
      </c>
      <c r="G118" s="1029" t="s">
        <v>1518</v>
      </c>
      <c r="H118" s="1025" t="s">
        <v>1598</v>
      </c>
      <c r="I118" s="374">
        <v>83669288</v>
      </c>
      <c r="J118" s="651" t="s">
        <v>28</v>
      </c>
      <c r="K118" s="90">
        <v>5</v>
      </c>
      <c r="L118" s="32">
        <f>2601-361</f>
        <v>2240</v>
      </c>
      <c r="M118" s="172"/>
      <c r="N118" s="172"/>
      <c r="O118" s="208">
        <f>L118</f>
        <v>2240</v>
      </c>
      <c r="P118" s="1"/>
    </row>
    <row r="119" spans="1:16" ht="49.5" customHeight="1">
      <c r="A119" s="1"/>
      <c r="B119" s="1269" t="s">
        <v>22</v>
      </c>
      <c r="C119" s="1270" t="s">
        <v>1519</v>
      </c>
      <c r="D119" s="1271"/>
      <c r="E119" s="54"/>
      <c r="F119" s="1"/>
      <c r="G119" s="1622" t="s">
        <v>1920</v>
      </c>
      <c r="H119" s="1276" t="s">
        <v>1708</v>
      </c>
      <c r="I119" s="1"/>
      <c r="J119" s="1"/>
      <c r="K119" s="1"/>
      <c r="L119" s="1"/>
      <c r="M119" s="123"/>
      <c r="N119" s="208" t="s">
        <v>62</v>
      </c>
      <c r="O119" s="1033">
        <f>SUM(O116:O118)</f>
        <v>25684</v>
      </c>
      <c r="P119" s="1"/>
    </row>
    <row r="120" spans="1:16" ht="15">
      <c r="A120" s="1"/>
      <c r="B120" s="604"/>
      <c r="C120" s="1272" t="s">
        <v>1520</v>
      </c>
      <c r="D120" s="1271"/>
      <c r="E120" s="54"/>
      <c r="F120" s="1"/>
      <c r="G120" s="1296"/>
      <c r="H120" s="1297" t="s">
        <v>1709</v>
      </c>
      <c r="I120" s="1"/>
      <c r="J120" s="1"/>
      <c r="K120" s="1"/>
      <c r="L120" s="1"/>
      <c r="M120" s="123"/>
      <c r="N120" s="123"/>
      <c r="O120" s="123"/>
      <c r="P120" s="1"/>
    </row>
    <row r="121" spans="1:16" ht="15.75" thickBot="1">
      <c r="A121" s="1"/>
      <c r="B121" s="604"/>
      <c r="C121" s="1272" t="s">
        <v>1587</v>
      </c>
      <c r="D121" s="1271"/>
      <c r="E121" s="54"/>
      <c r="F121" s="1"/>
      <c r="G121" s="1298"/>
      <c r="H121" s="1299" t="s">
        <v>1587</v>
      </c>
      <c r="I121" s="1"/>
      <c r="J121" s="1"/>
      <c r="K121" s="1"/>
      <c r="L121" s="1"/>
      <c r="M121" s="123"/>
      <c r="N121" s="123"/>
      <c r="O121" s="123"/>
      <c r="P121" s="1"/>
    </row>
    <row r="122" spans="1:16" ht="15">
      <c r="A122" s="1"/>
      <c r="B122" s="1269" t="s">
        <v>160</v>
      </c>
      <c r="C122" s="1272">
        <v>8212394019</v>
      </c>
      <c r="D122" s="1271"/>
      <c r="E122" s="54"/>
      <c r="F122" s="1"/>
      <c r="G122" s="1"/>
      <c r="H122" s="1"/>
      <c r="I122" s="1"/>
      <c r="J122" s="1"/>
      <c r="K122" s="1"/>
      <c r="L122" s="1"/>
      <c r="M122" s="123"/>
      <c r="N122" s="123"/>
      <c r="O122" s="123"/>
      <c r="P122" s="1"/>
    </row>
    <row r="123" spans="1:16" ht="15.75" thickBot="1">
      <c r="A123" s="1"/>
      <c r="B123" s="1273" t="s">
        <v>1061</v>
      </c>
      <c r="C123" s="1274" t="s">
        <v>1521</v>
      </c>
      <c r="D123" s="1275"/>
      <c r="E123" s="1"/>
      <c r="F123" s="1"/>
      <c r="G123" s="1"/>
      <c r="H123" s="1"/>
      <c r="I123" s="1"/>
      <c r="J123" s="1"/>
      <c r="K123" s="1"/>
      <c r="L123" s="1"/>
      <c r="M123" s="123"/>
      <c r="N123" s="123"/>
      <c r="O123" s="123"/>
      <c r="P123" s="1"/>
    </row>
    <row r="124" spans="1:16" ht="15">
      <c r="A124" s="1"/>
      <c r="B124" s="1293"/>
      <c r="C124" s="1272"/>
      <c r="D124" s="309"/>
      <c r="E124" s="1"/>
      <c r="F124" s="1"/>
      <c r="G124" s="1"/>
      <c r="H124" s="1"/>
      <c r="I124" s="1"/>
      <c r="J124" s="1"/>
      <c r="K124" s="1"/>
      <c r="L124" s="1"/>
      <c r="M124" s="123"/>
      <c r="N124" s="123"/>
      <c r="O124" s="123"/>
      <c r="P124" s="1"/>
    </row>
    <row r="125" spans="1:16" ht="15" thickBot="1">
      <c r="A125" s="1"/>
      <c r="B125" s="1039"/>
      <c r="C125" s="335"/>
      <c r="D125" s="633"/>
      <c r="E125" s="1"/>
      <c r="F125" s="1"/>
      <c r="G125" s="1"/>
      <c r="H125" s="1"/>
      <c r="I125" s="1"/>
      <c r="J125" s="1"/>
      <c r="K125" s="1"/>
      <c r="L125" s="1"/>
      <c r="M125" s="123"/>
      <c r="N125" s="123"/>
      <c r="O125" s="123"/>
      <c r="P125" s="1"/>
    </row>
    <row r="126" spans="1:16" ht="48" customHeight="1">
      <c r="A126" s="1819" t="s">
        <v>6</v>
      </c>
      <c r="B126" s="1804" t="s">
        <v>633</v>
      </c>
      <c r="C126" s="1804" t="s">
        <v>8</v>
      </c>
      <c r="D126" s="1804" t="s">
        <v>9</v>
      </c>
      <c r="E126" s="1822" t="s">
        <v>634</v>
      </c>
      <c r="F126" s="1822" t="s">
        <v>11</v>
      </c>
      <c r="G126" s="1804" t="s">
        <v>12</v>
      </c>
      <c r="H126" s="1807" t="s">
        <v>13</v>
      </c>
      <c r="I126" s="1807" t="s">
        <v>269</v>
      </c>
      <c r="J126" s="1807" t="s">
        <v>59</v>
      </c>
      <c r="K126" s="1810" t="s">
        <v>635</v>
      </c>
      <c r="L126" s="1813" t="s">
        <v>636</v>
      </c>
      <c r="M126" s="1814"/>
      <c r="N126" s="1814"/>
      <c r="O126" s="1815"/>
      <c r="P126" s="1"/>
    </row>
    <row r="127" spans="1:16" ht="34.5" customHeight="1">
      <c r="A127" s="1820"/>
      <c r="B127" s="1805"/>
      <c r="C127" s="1805"/>
      <c r="D127" s="1805"/>
      <c r="E127" s="1823"/>
      <c r="F127" s="1823"/>
      <c r="G127" s="1805"/>
      <c r="H127" s="1808"/>
      <c r="I127" s="1808"/>
      <c r="J127" s="1808"/>
      <c r="K127" s="1811"/>
      <c r="L127" s="1816" t="s">
        <v>637</v>
      </c>
      <c r="M127" s="1817"/>
      <c r="N127" s="1817"/>
      <c r="O127" s="1818"/>
      <c r="P127" s="1"/>
    </row>
    <row r="128" spans="1:16" ht="30.75" customHeight="1" thickBot="1">
      <c r="A128" s="1821"/>
      <c r="B128" s="1806"/>
      <c r="C128" s="1806"/>
      <c r="D128" s="1806"/>
      <c r="E128" s="1824"/>
      <c r="F128" s="1824"/>
      <c r="G128" s="1806"/>
      <c r="H128" s="1809"/>
      <c r="I128" s="1809"/>
      <c r="J128" s="1809"/>
      <c r="K128" s="1812"/>
      <c r="L128" s="1036" t="s">
        <v>638</v>
      </c>
      <c r="M128" s="1037" t="s">
        <v>639</v>
      </c>
      <c r="N128" s="1037" t="s">
        <v>640</v>
      </c>
      <c r="O128" s="1038" t="s">
        <v>16</v>
      </c>
      <c r="P128" s="1"/>
    </row>
    <row r="129" spans="1:16" ht="34.5" customHeight="1">
      <c r="A129" s="1028" t="s">
        <v>26</v>
      </c>
      <c r="B129" s="1029" t="s">
        <v>314</v>
      </c>
      <c r="C129" s="365" t="s">
        <v>1497</v>
      </c>
      <c r="D129" s="439" t="s">
        <v>1528</v>
      </c>
      <c r="E129" s="365" t="s">
        <v>1601</v>
      </c>
      <c r="F129" s="1029" t="s">
        <v>1496</v>
      </c>
      <c r="G129" s="1029" t="s">
        <v>1497</v>
      </c>
      <c r="H129" s="1025" t="s">
        <v>1602</v>
      </c>
      <c r="I129" s="374">
        <v>1100294</v>
      </c>
      <c r="J129" s="605" t="s">
        <v>21</v>
      </c>
      <c r="K129" s="90">
        <v>65</v>
      </c>
      <c r="L129" s="32">
        <f>(15144.37-10774.54)*30</f>
        <v>131094.9</v>
      </c>
      <c r="M129" s="172"/>
      <c r="N129" s="172"/>
      <c r="O129" s="208">
        <f t="shared" ref="O129:O134" si="4">L129</f>
        <v>131094.9</v>
      </c>
      <c r="P129" s="1"/>
    </row>
    <row r="130" spans="1:16" ht="34.5" customHeight="1">
      <c r="A130" s="1028" t="s">
        <v>26</v>
      </c>
      <c r="B130" s="1029" t="s">
        <v>1603</v>
      </c>
      <c r="C130" s="365" t="s">
        <v>1497</v>
      </c>
      <c r="D130" s="439" t="s">
        <v>318</v>
      </c>
      <c r="E130" s="365"/>
      <c r="F130" s="1029" t="s">
        <v>1496</v>
      </c>
      <c r="G130" s="1029" t="s">
        <v>1497</v>
      </c>
      <c r="H130" s="1025" t="s">
        <v>1604</v>
      </c>
      <c r="I130" s="374">
        <v>1063191</v>
      </c>
      <c r="J130" s="651" t="s">
        <v>28</v>
      </c>
      <c r="K130" s="90">
        <v>14</v>
      </c>
      <c r="L130" s="32">
        <f>(2290.6-1727.2)*10</f>
        <v>5633.9999999999982</v>
      </c>
      <c r="M130" s="172"/>
      <c r="N130" s="172"/>
      <c r="O130" s="208">
        <f t="shared" si="4"/>
        <v>5633.9999999999982</v>
      </c>
      <c r="P130" s="1"/>
    </row>
    <row r="131" spans="1:16" ht="34.5" customHeight="1">
      <c r="A131" s="1028" t="s">
        <v>26</v>
      </c>
      <c r="B131" s="1029" t="s">
        <v>1605</v>
      </c>
      <c r="C131" s="365" t="s">
        <v>1497</v>
      </c>
      <c r="D131" s="439" t="s">
        <v>1011</v>
      </c>
      <c r="E131" s="365">
        <v>8</v>
      </c>
      <c r="F131" s="1029" t="s">
        <v>1496</v>
      </c>
      <c r="G131" s="1029" t="s">
        <v>1497</v>
      </c>
      <c r="H131" s="1025" t="s">
        <v>1606</v>
      </c>
      <c r="I131" s="374">
        <v>50437932</v>
      </c>
      <c r="J131" s="605" t="s">
        <v>21</v>
      </c>
      <c r="K131" s="90">
        <v>38</v>
      </c>
      <c r="L131" s="32">
        <f>(38468.54-33360.22)*30</f>
        <v>153249.59999999998</v>
      </c>
      <c r="M131" s="172"/>
      <c r="N131" s="172"/>
      <c r="O131" s="208">
        <f t="shared" si="4"/>
        <v>153249.59999999998</v>
      </c>
      <c r="P131" s="1"/>
    </row>
    <row r="132" spans="1:16" ht="34.5" customHeight="1">
      <c r="A132" s="1028" t="s">
        <v>26</v>
      </c>
      <c r="B132" s="1029" t="s">
        <v>1609</v>
      </c>
      <c r="C132" s="365" t="s">
        <v>1506</v>
      </c>
      <c r="D132" s="439"/>
      <c r="E132" s="365" t="s">
        <v>1607</v>
      </c>
      <c r="F132" s="1029" t="s">
        <v>1496</v>
      </c>
      <c r="G132" s="1029" t="s">
        <v>1497</v>
      </c>
      <c r="H132" s="1025" t="s">
        <v>1608</v>
      </c>
      <c r="I132" s="374">
        <v>319367</v>
      </c>
      <c r="J132" s="651" t="s">
        <v>28</v>
      </c>
      <c r="K132" s="90">
        <v>11</v>
      </c>
      <c r="L132" s="32">
        <f>7092-5753</f>
        <v>1339</v>
      </c>
      <c r="M132" s="172"/>
      <c r="N132" s="172"/>
      <c r="O132" s="208">
        <f t="shared" si="4"/>
        <v>1339</v>
      </c>
      <c r="P132" s="1"/>
    </row>
    <row r="133" spans="1:16" ht="34.5" customHeight="1">
      <c r="A133" s="1028" t="s">
        <v>26</v>
      </c>
      <c r="B133" s="1029" t="s">
        <v>1609</v>
      </c>
      <c r="C133" s="365" t="s">
        <v>1516</v>
      </c>
      <c r="D133" s="439"/>
      <c r="E133" s="365"/>
      <c r="F133" s="1029" t="s">
        <v>1496</v>
      </c>
      <c r="G133" s="1029" t="s">
        <v>1497</v>
      </c>
      <c r="H133" s="1025" t="s">
        <v>1610</v>
      </c>
      <c r="I133" s="374">
        <v>308511</v>
      </c>
      <c r="J133" s="651" t="s">
        <v>28</v>
      </c>
      <c r="K133" s="90">
        <v>11</v>
      </c>
      <c r="L133" s="32">
        <f>6520-4910</f>
        <v>1610</v>
      </c>
      <c r="M133" s="172"/>
      <c r="N133" s="172"/>
      <c r="O133" s="208">
        <f t="shared" si="4"/>
        <v>1610</v>
      </c>
      <c r="P133" s="1"/>
    </row>
    <row r="134" spans="1:16" ht="34.5" customHeight="1">
      <c r="A134" s="1028" t="s">
        <v>26</v>
      </c>
      <c r="B134" s="365" t="s">
        <v>260</v>
      </c>
      <c r="C134" s="634" t="s">
        <v>1497</v>
      </c>
      <c r="D134" s="653"/>
      <c r="E134" s="634"/>
      <c r="F134" s="1029" t="s">
        <v>1496</v>
      </c>
      <c r="G134" s="1029" t="s">
        <v>1497</v>
      </c>
      <c r="H134" s="1025" t="s">
        <v>1611</v>
      </c>
      <c r="I134" s="374">
        <v>304685</v>
      </c>
      <c r="J134" s="651" t="s">
        <v>28</v>
      </c>
      <c r="K134" s="90">
        <v>7</v>
      </c>
      <c r="L134" s="32">
        <f>7800-5711</f>
        <v>2089</v>
      </c>
      <c r="M134" s="172"/>
      <c r="N134" s="172"/>
      <c r="O134" s="208">
        <f t="shared" si="4"/>
        <v>2089</v>
      </c>
      <c r="P134" s="1"/>
    </row>
    <row r="135" spans="1:16" ht="34.5" customHeight="1">
      <c r="A135" s="1028" t="s">
        <v>26</v>
      </c>
      <c r="B135" s="1029" t="s">
        <v>1612</v>
      </c>
      <c r="C135" s="365" t="s">
        <v>1497</v>
      </c>
      <c r="D135" s="439" t="s">
        <v>724</v>
      </c>
      <c r="E135" s="365"/>
      <c r="F135" s="1029" t="s">
        <v>1496</v>
      </c>
      <c r="G135" s="1029" t="s">
        <v>1497</v>
      </c>
      <c r="H135" s="1025" t="s">
        <v>1613</v>
      </c>
      <c r="I135" s="374">
        <v>90379749</v>
      </c>
      <c r="J135" s="651" t="s">
        <v>28</v>
      </c>
      <c r="K135" s="90">
        <v>1.1000000000000001</v>
      </c>
      <c r="L135" s="32">
        <f>1150-450</f>
        <v>700</v>
      </c>
      <c r="M135" s="172"/>
      <c r="N135" s="172"/>
      <c r="O135" s="208">
        <f>L135</f>
        <v>700</v>
      </c>
      <c r="P135" s="1"/>
    </row>
    <row r="136" spans="1:16" ht="34.5" customHeight="1">
      <c r="A136" s="1028" t="s">
        <v>26</v>
      </c>
      <c r="B136" s="1029" t="s">
        <v>260</v>
      </c>
      <c r="C136" s="365" t="s">
        <v>1507</v>
      </c>
      <c r="D136" s="439"/>
      <c r="E136" s="365" t="s">
        <v>1614</v>
      </c>
      <c r="F136" s="1029" t="s">
        <v>1496</v>
      </c>
      <c r="G136" s="1029" t="s">
        <v>1497</v>
      </c>
      <c r="H136" s="1025" t="s">
        <v>1615</v>
      </c>
      <c r="I136" s="374">
        <v>90264925</v>
      </c>
      <c r="J136" s="651" t="s">
        <v>28</v>
      </c>
      <c r="K136" s="90">
        <v>14</v>
      </c>
      <c r="L136" s="32">
        <f>8-8</f>
        <v>0</v>
      </c>
      <c r="M136" s="172"/>
      <c r="N136" s="172"/>
      <c r="O136" s="208">
        <f>L136</f>
        <v>0</v>
      </c>
      <c r="P136" s="1"/>
    </row>
    <row r="137" spans="1:16" ht="34.5" customHeight="1">
      <c r="A137" s="1028" t="s">
        <v>26</v>
      </c>
      <c r="B137" s="365" t="s">
        <v>1616</v>
      </c>
      <c r="C137" s="634" t="s">
        <v>1497</v>
      </c>
      <c r="D137" s="653" t="s">
        <v>1511</v>
      </c>
      <c r="E137" s="634">
        <v>28</v>
      </c>
      <c r="F137" s="1029" t="s">
        <v>1496</v>
      </c>
      <c r="G137" s="1029" t="s">
        <v>1497</v>
      </c>
      <c r="H137" s="1025" t="s">
        <v>1617</v>
      </c>
      <c r="I137" s="374">
        <v>91260244</v>
      </c>
      <c r="J137" s="651" t="s">
        <v>28</v>
      </c>
      <c r="K137" s="90">
        <v>5.7</v>
      </c>
      <c r="L137" s="32">
        <f>49547-45238</f>
        <v>4309</v>
      </c>
      <c r="M137" s="172"/>
      <c r="N137" s="172"/>
      <c r="O137" s="208">
        <f>L137</f>
        <v>4309</v>
      </c>
      <c r="P137" s="1"/>
    </row>
    <row r="138" spans="1:16" ht="34.5" customHeight="1" thickBot="1">
      <c r="A138" s="1028" t="s">
        <v>26</v>
      </c>
      <c r="B138" s="1032" t="s">
        <v>1618</v>
      </c>
      <c r="C138" s="634" t="s">
        <v>1497</v>
      </c>
      <c r="D138" s="653" t="s">
        <v>1511</v>
      </c>
      <c r="E138" s="365"/>
      <c r="F138" s="365" t="s">
        <v>1496</v>
      </c>
      <c r="G138" s="1032" t="s">
        <v>1497</v>
      </c>
      <c r="H138" s="1112" t="s">
        <v>1619</v>
      </c>
      <c r="I138" s="689">
        <v>12712714</v>
      </c>
      <c r="J138" s="651" t="s">
        <v>28</v>
      </c>
      <c r="K138" s="90">
        <v>5.5</v>
      </c>
      <c r="L138" s="32">
        <f>192935-177877</f>
        <v>15058</v>
      </c>
      <c r="M138" s="172"/>
      <c r="N138" s="172"/>
      <c r="O138" s="208">
        <f>L138</f>
        <v>15058</v>
      </c>
      <c r="P138" s="1"/>
    </row>
    <row r="139" spans="1:16" ht="49.5" customHeight="1">
      <c r="A139" s="1"/>
      <c r="B139" s="1285" t="s">
        <v>22</v>
      </c>
      <c r="C139" s="1281" t="s">
        <v>1519</v>
      </c>
      <c r="D139" s="1286"/>
      <c r="E139" s="54"/>
      <c r="F139" s="54"/>
      <c r="G139" s="1622" t="s">
        <v>1920</v>
      </c>
      <c r="H139" s="118" t="s">
        <v>1599</v>
      </c>
      <c r="I139" s="12"/>
      <c r="J139" s="1"/>
      <c r="K139" s="1"/>
      <c r="L139" s="1"/>
      <c r="M139" s="123"/>
      <c r="N139" s="208" t="s">
        <v>62</v>
      </c>
      <c r="O139" s="1033">
        <f>SUM(O129:O138)</f>
        <v>315083.5</v>
      </c>
      <c r="P139" s="1"/>
    </row>
    <row r="140" spans="1:16" ht="15">
      <c r="A140" s="1"/>
      <c r="B140" s="604"/>
      <c r="C140" s="1272" t="s">
        <v>1520</v>
      </c>
      <c r="D140" s="1271"/>
      <c r="E140" s="54"/>
      <c r="F140" s="54"/>
      <c r="G140" s="13"/>
      <c r="H140" s="700" t="s">
        <v>1600</v>
      </c>
      <c r="I140" s="15"/>
      <c r="J140" s="1"/>
      <c r="K140" s="1"/>
      <c r="L140" s="1"/>
      <c r="M140" s="123"/>
      <c r="N140" s="123"/>
      <c r="O140" s="123"/>
      <c r="P140" s="1"/>
    </row>
    <row r="141" spans="1:16" ht="15.75" thickBot="1">
      <c r="A141" s="1"/>
      <c r="B141" s="604"/>
      <c r="C141" s="1272" t="s">
        <v>1587</v>
      </c>
      <c r="D141" s="1271"/>
      <c r="E141" s="54"/>
      <c r="F141" s="54"/>
      <c r="G141" s="71"/>
      <c r="H141" s="702" t="s">
        <v>1587</v>
      </c>
      <c r="I141" s="18"/>
      <c r="J141" s="1"/>
      <c r="K141" s="1"/>
      <c r="L141" s="1"/>
      <c r="M141" s="123"/>
      <c r="N141" s="123"/>
      <c r="O141" s="123"/>
      <c r="P141" s="1"/>
    </row>
    <row r="142" spans="1:16" ht="15">
      <c r="A142" s="1"/>
      <c r="B142" s="1269" t="s">
        <v>160</v>
      </c>
      <c r="C142" s="1272">
        <v>8212394019</v>
      </c>
      <c r="D142" s="1271"/>
      <c r="E142" s="54"/>
      <c r="F142" s="1"/>
      <c r="G142" s="1"/>
      <c r="H142" s="335"/>
      <c r="I142" s="1"/>
      <c r="J142" s="1"/>
      <c r="K142" s="1"/>
      <c r="L142" s="1"/>
      <c r="M142" s="123"/>
      <c r="N142" s="123"/>
      <c r="O142" s="123"/>
      <c r="P142" s="1"/>
    </row>
    <row r="143" spans="1:16" ht="24" customHeight="1" thickBot="1">
      <c r="A143" s="1"/>
      <c r="B143" s="1273" t="s">
        <v>1061</v>
      </c>
      <c r="C143" s="1274" t="s">
        <v>1521</v>
      </c>
      <c r="D143" s="1275"/>
      <c r="E143" s="1"/>
      <c r="F143" s="1"/>
      <c r="G143" s="1"/>
      <c r="H143" s="1"/>
      <c r="I143" s="1"/>
      <c r="J143" s="1"/>
      <c r="K143" s="1"/>
      <c r="L143" s="1"/>
      <c r="N143" s="123"/>
      <c r="O143" s="123"/>
      <c r="P143" s="1"/>
    </row>
    <row r="144" spans="1:16" ht="24" customHeight="1">
      <c r="A144" s="1"/>
      <c r="B144" s="1293"/>
      <c r="C144" s="1272"/>
      <c r="D144" s="309"/>
      <c r="E144" s="1"/>
      <c r="F144" s="1"/>
      <c r="G144" s="1"/>
      <c r="H144" s="1"/>
      <c r="I144" s="1"/>
      <c r="J144" s="1"/>
      <c r="K144" s="1"/>
      <c r="L144" s="1"/>
      <c r="M144" s="123" t="s">
        <v>62</v>
      </c>
      <c r="N144" s="123">
        <f>O73+O84+O95+O106+O119+O139</f>
        <v>725314.9</v>
      </c>
      <c r="O144" s="123"/>
      <c r="P144" s="1"/>
    </row>
    <row r="145" spans="2:16" ht="15.75" thickBot="1">
      <c r="P145" s="429"/>
    </row>
    <row r="146" spans="2:16" ht="46.5" customHeight="1">
      <c r="B146" s="362"/>
      <c r="C146" s="362"/>
      <c r="D146" s="633"/>
      <c r="K146" s="1706" t="s">
        <v>59</v>
      </c>
      <c r="L146" s="1708" t="s">
        <v>644</v>
      </c>
      <c r="M146" s="1709"/>
      <c r="N146" s="1710"/>
      <c r="O146" s="1711" t="s">
        <v>60</v>
      </c>
    </row>
    <row r="147" spans="2:16" ht="24.75" customHeight="1" thickBot="1">
      <c r="B147" s="362"/>
      <c r="C147" s="362"/>
      <c r="D147" s="681"/>
      <c r="K147" s="1707"/>
      <c r="L147" s="274" t="s">
        <v>61</v>
      </c>
      <c r="M147" s="274" t="s">
        <v>639</v>
      </c>
      <c r="N147" s="274" t="s">
        <v>640</v>
      </c>
      <c r="O147" s="1712"/>
    </row>
    <row r="148" spans="2:16" ht="19.5" customHeight="1">
      <c r="K148" s="406" t="s">
        <v>716</v>
      </c>
      <c r="L148" s="960">
        <f>O46+O50+O52+O53+O54+O55+O68</f>
        <v>4719</v>
      </c>
      <c r="M148" s="1049"/>
      <c r="N148" s="1050"/>
      <c r="O148" s="950">
        <v>7</v>
      </c>
    </row>
    <row r="149" spans="2:16" ht="19.5" customHeight="1">
      <c r="K149" s="977" t="s">
        <v>28</v>
      </c>
      <c r="L149" s="959">
        <f>O17+O18+O19+O20+O21+O22+O23+O24+O25+O26+O27+O28+O29+O30+O31+O32+O33+O34+O35+O36+O37+O38+O39+O41+O42+O43+O44+O45+O48+O49+O51+O56+O78+O58+O59+O60+O61+O62+O63+O64+O65+O66+O83+O67+O94+O105+O69+O116+O117+O118+O130+O132+O133+O134+O135+O136+O137+O138+O70+O72</f>
        <v>410657.4</v>
      </c>
      <c r="M149" s="172"/>
      <c r="N149" s="1004"/>
      <c r="O149" s="952">
        <v>60</v>
      </c>
    </row>
    <row r="150" spans="2:16" ht="19.5" customHeight="1">
      <c r="K150" s="977" t="s">
        <v>65</v>
      </c>
      <c r="L150" s="968"/>
      <c r="M150" s="208">
        <f>M40+M47+M71</f>
        <v>6565</v>
      </c>
      <c r="N150" s="969">
        <f>N40+N47+N71</f>
        <v>18988</v>
      </c>
      <c r="O150" s="952">
        <v>3</v>
      </c>
    </row>
    <row r="151" spans="2:16" ht="19.5" customHeight="1">
      <c r="K151" s="1048" t="s">
        <v>442</v>
      </c>
      <c r="L151" s="968"/>
      <c r="M151" s="208">
        <f>M57</f>
        <v>23</v>
      </c>
      <c r="N151" s="969">
        <f>N57</f>
        <v>18</v>
      </c>
      <c r="O151" s="952">
        <v>1</v>
      </c>
    </row>
    <row r="152" spans="2:16" ht="19.5" customHeight="1" thickBot="1">
      <c r="K152" s="1008" t="s">
        <v>21</v>
      </c>
      <c r="L152" s="970">
        <f>O129+O131</f>
        <v>284344.5</v>
      </c>
      <c r="M152" s="971"/>
      <c r="N152" s="972"/>
      <c r="O152" s="953">
        <v>2</v>
      </c>
    </row>
    <row r="153" spans="2:16" ht="19.5" customHeight="1" thickBot="1">
      <c r="K153" s="341" t="s">
        <v>62</v>
      </c>
      <c r="L153" s="291">
        <f>SUM(L148:L152)</f>
        <v>699720.9</v>
      </c>
      <c r="M153" s="292">
        <f>SUM(M148:M152)</f>
        <v>6588</v>
      </c>
      <c r="N153" s="173">
        <f>SUM(N148:N152)</f>
        <v>19006</v>
      </c>
      <c r="O153" s="667">
        <f>SUM(O148:O152)</f>
        <v>73</v>
      </c>
    </row>
    <row r="154" spans="2:16" ht="19.5" customHeight="1" thickBot="1">
      <c r="K154" s="1"/>
      <c r="L154" s="123" t="s">
        <v>63</v>
      </c>
      <c r="M154" s="659">
        <f>SUM(L153:N153)</f>
        <v>725314.9</v>
      </c>
      <c r="N154" s="31"/>
      <c r="O154" s="31"/>
    </row>
    <row r="155" spans="2:16" ht="18">
      <c r="L155" s="1"/>
      <c r="M155" s="123"/>
      <c r="N155" s="682"/>
      <c r="O155" s="31"/>
      <c r="P155" s="31"/>
    </row>
  </sheetData>
  <mergeCells count="84">
    <mergeCell ref="K102:K104"/>
    <mergeCell ref="L102:O102"/>
    <mergeCell ref="L103:O103"/>
    <mergeCell ref="A113:A115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J113:J115"/>
    <mergeCell ref="K113:K115"/>
    <mergeCell ref="L113:O113"/>
    <mergeCell ref="L114:O114"/>
    <mergeCell ref="A102:A104"/>
    <mergeCell ref="B102:B104"/>
    <mergeCell ref="C102:C104"/>
    <mergeCell ref="D102:D104"/>
    <mergeCell ref="E102:E104"/>
    <mergeCell ref="L15:O15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O91"/>
    <mergeCell ref="L92:O92"/>
    <mergeCell ref="K146:K147"/>
    <mergeCell ref="L146:N146"/>
    <mergeCell ref="O146:O147"/>
    <mergeCell ref="A14:A16"/>
    <mergeCell ref="B14:B16"/>
    <mergeCell ref="C14:C16"/>
    <mergeCell ref="D14:D16"/>
    <mergeCell ref="E14:E16"/>
    <mergeCell ref="F14:F16"/>
    <mergeCell ref="A80:A82"/>
    <mergeCell ref="G14:G16"/>
    <mergeCell ref="H14:H16"/>
    <mergeCell ref="I14:I16"/>
    <mergeCell ref="J14:J16"/>
    <mergeCell ref="K14:K16"/>
    <mergeCell ref="L14:O14"/>
    <mergeCell ref="K80:K82"/>
    <mergeCell ref="L80:O80"/>
    <mergeCell ref="L81:O81"/>
    <mergeCell ref="B80:B82"/>
    <mergeCell ref="C80:C82"/>
    <mergeCell ref="D80:D82"/>
    <mergeCell ref="E80:E82"/>
    <mergeCell ref="F80:F82"/>
    <mergeCell ref="G80:G82"/>
    <mergeCell ref="K126:K128"/>
    <mergeCell ref="L126:O126"/>
    <mergeCell ref="L127:O127"/>
    <mergeCell ref="A126:A128"/>
    <mergeCell ref="B126:B128"/>
    <mergeCell ref="C126:C128"/>
    <mergeCell ref="D126:D128"/>
    <mergeCell ref="E126:E128"/>
    <mergeCell ref="F126:F128"/>
    <mergeCell ref="B1:I1"/>
    <mergeCell ref="B3:J3"/>
    <mergeCell ref="B5:J5"/>
    <mergeCell ref="G126:G128"/>
    <mergeCell ref="H126:H128"/>
    <mergeCell ref="I126:I128"/>
    <mergeCell ref="J126:J128"/>
    <mergeCell ref="H80:H82"/>
    <mergeCell ref="I80:I82"/>
    <mergeCell ref="J80:J82"/>
    <mergeCell ref="F102:F104"/>
    <mergeCell ref="G102:G104"/>
    <mergeCell ref="H102:H104"/>
    <mergeCell ref="I102:I104"/>
    <mergeCell ref="J102:J104"/>
  </mergeCells>
  <pageMargins left="0.7" right="0.7" top="0.75" bottom="0.75" header="0.3" footer="0.3"/>
  <pageSetup paperSize="9" orientation="portrait" horizontalDpi="0" verticalDpi="0" r:id="rId1"/>
  <ignoredErrors>
    <ignoredError sqref="O40 O47 O57 O71" formula="1"/>
    <ignoredError sqref="M153:N153 M15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topLeftCell="B284" zoomScale="80" zoomScaleNormal="80" workbookViewId="0">
      <selection activeCell="B7" sqref="B7:B8"/>
    </sheetView>
  </sheetViews>
  <sheetFormatPr defaultRowHeight="14.25"/>
  <cols>
    <col min="1" max="1" width="11.25" style="5" customWidth="1"/>
    <col min="2" max="2" width="18.625" style="1" customWidth="1"/>
    <col min="3" max="3" width="16.25" style="1" customWidth="1"/>
    <col min="4" max="4" width="19" style="1" customWidth="1"/>
    <col min="5" max="5" width="9.875" style="1" customWidth="1"/>
    <col min="6" max="6" width="9.375" style="1" customWidth="1"/>
    <col min="7" max="7" width="17.625" style="1" customWidth="1"/>
    <col min="8" max="8" width="26.125" style="1" customWidth="1"/>
    <col min="9" max="9" width="17.375" style="1" customWidth="1"/>
    <col min="10" max="10" width="13.75" style="1" customWidth="1"/>
    <col min="11" max="11" width="12" style="1" customWidth="1"/>
    <col min="12" max="12" width="14.25" style="1" customWidth="1"/>
    <col min="13" max="13" width="16.375" style="1" customWidth="1"/>
    <col min="14" max="14" width="17" style="1" customWidth="1"/>
    <col min="15" max="15" width="16.125" style="1" customWidth="1"/>
    <col min="16" max="16" width="14" style="1" customWidth="1"/>
    <col min="17" max="17" width="14.375" style="1" customWidth="1"/>
    <col min="18" max="18" width="18" style="1" customWidth="1"/>
    <col min="19" max="19" width="13.5" style="1" customWidth="1"/>
    <col min="20" max="20" width="21" style="1" customWidth="1"/>
    <col min="21" max="16384" width="9" style="1"/>
  </cols>
  <sheetData>
    <row r="1" spans="1:15" ht="18">
      <c r="A1" s="287"/>
      <c r="B1" s="1691" t="s">
        <v>1174</v>
      </c>
      <c r="C1" s="1691"/>
      <c r="D1" s="1691"/>
      <c r="E1" s="1691"/>
      <c r="F1" s="1691"/>
      <c r="G1" s="1691"/>
      <c r="H1" s="1691"/>
      <c r="I1" s="1691"/>
    </row>
    <row r="2" spans="1:15" ht="15">
      <c r="A2" s="287"/>
      <c r="B2" s="471"/>
      <c r="C2" s="471"/>
      <c r="D2" s="471"/>
      <c r="E2" s="471"/>
      <c r="F2" s="471"/>
      <c r="G2" s="471"/>
      <c r="H2" s="472"/>
      <c r="I2" s="471"/>
    </row>
    <row r="3" spans="1:15" ht="27" customHeight="1">
      <c r="A3" s="287"/>
      <c r="B3" s="1684" t="s">
        <v>647</v>
      </c>
      <c r="C3" s="1685"/>
      <c r="D3" s="1685"/>
      <c r="E3" s="1685"/>
      <c r="F3" s="1685"/>
      <c r="G3" s="1685"/>
      <c r="H3" s="1685"/>
      <c r="I3" s="1686"/>
    </row>
    <row r="4" spans="1:15" ht="15">
      <c r="A4" s="287"/>
      <c r="B4" s="469"/>
      <c r="C4" s="469"/>
      <c r="D4" s="469"/>
      <c r="E4" s="469"/>
      <c r="F4" s="469"/>
      <c r="G4" s="469"/>
      <c r="H4" s="469"/>
      <c r="I4" s="469"/>
    </row>
    <row r="5" spans="1:15" ht="15">
      <c r="A5" s="1"/>
      <c r="B5" s="1687" t="s">
        <v>1052</v>
      </c>
      <c r="C5" s="1687"/>
      <c r="D5" s="1687"/>
      <c r="E5" s="1687"/>
      <c r="F5" s="1687"/>
      <c r="G5" s="1687"/>
      <c r="H5" s="1687"/>
      <c r="I5" s="1687"/>
    </row>
    <row r="6" spans="1:15" ht="15">
      <c r="A6" s="1"/>
      <c r="B6" s="469"/>
      <c r="C6" s="469"/>
      <c r="D6" s="469"/>
      <c r="E6" s="469"/>
      <c r="F6" s="469"/>
      <c r="G6" s="469"/>
      <c r="H6" s="472"/>
      <c r="I6" s="471"/>
    </row>
    <row r="7" spans="1:15" ht="15.75">
      <c r="A7" s="1"/>
      <c r="B7" s="470" t="s">
        <v>1</v>
      </c>
      <c r="C7" s="471"/>
      <c r="D7" s="469"/>
      <c r="E7" s="469"/>
      <c r="F7" s="469"/>
      <c r="G7" s="471"/>
      <c r="H7" s="472"/>
      <c r="I7" s="471"/>
    </row>
    <row r="8" spans="1:15" ht="15.75">
      <c r="A8" s="1"/>
      <c r="B8" s="1307" t="s">
        <v>1921</v>
      </c>
      <c r="C8" s="471"/>
      <c r="D8" s="469"/>
      <c r="E8" s="469"/>
      <c r="F8" s="469"/>
      <c r="G8" s="471"/>
      <c r="H8" s="472"/>
      <c r="I8" s="471"/>
    </row>
    <row r="9" spans="1:15" ht="15.75">
      <c r="A9" s="1"/>
      <c r="B9" s="473" t="s">
        <v>1872</v>
      </c>
      <c r="C9" s="471"/>
      <c r="D9" s="474"/>
      <c r="E9" s="469"/>
      <c r="F9" s="469"/>
      <c r="G9" s="471"/>
      <c r="H9" s="472"/>
      <c r="I9" s="471"/>
    </row>
    <row r="10" spans="1:15" ht="17.25" customHeight="1">
      <c r="A10" s="1"/>
      <c r="B10" s="473" t="s">
        <v>1045</v>
      </c>
      <c r="C10" s="471"/>
      <c r="D10" s="474"/>
      <c r="E10" s="469"/>
      <c r="F10" s="469"/>
      <c r="G10" s="471"/>
      <c r="H10" s="472"/>
      <c r="I10" s="471"/>
    </row>
    <row r="11" spans="1:15" ht="15">
      <c r="A11" s="1"/>
      <c r="B11" s="471" t="s">
        <v>696</v>
      </c>
      <c r="C11" s="471"/>
      <c r="D11" s="471"/>
      <c r="E11" s="471"/>
      <c r="F11" s="471"/>
      <c r="G11" s="471"/>
      <c r="H11" s="472"/>
      <c r="I11" s="471"/>
    </row>
    <row r="12" spans="1:15" ht="15.75">
      <c r="A12" s="1"/>
      <c r="B12" s="475" t="s">
        <v>2</v>
      </c>
      <c r="C12" s="470" t="s">
        <v>3</v>
      </c>
      <c r="D12" s="474"/>
      <c r="E12" s="474"/>
      <c r="F12" s="474"/>
      <c r="G12" s="474"/>
      <c r="H12" s="471"/>
      <c r="I12" s="471"/>
    </row>
    <row r="13" spans="1:15" ht="15.75">
      <c r="A13" s="1"/>
      <c r="B13" s="475" t="s">
        <v>4</v>
      </c>
      <c r="C13" s="470" t="s">
        <v>5</v>
      </c>
      <c r="D13" s="474"/>
      <c r="E13" s="474"/>
      <c r="F13" s="474"/>
      <c r="H13" s="157"/>
      <c r="I13" s="157"/>
      <c r="J13" s="25"/>
    </row>
    <row r="14" spans="1:15" ht="15" thickBot="1">
      <c r="A14" s="56"/>
      <c r="B14" s="56"/>
      <c r="C14" s="57"/>
      <c r="D14" s="57"/>
      <c r="E14" s="57"/>
      <c r="F14" s="57"/>
      <c r="G14" s="57"/>
    </row>
    <row r="15" spans="1:15" ht="39" customHeight="1">
      <c r="A15" s="1670" t="s">
        <v>6</v>
      </c>
      <c r="B15" s="1673" t="s">
        <v>633</v>
      </c>
      <c r="C15" s="1676" t="s">
        <v>8</v>
      </c>
      <c r="D15" s="1676" t="s">
        <v>9</v>
      </c>
      <c r="E15" s="1656" t="s">
        <v>812</v>
      </c>
      <c r="F15" s="1656" t="s">
        <v>11</v>
      </c>
      <c r="G15" s="1676" t="s">
        <v>12</v>
      </c>
      <c r="H15" s="1656" t="s">
        <v>13</v>
      </c>
      <c r="I15" s="1656" t="s">
        <v>269</v>
      </c>
      <c r="J15" s="1656" t="s">
        <v>59</v>
      </c>
      <c r="K15" s="1665" t="s">
        <v>635</v>
      </c>
      <c r="L15" s="1668" t="s">
        <v>636</v>
      </c>
      <c r="M15" s="1650"/>
      <c r="N15" s="1650"/>
      <c r="O15" s="1669"/>
    </row>
    <row r="16" spans="1:15" ht="40.5" customHeight="1">
      <c r="A16" s="1671"/>
      <c r="B16" s="1674"/>
      <c r="C16" s="1677"/>
      <c r="D16" s="1677"/>
      <c r="E16" s="1657"/>
      <c r="F16" s="1657"/>
      <c r="G16" s="1677"/>
      <c r="H16" s="1657"/>
      <c r="I16" s="1698"/>
      <c r="J16" s="1657"/>
      <c r="K16" s="1666"/>
      <c r="L16" s="1679" t="s">
        <v>637</v>
      </c>
      <c r="M16" s="1654"/>
      <c r="N16" s="1654"/>
      <c r="O16" s="1680"/>
    </row>
    <row r="17" spans="1:15" ht="36.75" customHeight="1" thickBot="1">
      <c r="A17" s="1672"/>
      <c r="B17" s="1675"/>
      <c r="C17" s="1678"/>
      <c r="D17" s="1678"/>
      <c r="E17" s="1658"/>
      <c r="F17" s="1658"/>
      <c r="G17" s="1678"/>
      <c r="H17" s="1658"/>
      <c r="I17" s="1699"/>
      <c r="J17" s="1658"/>
      <c r="K17" s="1667"/>
      <c r="L17" s="263" t="s">
        <v>638</v>
      </c>
      <c r="M17" s="270" t="s">
        <v>639</v>
      </c>
      <c r="N17" s="270" t="s">
        <v>640</v>
      </c>
      <c r="O17" s="265" t="s">
        <v>16</v>
      </c>
    </row>
    <row r="18" spans="1:15" s="25" customFormat="1" ht="29.25">
      <c r="A18" s="554" t="s">
        <v>26</v>
      </c>
      <c r="B18" s="21" t="s">
        <v>66</v>
      </c>
      <c r="C18" s="21" t="s">
        <v>18</v>
      </c>
      <c r="D18" s="20" t="s">
        <v>827</v>
      </c>
      <c r="E18" s="20">
        <v>1</v>
      </c>
      <c r="F18" s="20" t="s">
        <v>20</v>
      </c>
      <c r="G18" s="23" t="s">
        <v>18</v>
      </c>
      <c r="H18" s="737" t="s">
        <v>67</v>
      </c>
      <c r="I18" s="22">
        <v>879948</v>
      </c>
      <c r="J18" s="661" t="s">
        <v>65</v>
      </c>
      <c r="K18" s="64">
        <v>25</v>
      </c>
      <c r="L18" s="33"/>
      <c r="M18" s="65">
        <f>28816-24216</f>
        <v>4600</v>
      </c>
      <c r="N18" s="65">
        <f>60184-49082</f>
        <v>11102</v>
      </c>
      <c r="O18" s="65">
        <f t="shared" ref="O18:O23" si="0">SUM(M18:N18)</f>
        <v>15702</v>
      </c>
    </row>
    <row r="19" spans="1:15" s="25" customFormat="1" ht="43.5">
      <c r="A19" s="554" t="s">
        <v>26</v>
      </c>
      <c r="B19" s="23" t="s">
        <v>68</v>
      </c>
      <c r="C19" s="23" t="s">
        <v>18</v>
      </c>
      <c r="D19" s="23" t="s">
        <v>825</v>
      </c>
      <c r="E19" s="22">
        <v>56</v>
      </c>
      <c r="F19" s="22" t="s">
        <v>20</v>
      </c>
      <c r="G19" s="23" t="s">
        <v>18</v>
      </c>
      <c r="H19" s="726" t="s">
        <v>69</v>
      </c>
      <c r="I19" s="22">
        <v>4098974</v>
      </c>
      <c r="J19" s="378" t="s">
        <v>70</v>
      </c>
      <c r="K19" s="64">
        <v>290</v>
      </c>
      <c r="L19" s="33"/>
      <c r="M19" s="32">
        <f>(3010.36-1610.3)*100</f>
        <v>140006.00000000003</v>
      </c>
      <c r="N19" s="32">
        <f>(5883.96-3100.35)*100</f>
        <v>278361</v>
      </c>
      <c r="O19" s="65">
        <f t="shared" si="0"/>
        <v>418367</v>
      </c>
    </row>
    <row r="20" spans="1:15" s="25" customFormat="1" ht="43.5">
      <c r="A20" s="554" t="s">
        <v>26</v>
      </c>
      <c r="B20" s="23" t="s">
        <v>68</v>
      </c>
      <c r="C20" s="23" t="s">
        <v>18</v>
      </c>
      <c r="D20" s="23" t="s">
        <v>825</v>
      </c>
      <c r="E20" s="22">
        <v>56</v>
      </c>
      <c r="F20" s="22" t="s">
        <v>20</v>
      </c>
      <c r="G20" s="23" t="s">
        <v>18</v>
      </c>
      <c r="H20" s="726" t="s">
        <v>71</v>
      </c>
      <c r="I20" s="22">
        <v>4098980</v>
      </c>
      <c r="J20" s="378" t="s">
        <v>70</v>
      </c>
      <c r="K20" s="64">
        <v>150</v>
      </c>
      <c r="L20" s="33"/>
      <c r="M20" s="281">
        <v>0</v>
      </c>
      <c r="N20" s="281">
        <v>0</v>
      </c>
      <c r="O20" s="65">
        <f t="shared" si="0"/>
        <v>0</v>
      </c>
    </row>
    <row r="21" spans="1:15" s="25" customFormat="1" ht="43.5">
      <c r="A21" s="554" t="s">
        <v>26</v>
      </c>
      <c r="B21" s="23" t="s">
        <v>72</v>
      </c>
      <c r="C21" s="23" t="s">
        <v>18</v>
      </c>
      <c r="D21" s="23" t="s">
        <v>825</v>
      </c>
      <c r="E21" s="22">
        <v>56</v>
      </c>
      <c r="F21" s="22" t="s">
        <v>20</v>
      </c>
      <c r="G21" s="23" t="s">
        <v>18</v>
      </c>
      <c r="H21" s="1021" t="s">
        <v>73</v>
      </c>
      <c r="I21" s="22">
        <v>4143414</v>
      </c>
      <c r="J21" s="378" t="s">
        <v>70</v>
      </c>
      <c r="K21" s="64">
        <v>225</v>
      </c>
      <c r="L21" s="33"/>
      <c r="M21" s="34">
        <f>(7298.97-3618.5)*80</f>
        <v>294437.60000000003</v>
      </c>
      <c r="N21" s="34">
        <f>(17250.38-8163.21)*80</f>
        <v>726973.60000000009</v>
      </c>
      <c r="O21" s="65">
        <f t="shared" si="0"/>
        <v>1021411.2000000002</v>
      </c>
    </row>
    <row r="22" spans="1:15" s="25" customFormat="1" ht="43.5">
      <c r="A22" s="554" t="s">
        <v>26</v>
      </c>
      <c r="B22" s="23" t="s">
        <v>72</v>
      </c>
      <c r="C22" s="23" t="s">
        <v>18</v>
      </c>
      <c r="D22" s="23" t="s">
        <v>825</v>
      </c>
      <c r="E22" s="22">
        <v>56</v>
      </c>
      <c r="F22" s="22" t="s">
        <v>20</v>
      </c>
      <c r="G22" s="23" t="s">
        <v>18</v>
      </c>
      <c r="H22" s="726" t="s">
        <v>74</v>
      </c>
      <c r="I22" s="22">
        <v>4143415</v>
      </c>
      <c r="J22" s="378" t="s">
        <v>70</v>
      </c>
      <c r="K22" s="64">
        <v>13</v>
      </c>
      <c r="L22" s="33"/>
      <c r="M22" s="34">
        <f>(2.3-1.15)*20</f>
        <v>23</v>
      </c>
      <c r="N22" s="34">
        <f>(5.89-2.79)*20</f>
        <v>61.999999999999993</v>
      </c>
      <c r="O22" s="919">
        <f t="shared" si="0"/>
        <v>85</v>
      </c>
    </row>
    <row r="23" spans="1:15" s="25" customFormat="1" ht="48" customHeight="1">
      <c r="A23" s="554" t="s">
        <v>26</v>
      </c>
      <c r="B23" s="23" t="s">
        <v>1335</v>
      </c>
      <c r="C23" s="23" t="s">
        <v>18</v>
      </c>
      <c r="D23" s="23" t="s">
        <v>19</v>
      </c>
      <c r="E23" s="23" t="s">
        <v>1333</v>
      </c>
      <c r="F23" s="22" t="s">
        <v>20</v>
      </c>
      <c r="G23" s="23" t="s">
        <v>18</v>
      </c>
      <c r="H23" s="726" t="s">
        <v>1334</v>
      </c>
      <c r="I23" s="22">
        <v>90088449</v>
      </c>
      <c r="J23" s="661" t="s">
        <v>65</v>
      </c>
      <c r="K23" s="64">
        <v>33</v>
      </c>
      <c r="L23" s="33"/>
      <c r="M23" s="34">
        <f>6296-1606</f>
        <v>4690</v>
      </c>
      <c r="N23" s="34">
        <f>13749-4632</f>
        <v>9117</v>
      </c>
      <c r="O23" s="65">
        <f t="shared" si="0"/>
        <v>13807</v>
      </c>
    </row>
    <row r="24" spans="1:15" s="25" customFormat="1" ht="30" thickBot="1">
      <c r="A24" s="554" t="s">
        <v>26</v>
      </c>
      <c r="B24" s="922" t="s">
        <v>66</v>
      </c>
      <c r="C24" s="360" t="s">
        <v>18</v>
      </c>
      <c r="D24" s="918" t="s">
        <v>19</v>
      </c>
      <c r="E24" s="182" t="s">
        <v>1413</v>
      </c>
      <c r="F24" s="182" t="s">
        <v>20</v>
      </c>
      <c r="G24" s="360" t="s">
        <v>18</v>
      </c>
      <c r="H24" s="734" t="s">
        <v>1756</v>
      </c>
      <c r="I24" s="360">
        <v>4146234</v>
      </c>
      <c r="J24" s="1538" t="s">
        <v>21</v>
      </c>
      <c r="K24" s="413">
        <v>56</v>
      </c>
      <c r="L24" s="268">
        <f>(1128.4-273.05)*15</f>
        <v>12830.250000000002</v>
      </c>
      <c r="M24" s="269"/>
      <c r="N24" s="269"/>
      <c r="O24" s="268">
        <f>L24</f>
        <v>12830.250000000002</v>
      </c>
    </row>
    <row r="25" spans="1:15" ht="30">
      <c r="B25" s="10" t="s">
        <v>22</v>
      </c>
      <c r="C25" s="11" t="s">
        <v>136</v>
      </c>
      <c r="D25" s="12"/>
      <c r="E25" s="14"/>
      <c r="F25" s="54"/>
      <c r="G25" s="1622" t="s">
        <v>1920</v>
      </c>
      <c r="H25" s="80" t="s">
        <v>823</v>
      </c>
      <c r="I25" s="261"/>
      <c r="J25" s="26"/>
      <c r="L25" s="391"/>
      <c r="M25" s="69"/>
      <c r="N25" s="798" t="s">
        <v>23</v>
      </c>
      <c r="O25" s="564">
        <f>SUM(O18:O24)</f>
        <v>1482202.4500000002</v>
      </c>
    </row>
    <row r="26" spans="1:15" ht="15">
      <c r="B26" s="13"/>
      <c r="C26" s="14" t="s">
        <v>152</v>
      </c>
      <c r="D26" s="15"/>
      <c r="E26" s="14"/>
      <c r="F26" s="54"/>
      <c r="G26" s="185"/>
      <c r="H26" s="68" t="s">
        <v>824</v>
      </c>
      <c r="I26" s="54"/>
      <c r="J26" s="27"/>
      <c r="L26" s="31"/>
      <c r="M26" s="31"/>
      <c r="N26" s="31"/>
      <c r="O26" s="31"/>
    </row>
    <row r="27" spans="1:15" ht="15.75" thickBot="1">
      <c r="B27" s="13"/>
      <c r="C27" s="43" t="s">
        <v>25</v>
      </c>
      <c r="D27" s="15"/>
      <c r="E27" s="14"/>
      <c r="F27" s="54"/>
      <c r="G27" s="188"/>
      <c r="H27" s="97" t="s">
        <v>25</v>
      </c>
      <c r="I27" s="226"/>
      <c r="J27" s="28"/>
      <c r="L27" s="31"/>
      <c r="M27" s="31"/>
      <c r="N27" s="31"/>
      <c r="O27" s="31"/>
    </row>
    <row r="28" spans="1:15" ht="15">
      <c r="B28" s="553" t="s">
        <v>160</v>
      </c>
      <c r="C28" s="43" t="s">
        <v>1022</v>
      </c>
      <c r="D28" s="15"/>
      <c r="E28" s="14"/>
      <c r="F28" s="54"/>
      <c r="G28" s="54"/>
      <c r="H28" s="73"/>
      <c r="I28" s="54"/>
      <c r="J28" s="54"/>
      <c r="L28" s="31"/>
      <c r="M28" s="31"/>
      <c r="N28" s="31"/>
      <c r="O28" s="31"/>
    </row>
    <row r="29" spans="1:15" ht="15.75" thickBot="1">
      <c r="A29" s="287"/>
      <c r="B29" s="433" t="s">
        <v>1061</v>
      </c>
      <c r="C29" s="113" t="s">
        <v>1081</v>
      </c>
      <c r="D29" s="18"/>
      <c r="E29" s="14"/>
      <c r="F29" s="54"/>
      <c r="G29" s="54"/>
      <c r="H29" s="73"/>
      <c r="I29" s="54"/>
      <c r="J29" s="54"/>
      <c r="L29" s="31"/>
      <c r="M29" s="31"/>
      <c r="N29" s="31"/>
      <c r="O29" s="31"/>
    </row>
    <row r="30" spans="1:15" ht="15">
      <c r="A30" s="273"/>
      <c r="B30" s="14"/>
      <c r="C30" s="73"/>
      <c r="D30" s="14"/>
      <c r="E30" s="14"/>
      <c r="L30" s="31"/>
      <c r="M30" s="31"/>
      <c r="N30" s="31"/>
      <c r="O30" s="31"/>
    </row>
    <row r="31" spans="1:15" ht="15.75" thickBot="1">
      <c r="A31" s="273"/>
      <c r="B31" s="14"/>
      <c r="C31" s="73"/>
      <c r="D31" s="14"/>
      <c r="E31" s="14"/>
      <c r="L31" s="31"/>
      <c r="M31" s="31"/>
      <c r="N31" s="31"/>
      <c r="O31" s="31"/>
    </row>
    <row r="32" spans="1:15" s="25" customFormat="1" ht="43.5" customHeight="1">
      <c r="A32" s="1670" t="s">
        <v>6</v>
      </c>
      <c r="B32" s="1692" t="s">
        <v>633</v>
      </c>
      <c r="C32" s="1681" t="s">
        <v>8</v>
      </c>
      <c r="D32" s="1681" t="s">
        <v>9</v>
      </c>
      <c r="E32" s="1695" t="s">
        <v>812</v>
      </c>
      <c r="F32" s="1695" t="s">
        <v>11</v>
      </c>
      <c r="G32" s="1681" t="s">
        <v>12</v>
      </c>
      <c r="H32" s="1695" t="s">
        <v>13</v>
      </c>
      <c r="I32" s="1695" t="s">
        <v>269</v>
      </c>
      <c r="J32" s="1695" t="s">
        <v>59</v>
      </c>
      <c r="K32" s="1703" t="s">
        <v>635</v>
      </c>
      <c r="L32" s="1700" t="s">
        <v>636</v>
      </c>
      <c r="M32" s="1701"/>
      <c r="N32" s="1701"/>
      <c r="O32" s="1702"/>
    </row>
    <row r="33" spans="1:15" ht="40.5" customHeight="1">
      <c r="A33" s="1671"/>
      <c r="B33" s="1693"/>
      <c r="C33" s="1682"/>
      <c r="D33" s="1682"/>
      <c r="E33" s="1696"/>
      <c r="F33" s="1696"/>
      <c r="G33" s="1682"/>
      <c r="H33" s="1696"/>
      <c r="I33" s="1696"/>
      <c r="J33" s="1696"/>
      <c r="K33" s="1704"/>
      <c r="L33" s="1688" t="s">
        <v>637</v>
      </c>
      <c r="M33" s="1689"/>
      <c r="N33" s="1689"/>
      <c r="O33" s="1690"/>
    </row>
    <row r="34" spans="1:15" ht="35.25" customHeight="1" thickBot="1">
      <c r="A34" s="1672"/>
      <c r="B34" s="1694"/>
      <c r="C34" s="1683"/>
      <c r="D34" s="1683"/>
      <c r="E34" s="1697"/>
      <c r="F34" s="1697"/>
      <c r="G34" s="1683"/>
      <c r="H34" s="1697"/>
      <c r="I34" s="1697"/>
      <c r="J34" s="1697"/>
      <c r="K34" s="1705"/>
      <c r="L34" s="263" t="s">
        <v>638</v>
      </c>
      <c r="M34" s="270" t="s">
        <v>639</v>
      </c>
      <c r="N34" s="270" t="s">
        <v>640</v>
      </c>
      <c r="O34" s="265" t="s">
        <v>16</v>
      </c>
    </row>
    <row r="35" spans="1:15" ht="25.5" customHeight="1">
      <c r="A35" s="554" t="s">
        <v>26</v>
      </c>
      <c r="B35" s="50" t="s">
        <v>75</v>
      </c>
      <c r="C35" s="50" t="s">
        <v>18</v>
      </c>
      <c r="D35" s="50" t="s">
        <v>54</v>
      </c>
      <c r="E35" s="45">
        <v>173</v>
      </c>
      <c r="F35" s="45" t="s">
        <v>20</v>
      </c>
      <c r="G35" s="45" t="s">
        <v>18</v>
      </c>
      <c r="H35" s="1512" t="s">
        <v>76</v>
      </c>
      <c r="I35" s="432">
        <v>4142929</v>
      </c>
      <c r="J35" s="379" t="s">
        <v>21</v>
      </c>
      <c r="K35" s="75">
        <v>30</v>
      </c>
      <c r="L35" s="76">
        <f>((24514.26-23576.84)+(1697.21-0))*20</f>
        <v>52692.599999999962</v>
      </c>
      <c r="M35" s="392"/>
      <c r="N35" s="108"/>
      <c r="O35" s="77">
        <f>L35</f>
        <v>52692.599999999962</v>
      </c>
    </row>
    <row r="36" spans="1:15" ht="29.25">
      <c r="A36" s="554" t="s">
        <v>26</v>
      </c>
      <c r="B36" s="3" t="s">
        <v>81</v>
      </c>
      <c r="C36" s="3" t="s">
        <v>18</v>
      </c>
      <c r="D36" s="3" t="s">
        <v>828</v>
      </c>
      <c r="E36" s="3"/>
      <c r="F36" s="3" t="s">
        <v>20</v>
      </c>
      <c r="G36" s="3" t="s">
        <v>18</v>
      </c>
      <c r="H36" s="726" t="s">
        <v>82</v>
      </c>
      <c r="I36" s="23">
        <v>907522</v>
      </c>
      <c r="J36" s="662" t="s">
        <v>65</v>
      </c>
      <c r="K36" s="89">
        <v>20</v>
      </c>
      <c r="L36" s="33"/>
      <c r="M36" s="76">
        <f>14718-11196</f>
        <v>3522</v>
      </c>
      <c r="N36" s="76">
        <f>36047-26719</f>
        <v>9328</v>
      </c>
      <c r="O36" s="76">
        <f>SUM(M36:N36)</f>
        <v>12850</v>
      </c>
    </row>
    <row r="37" spans="1:15" ht="30" thickBot="1">
      <c r="A37" s="554" t="s">
        <v>26</v>
      </c>
      <c r="B37" s="3" t="s">
        <v>1065</v>
      </c>
      <c r="C37" s="3" t="s">
        <v>18</v>
      </c>
      <c r="D37" s="4" t="s">
        <v>54</v>
      </c>
      <c r="E37" s="4">
        <v>173</v>
      </c>
      <c r="F37" s="4" t="s">
        <v>303</v>
      </c>
      <c r="G37" s="9" t="s">
        <v>18</v>
      </c>
      <c r="H37" s="736" t="s">
        <v>1066</v>
      </c>
      <c r="I37" s="22">
        <v>160412</v>
      </c>
      <c r="J37" s="85" t="s">
        <v>65</v>
      </c>
      <c r="K37" s="90">
        <v>33</v>
      </c>
      <c r="L37" s="33"/>
      <c r="M37" s="91">
        <f>15856-10656</f>
        <v>5200</v>
      </c>
      <c r="N37" s="91">
        <f>51531-33661</f>
        <v>17870</v>
      </c>
      <c r="O37" s="76">
        <f>M37+N37</f>
        <v>23070</v>
      </c>
    </row>
    <row r="38" spans="1:15" ht="32.25" customHeight="1">
      <c r="A38" s="78"/>
      <c r="B38" s="67" t="s">
        <v>22</v>
      </c>
      <c r="C38" s="68" t="s">
        <v>75</v>
      </c>
      <c r="D38" s="40"/>
      <c r="E38" s="53"/>
      <c r="F38" s="53"/>
      <c r="G38" s="1622" t="s">
        <v>1920</v>
      </c>
      <c r="H38" s="1075" t="s">
        <v>75</v>
      </c>
      <c r="I38" s="53"/>
      <c r="J38" s="53"/>
      <c r="K38" s="66"/>
      <c r="L38" s="81"/>
      <c r="M38" s="393"/>
      <c r="N38" s="194" t="s">
        <v>23</v>
      </c>
      <c r="O38" s="564">
        <f>SUM(O35:O37)</f>
        <v>88612.599999999962</v>
      </c>
    </row>
    <row r="39" spans="1:15" ht="15">
      <c r="A39" s="78"/>
      <c r="B39" s="52"/>
      <c r="C39" s="68" t="s">
        <v>77</v>
      </c>
      <c r="D39" s="40"/>
      <c r="E39" s="82"/>
      <c r="F39" s="53"/>
      <c r="G39" s="1076"/>
      <c r="H39" s="1077" t="s">
        <v>77</v>
      </c>
      <c r="I39" s="53"/>
      <c r="J39" s="53"/>
      <c r="K39" s="53"/>
      <c r="N39" s="83"/>
      <c r="O39" s="393"/>
    </row>
    <row r="40" spans="1:15" ht="15.75" thickBot="1">
      <c r="A40" s="78"/>
      <c r="B40" s="52"/>
      <c r="C40" s="68" t="s">
        <v>25</v>
      </c>
      <c r="D40" s="40"/>
      <c r="E40" s="53"/>
      <c r="F40" s="53"/>
      <c r="G40" s="1294"/>
      <c r="H40" s="1081" t="s">
        <v>25</v>
      </c>
      <c r="I40" s="53"/>
      <c r="J40" s="53"/>
      <c r="K40" s="53"/>
      <c r="L40" s="83"/>
      <c r="M40" s="393"/>
      <c r="N40" s="83"/>
      <c r="O40" s="393"/>
    </row>
    <row r="41" spans="1:15" ht="15">
      <c r="A41" s="78"/>
      <c r="B41" s="553" t="s">
        <v>160</v>
      </c>
      <c r="C41" s="73" t="s">
        <v>1017</v>
      </c>
      <c r="D41" s="40"/>
      <c r="E41" s="53"/>
      <c r="F41" s="53"/>
      <c r="G41" s="577"/>
      <c r="H41" s="73"/>
      <c r="I41" s="53"/>
      <c r="J41" s="53"/>
      <c r="K41" s="53"/>
      <c r="L41" s="83"/>
      <c r="M41" s="393"/>
      <c r="N41" s="83"/>
      <c r="O41" s="393"/>
    </row>
    <row r="42" spans="1:15" ht="15.75" thickBot="1">
      <c r="A42" s="78"/>
      <c r="B42" s="433" t="s">
        <v>1061</v>
      </c>
      <c r="C42" s="72" t="s">
        <v>1064</v>
      </c>
      <c r="D42" s="41"/>
      <c r="E42" s="53"/>
      <c r="F42" s="53"/>
      <c r="G42" s="577"/>
      <c r="H42" s="73"/>
      <c r="I42" s="53"/>
      <c r="J42" s="53"/>
      <c r="K42" s="53"/>
      <c r="L42" s="83"/>
      <c r="M42" s="393"/>
      <c r="N42" s="83"/>
      <c r="O42" s="393"/>
    </row>
    <row r="43" spans="1:15" ht="15">
      <c r="A43" s="78"/>
      <c r="B43" s="19"/>
      <c r="C43" s="73"/>
      <c r="D43" s="19"/>
      <c r="E43" s="53"/>
      <c r="F43" s="53"/>
      <c r="G43" s="53"/>
      <c r="H43" s="53"/>
      <c r="I43" s="53"/>
      <c r="J43" s="53"/>
      <c r="K43" s="53"/>
      <c r="L43" s="83"/>
      <c r="M43" s="393"/>
      <c r="N43" s="83"/>
      <c r="O43" s="393"/>
    </row>
    <row r="44" spans="1:15" ht="15.75" thickBot="1">
      <c r="A44" s="78"/>
      <c r="B44" s="19"/>
      <c r="C44" s="73"/>
      <c r="D44" s="19"/>
      <c r="E44" s="53"/>
      <c r="F44" s="53"/>
      <c r="G44" s="53"/>
      <c r="H44" s="53"/>
      <c r="I44" s="53"/>
      <c r="J44" s="53"/>
      <c r="K44" s="53"/>
      <c r="L44" s="83"/>
      <c r="M44" s="393"/>
      <c r="N44" s="83"/>
      <c r="O44" s="393"/>
    </row>
    <row r="45" spans="1:15" s="25" customFormat="1" ht="43.5" customHeight="1">
      <c r="A45" s="1670" t="s">
        <v>6</v>
      </c>
      <c r="B45" s="1673" t="s">
        <v>633</v>
      </c>
      <c r="C45" s="1676" t="s">
        <v>8</v>
      </c>
      <c r="D45" s="1676" t="s">
        <v>9</v>
      </c>
      <c r="E45" s="1656" t="s">
        <v>812</v>
      </c>
      <c r="F45" s="1656" t="s">
        <v>11</v>
      </c>
      <c r="G45" s="1676" t="s">
        <v>12</v>
      </c>
      <c r="H45" s="1656" t="s">
        <v>13</v>
      </c>
      <c r="I45" s="1656" t="s">
        <v>269</v>
      </c>
      <c r="J45" s="1656" t="s">
        <v>59</v>
      </c>
      <c r="K45" s="1665" t="s">
        <v>635</v>
      </c>
      <c r="L45" s="1668" t="s">
        <v>636</v>
      </c>
      <c r="M45" s="1650"/>
      <c r="N45" s="1650"/>
      <c r="O45" s="1669"/>
    </row>
    <row r="46" spans="1:15" ht="40.5" customHeight="1">
      <c r="A46" s="1671"/>
      <c r="B46" s="1674"/>
      <c r="C46" s="1677"/>
      <c r="D46" s="1677"/>
      <c r="E46" s="1657"/>
      <c r="F46" s="1657"/>
      <c r="G46" s="1677"/>
      <c r="H46" s="1657"/>
      <c r="I46" s="1698"/>
      <c r="J46" s="1657"/>
      <c r="K46" s="1666"/>
      <c r="L46" s="1679" t="s">
        <v>637</v>
      </c>
      <c r="M46" s="1654"/>
      <c r="N46" s="1654"/>
      <c r="O46" s="1680"/>
    </row>
    <row r="47" spans="1:15" ht="35.25" customHeight="1" thickBot="1">
      <c r="A47" s="1672"/>
      <c r="B47" s="1675"/>
      <c r="C47" s="1678"/>
      <c r="D47" s="1678"/>
      <c r="E47" s="1658"/>
      <c r="F47" s="1658"/>
      <c r="G47" s="1678"/>
      <c r="H47" s="1658"/>
      <c r="I47" s="1699"/>
      <c r="J47" s="1658"/>
      <c r="K47" s="1667"/>
      <c r="L47" s="263" t="s">
        <v>638</v>
      </c>
      <c r="M47" s="270" t="s">
        <v>639</v>
      </c>
      <c r="N47" s="270" t="s">
        <v>640</v>
      </c>
      <c r="O47" s="265" t="s">
        <v>16</v>
      </c>
    </row>
    <row r="48" spans="1:15" ht="30" thickBot="1">
      <c r="A48" s="558" t="s">
        <v>26</v>
      </c>
      <c r="B48" s="9" t="s">
        <v>78</v>
      </c>
      <c r="C48" s="9" t="s">
        <v>18</v>
      </c>
      <c r="D48" s="9" t="s">
        <v>1069</v>
      </c>
      <c r="E48" s="4" t="s">
        <v>79</v>
      </c>
      <c r="F48" s="4" t="s">
        <v>20</v>
      </c>
      <c r="G48" s="9" t="s">
        <v>18</v>
      </c>
      <c r="H48" s="736" t="s">
        <v>80</v>
      </c>
      <c r="I48" s="22">
        <v>1786</v>
      </c>
      <c r="J48" s="380" t="s">
        <v>21</v>
      </c>
      <c r="K48" s="86">
        <v>129</v>
      </c>
      <c r="L48" s="278">
        <f>(20592.85-17640.86)*40</f>
        <v>118079.59999999992</v>
      </c>
      <c r="M48" s="390"/>
      <c r="N48" s="94"/>
      <c r="O48" s="278">
        <f>L48</f>
        <v>118079.59999999992</v>
      </c>
    </row>
    <row r="49" spans="1:15" ht="36.75" customHeight="1">
      <c r="A49" s="562"/>
      <c r="B49" s="79" t="s">
        <v>22</v>
      </c>
      <c r="C49" s="87" t="s">
        <v>78</v>
      </c>
      <c r="D49" s="42"/>
      <c r="E49" s="54"/>
      <c r="F49" s="54"/>
      <c r="G49" s="1622" t="s">
        <v>1920</v>
      </c>
      <c r="H49" s="1080" t="s">
        <v>78</v>
      </c>
      <c r="I49" s="54"/>
      <c r="J49" s="54"/>
      <c r="K49" s="88"/>
      <c r="L49" s="69"/>
      <c r="M49" s="83"/>
      <c r="N49" s="194" t="s">
        <v>23</v>
      </c>
      <c r="O49" s="564">
        <f>O48</f>
        <v>118079.59999999992</v>
      </c>
    </row>
    <row r="50" spans="1:15" ht="15">
      <c r="A50" s="563"/>
      <c r="B50" s="13"/>
      <c r="C50" s="73" t="s">
        <v>1070</v>
      </c>
      <c r="D50" s="40"/>
      <c r="E50" s="82"/>
      <c r="F50" s="54"/>
      <c r="G50" s="1076"/>
      <c r="H50" s="1078" t="s">
        <v>1070</v>
      </c>
      <c r="I50" s="54"/>
      <c r="J50" s="54"/>
      <c r="K50" s="88"/>
      <c r="L50" s="70"/>
      <c r="M50" s="83"/>
      <c r="N50" s="83"/>
      <c r="O50" s="31"/>
    </row>
    <row r="51" spans="1:15" ht="15.75" thickBot="1">
      <c r="A51" s="563"/>
      <c r="B51" s="13"/>
      <c r="C51" s="73" t="s">
        <v>25</v>
      </c>
      <c r="D51" s="40"/>
      <c r="E51" s="54"/>
      <c r="F51" s="54"/>
      <c r="G51" s="1294"/>
      <c r="H51" s="1079" t="s">
        <v>25</v>
      </c>
      <c r="I51" s="54"/>
      <c r="J51" s="54"/>
      <c r="K51" s="88"/>
      <c r="L51" s="70"/>
      <c r="M51" s="83"/>
      <c r="N51" s="83"/>
      <c r="O51" s="31"/>
    </row>
    <row r="52" spans="1:15" ht="15">
      <c r="A52" s="563"/>
      <c r="B52" s="553" t="s">
        <v>818</v>
      </c>
      <c r="C52" s="73" t="s">
        <v>1018</v>
      </c>
      <c r="D52" s="40"/>
      <c r="E52" s="54"/>
      <c r="F52" s="54"/>
      <c r="G52" s="577"/>
      <c r="H52" s="73"/>
      <c r="I52" s="54"/>
      <c r="J52" s="54"/>
      <c r="K52" s="88"/>
      <c r="L52" s="70"/>
      <c r="M52" s="83"/>
      <c r="N52" s="83"/>
      <c r="O52" s="31"/>
    </row>
    <row r="53" spans="1:15" ht="15.75" thickBot="1">
      <c r="A53" s="55"/>
      <c r="B53" s="433" t="s">
        <v>1061</v>
      </c>
      <c r="C53" s="72" t="s">
        <v>1068</v>
      </c>
      <c r="D53" s="41"/>
      <c r="E53" s="54"/>
      <c r="F53" s="54"/>
      <c r="G53" s="577"/>
      <c r="H53" s="73"/>
      <c r="I53" s="54"/>
      <c r="J53" s="54"/>
      <c r="K53" s="88"/>
      <c r="L53" s="70"/>
      <c r="M53" s="83"/>
      <c r="N53" s="83"/>
      <c r="O53" s="31"/>
    </row>
    <row r="54" spans="1:15" ht="15">
      <c r="A54" s="273"/>
      <c r="B54" s="14"/>
      <c r="C54" s="73"/>
      <c r="D54" s="19"/>
      <c r="E54" s="54"/>
      <c r="F54" s="54"/>
      <c r="G54" s="54"/>
      <c r="H54" s="54"/>
      <c r="I54" s="54"/>
      <c r="J54" s="54"/>
      <c r="K54" s="88"/>
      <c r="L54" s="70"/>
      <c r="M54" s="83"/>
      <c r="N54" s="83"/>
      <c r="O54" s="31"/>
    </row>
    <row r="55" spans="1:15" ht="15.75" thickBot="1">
      <c r="A55" s="273"/>
      <c r="B55" s="19"/>
      <c r="C55" s="73"/>
      <c r="D55" s="19"/>
      <c r="E55" s="54"/>
      <c r="F55" s="54"/>
      <c r="G55" s="53"/>
      <c r="H55" s="53"/>
      <c r="I55" s="54"/>
      <c r="J55" s="54"/>
      <c r="K55" s="53"/>
      <c r="L55" s="70"/>
      <c r="M55" s="70"/>
      <c r="N55" s="70"/>
      <c r="O55" s="83"/>
    </row>
    <row r="56" spans="1:15" s="25" customFormat="1" ht="44.25" customHeight="1">
      <c r="A56" s="1670" t="s">
        <v>6</v>
      </c>
      <c r="B56" s="1673" t="s">
        <v>633</v>
      </c>
      <c r="C56" s="1676" t="s">
        <v>8</v>
      </c>
      <c r="D56" s="1676" t="s">
        <v>9</v>
      </c>
      <c r="E56" s="1656" t="s">
        <v>812</v>
      </c>
      <c r="F56" s="1656" t="s">
        <v>11</v>
      </c>
      <c r="G56" s="1676" t="s">
        <v>12</v>
      </c>
      <c r="H56" s="1656" t="s">
        <v>13</v>
      </c>
      <c r="I56" s="1656" t="s">
        <v>269</v>
      </c>
      <c r="J56" s="1656" t="s">
        <v>59</v>
      </c>
      <c r="K56" s="1665" t="s">
        <v>635</v>
      </c>
      <c r="L56" s="1668" t="s">
        <v>636</v>
      </c>
      <c r="M56" s="1650"/>
      <c r="N56" s="1650"/>
      <c r="O56" s="1669"/>
    </row>
    <row r="57" spans="1:15" ht="40.5" customHeight="1">
      <c r="A57" s="1671"/>
      <c r="B57" s="1674"/>
      <c r="C57" s="1677"/>
      <c r="D57" s="1677"/>
      <c r="E57" s="1657"/>
      <c r="F57" s="1657"/>
      <c r="G57" s="1677"/>
      <c r="H57" s="1657"/>
      <c r="I57" s="1698"/>
      <c r="J57" s="1657"/>
      <c r="K57" s="1666"/>
      <c r="L57" s="1679" t="s">
        <v>637</v>
      </c>
      <c r="M57" s="1654"/>
      <c r="N57" s="1654"/>
      <c r="O57" s="1680"/>
    </row>
    <row r="58" spans="1:15" ht="36.75" customHeight="1" thickBot="1">
      <c r="A58" s="1672"/>
      <c r="B58" s="1675"/>
      <c r="C58" s="1678"/>
      <c r="D58" s="1678"/>
      <c r="E58" s="1658"/>
      <c r="F58" s="1658"/>
      <c r="G58" s="1678"/>
      <c r="H58" s="1658"/>
      <c r="I58" s="1699"/>
      <c r="J58" s="1658"/>
      <c r="K58" s="1667"/>
      <c r="L58" s="571" t="s">
        <v>638</v>
      </c>
      <c r="M58" s="915" t="s">
        <v>639</v>
      </c>
      <c r="N58" s="915" t="s">
        <v>640</v>
      </c>
      <c r="O58" s="916" t="s">
        <v>16</v>
      </c>
    </row>
    <row r="59" spans="1:15" ht="18.75" thickBot="1">
      <c r="A59" s="554" t="s">
        <v>26</v>
      </c>
      <c r="B59" s="9" t="s">
        <v>154</v>
      </c>
      <c r="C59" s="9" t="s">
        <v>18</v>
      </c>
      <c r="D59" s="9" t="s">
        <v>19</v>
      </c>
      <c r="E59" s="3">
        <v>2</v>
      </c>
      <c r="F59" s="3" t="s">
        <v>20</v>
      </c>
      <c r="G59" s="9" t="s">
        <v>18</v>
      </c>
      <c r="H59" s="736" t="s">
        <v>83</v>
      </c>
      <c r="I59" s="23">
        <v>3508568</v>
      </c>
      <c r="J59" s="379" t="s">
        <v>70</v>
      </c>
      <c r="K59" s="89">
        <v>95</v>
      </c>
      <c r="L59" s="33"/>
      <c r="M59" s="76">
        <f>(1496.75-431.78)*30</f>
        <v>31949.100000000002</v>
      </c>
      <c r="N59" s="76">
        <f>(2900.7-829.43)*30</f>
        <v>62138.1</v>
      </c>
      <c r="O59" s="76">
        <f>SUM(M59:N59)</f>
        <v>94087.2</v>
      </c>
    </row>
    <row r="60" spans="1:15" ht="36.75" customHeight="1">
      <c r="B60" s="10" t="s">
        <v>22</v>
      </c>
      <c r="C60" s="11" t="s">
        <v>136</v>
      </c>
      <c r="D60" s="12"/>
      <c r="E60" s="53"/>
      <c r="F60" s="53"/>
      <c r="G60" s="1622" t="s">
        <v>1920</v>
      </c>
      <c r="H60" s="1075" t="s">
        <v>1884</v>
      </c>
      <c r="I60" s="53"/>
      <c r="J60" s="53"/>
      <c r="K60" s="53"/>
      <c r="L60" s="92"/>
      <c r="M60" s="70"/>
      <c r="N60" s="194" t="s">
        <v>23</v>
      </c>
      <c r="O60" s="564">
        <f>O59</f>
        <v>94087.2</v>
      </c>
    </row>
    <row r="61" spans="1:15" ht="15">
      <c r="B61" s="13"/>
      <c r="C61" s="14" t="s">
        <v>152</v>
      </c>
      <c r="D61" s="15"/>
      <c r="E61" s="82"/>
      <c r="F61" s="53"/>
      <c r="G61" s="1076"/>
      <c r="H61" s="1078" t="s">
        <v>84</v>
      </c>
      <c r="I61" s="53"/>
      <c r="J61" s="53"/>
      <c r="K61" s="53"/>
      <c r="L61" s="83"/>
      <c r="M61" s="31"/>
      <c r="N61" s="394"/>
      <c r="O61" s="59"/>
    </row>
    <row r="62" spans="1:15" ht="15">
      <c r="B62" s="13"/>
      <c r="C62" s="43" t="s">
        <v>25</v>
      </c>
      <c r="D62" s="15"/>
      <c r="E62" s="53"/>
      <c r="F62" s="53"/>
      <c r="G62" s="1076"/>
      <c r="H62" s="1078" t="s">
        <v>85</v>
      </c>
      <c r="I62" s="53"/>
      <c r="J62" s="53"/>
      <c r="K62" s="53"/>
      <c r="L62" s="83"/>
      <c r="M62" s="31"/>
      <c r="N62" s="394"/>
      <c r="O62" s="59"/>
    </row>
    <row r="63" spans="1:15" ht="15.75" thickBot="1">
      <c r="B63" s="553" t="s">
        <v>160</v>
      </c>
      <c r="C63" s="43" t="s">
        <v>1022</v>
      </c>
      <c r="D63" s="15"/>
      <c r="E63" s="53"/>
      <c r="F63" s="53"/>
      <c r="G63" s="188"/>
      <c r="H63" s="1079" t="s">
        <v>25</v>
      </c>
      <c r="I63" s="53"/>
      <c r="J63" s="53"/>
      <c r="K63" s="381"/>
      <c r="L63" s="83"/>
      <c r="M63" s="31"/>
      <c r="N63" s="394"/>
      <c r="O63" s="59"/>
    </row>
    <row r="64" spans="1:15" ht="15.75" thickBot="1">
      <c r="B64" s="433" t="s">
        <v>1061</v>
      </c>
      <c r="C64" s="113" t="s">
        <v>1081</v>
      </c>
      <c r="D64" s="18"/>
      <c r="G64" s="577"/>
      <c r="H64" s="73"/>
      <c r="L64" s="31"/>
      <c r="M64" s="31"/>
      <c r="N64" s="59"/>
      <c r="O64" s="59"/>
    </row>
    <row r="65" spans="1:15" ht="15">
      <c r="A65" s="287"/>
      <c r="B65" s="577"/>
      <c r="C65" s="54"/>
      <c r="D65" s="14"/>
      <c r="G65" s="577"/>
      <c r="H65" s="73"/>
      <c r="L65" s="31"/>
      <c r="M65" s="31"/>
      <c r="N65" s="59"/>
      <c r="O65" s="59"/>
    </row>
    <row r="66" spans="1:15" ht="15.75" thickBot="1">
      <c r="A66" s="273"/>
      <c r="B66" s="14"/>
      <c r="C66" s="73"/>
      <c r="D66" s="14"/>
      <c r="L66" s="31"/>
      <c r="M66" s="31"/>
      <c r="N66" s="59"/>
      <c r="O66" s="59"/>
    </row>
    <row r="67" spans="1:15" s="25" customFormat="1" ht="44.25" customHeight="1">
      <c r="A67" s="1670" t="s">
        <v>6</v>
      </c>
      <c r="B67" s="1673" t="s">
        <v>633</v>
      </c>
      <c r="C67" s="1676" t="s">
        <v>8</v>
      </c>
      <c r="D67" s="1676" t="s">
        <v>9</v>
      </c>
      <c r="E67" s="1656" t="s">
        <v>812</v>
      </c>
      <c r="F67" s="1656" t="s">
        <v>11</v>
      </c>
      <c r="G67" s="1676" t="s">
        <v>12</v>
      </c>
      <c r="H67" s="1656" t="s">
        <v>13</v>
      </c>
      <c r="I67" s="1656" t="s">
        <v>269</v>
      </c>
      <c r="J67" s="1656" t="s">
        <v>59</v>
      </c>
      <c r="K67" s="1665" t="s">
        <v>635</v>
      </c>
      <c r="L67" s="1668" t="s">
        <v>636</v>
      </c>
      <c r="M67" s="1650"/>
      <c r="N67" s="1650"/>
      <c r="O67" s="1669"/>
    </row>
    <row r="68" spans="1:15" ht="40.5" customHeight="1">
      <c r="A68" s="1671"/>
      <c r="B68" s="1674"/>
      <c r="C68" s="1677"/>
      <c r="D68" s="1677"/>
      <c r="E68" s="1657"/>
      <c r="F68" s="1657"/>
      <c r="G68" s="1677"/>
      <c r="H68" s="1657"/>
      <c r="I68" s="1698"/>
      <c r="J68" s="1657"/>
      <c r="K68" s="1666"/>
      <c r="L68" s="1679" t="s">
        <v>637</v>
      </c>
      <c r="M68" s="1654"/>
      <c r="N68" s="1654"/>
      <c r="O68" s="1680"/>
    </row>
    <row r="69" spans="1:15" ht="36.75" customHeight="1" thickBot="1">
      <c r="A69" s="1672"/>
      <c r="B69" s="1675"/>
      <c r="C69" s="1678"/>
      <c r="D69" s="1678"/>
      <c r="E69" s="1658"/>
      <c r="F69" s="1658"/>
      <c r="G69" s="1678"/>
      <c r="H69" s="1658"/>
      <c r="I69" s="1699"/>
      <c r="J69" s="1658"/>
      <c r="K69" s="1667"/>
      <c r="L69" s="263" t="s">
        <v>638</v>
      </c>
      <c r="M69" s="270" t="s">
        <v>639</v>
      </c>
      <c r="N69" s="270" t="s">
        <v>640</v>
      </c>
      <c r="O69" s="265" t="s">
        <v>16</v>
      </c>
    </row>
    <row r="70" spans="1:15" ht="26.25" customHeight="1">
      <c r="A70" s="554" t="s">
        <v>26</v>
      </c>
      <c r="B70" s="9"/>
      <c r="C70" s="9" t="s">
        <v>18</v>
      </c>
      <c r="D70" s="9" t="s">
        <v>86</v>
      </c>
      <c r="E70" s="3">
        <v>17</v>
      </c>
      <c r="F70" s="3" t="s">
        <v>20</v>
      </c>
      <c r="G70" s="3" t="s">
        <v>18</v>
      </c>
      <c r="H70" s="726" t="s">
        <v>87</v>
      </c>
      <c r="I70" s="23">
        <v>3516106</v>
      </c>
      <c r="J70" s="382" t="s">
        <v>28</v>
      </c>
      <c r="K70" s="95">
        <v>15</v>
      </c>
      <c r="L70" s="76">
        <v>0</v>
      </c>
      <c r="M70" s="395"/>
      <c r="N70" s="108"/>
      <c r="O70" s="76">
        <f>L70</f>
        <v>0</v>
      </c>
    </row>
    <row r="71" spans="1:15" ht="26.25" customHeight="1" thickBot="1">
      <c r="A71" s="554" t="s">
        <v>26</v>
      </c>
      <c r="B71" s="9"/>
      <c r="C71" s="9" t="s">
        <v>18</v>
      </c>
      <c r="D71" s="6" t="s">
        <v>86</v>
      </c>
      <c r="E71" s="4">
        <v>17</v>
      </c>
      <c r="F71" s="4" t="s">
        <v>20</v>
      </c>
      <c r="G71" s="9" t="s">
        <v>18</v>
      </c>
      <c r="H71" s="736" t="s">
        <v>89</v>
      </c>
      <c r="I71" s="20">
        <v>4099750</v>
      </c>
      <c r="J71" s="1555" t="s">
        <v>21</v>
      </c>
      <c r="K71" s="86">
        <v>119</v>
      </c>
      <c r="L71" s="34">
        <f>(4540.57-2113.56)*50</f>
        <v>121350.49999999999</v>
      </c>
      <c r="M71" s="33"/>
      <c r="N71" s="94"/>
      <c r="O71" s="34">
        <f>L71</f>
        <v>121350.49999999999</v>
      </c>
    </row>
    <row r="72" spans="1:15" ht="33.75" customHeight="1">
      <c r="B72" s="10" t="s">
        <v>22</v>
      </c>
      <c r="C72" s="11" t="s">
        <v>136</v>
      </c>
      <c r="D72" s="12"/>
      <c r="E72" s="53"/>
      <c r="F72" s="53"/>
      <c r="G72" s="1622" t="s">
        <v>1920</v>
      </c>
      <c r="H72" s="80" t="s">
        <v>1885</v>
      </c>
      <c r="I72" s="1556"/>
      <c r="J72" s="229"/>
      <c r="K72" s="96"/>
      <c r="L72" s="92"/>
      <c r="M72" s="31"/>
      <c r="N72" s="278" t="s">
        <v>23</v>
      </c>
      <c r="O72" s="568">
        <f>SUM(O70:O71)</f>
        <v>121350.49999999999</v>
      </c>
    </row>
    <row r="73" spans="1:15" ht="15">
      <c r="B73" s="13"/>
      <c r="C73" s="14" t="s">
        <v>152</v>
      </c>
      <c r="D73" s="15"/>
      <c r="E73" s="53"/>
      <c r="F73" s="53"/>
      <c r="G73" s="1076"/>
      <c r="H73" s="73" t="s">
        <v>88</v>
      </c>
      <c r="I73" s="53"/>
      <c r="J73" s="230"/>
      <c r="K73" s="96"/>
      <c r="L73" s="83"/>
      <c r="M73" s="31"/>
      <c r="N73" s="394"/>
      <c r="O73" s="59"/>
    </row>
    <row r="74" spans="1:15" ht="15.75" thickBot="1">
      <c r="B74" s="13"/>
      <c r="C74" s="43" t="s">
        <v>25</v>
      </c>
      <c r="D74" s="15"/>
      <c r="E74" s="53"/>
      <c r="F74" s="53"/>
      <c r="G74" s="1294"/>
      <c r="H74" s="72" t="s">
        <v>25</v>
      </c>
      <c r="I74" s="1557"/>
      <c r="J74" s="231"/>
      <c r="K74" s="96"/>
      <c r="L74" s="83"/>
      <c r="M74" s="31"/>
      <c r="N74" s="394"/>
      <c r="O74" s="59"/>
    </row>
    <row r="75" spans="1:15" ht="15">
      <c r="B75" s="553" t="s">
        <v>160</v>
      </c>
      <c r="C75" s="43" t="s">
        <v>1022</v>
      </c>
      <c r="D75" s="15"/>
      <c r="E75" s="2"/>
      <c r="F75" s="2"/>
      <c r="G75" s="577"/>
      <c r="H75" s="68"/>
      <c r="I75" s="2"/>
      <c r="J75" s="2"/>
      <c r="K75" s="98"/>
      <c r="L75" s="393"/>
      <c r="M75" s="31"/>
      <c r="N75" s="394"/>
      <c r="O75" s="59"/>
    </row>
    <row r="76" spans="1:15" ht="15.75" thickBot="1">
      <c r="A76" s="287"/>
      <c r="B76" s="433" t="s">
        <v>1061</v>
      </c>
      <c r="C76" s="113" t="s">
        <v>1081</v>
      </c>
      <c r="D76" s="18"/>
      <c r="E76" s="2"/>
      <c r="F76" s="2"/>
      <c r="H76" s="68"/>
      <c r="I76" s="2"/>
      <c r="J76" s="2"/>
      <c r="K76" s="98"/>
      <c r="L76" s="393"/>
      <c r="M76" s="31"/>
      <c r="N76" s="394"/>
      <c r="O76" s="59"/>
    </row>
    <row r="77" spans="1:15" ht="15">
      <c r="A77" s="273"/>
      <c r="B77" s="19"/>
      <c r="C77" s="68"/>
      <c r="D77" s="19"/>
      <c r="E77" s="2"/>
      <c r="F77" s="2"/>
      <c r="G77" s="2"/>
      <c r="H77" s="2"/>
      <c r="I77" s="2"/>
      <c r="J77" s="2"/>
      <c r="K77" s="98"/>
      <c r="L77" s="393"/>
      <c r="M77" s="31"/>
      <c r="N77" s="394"/>
      <c r="O77" s="59"/>
    </row>
    <row r="78" spans="1:15" ht="15.75" thickBot="1">
      <c r="B78" s="19"/>
      <c r="C78" s="68"/>
      <c r="D78" s="19"/>
      <c r="E78" s="2"/>
      <c r="F78" s="2"/>
      <c r="G78" s="2"/>
      <c r="H78" s="2"/>
      <c r="I78" s="2"/>
      <c r="J78" s="2"/>
      <c r="K78" s="98"/>
      <c r="L78" s="393"/>
      <c r="M78" s="31"/>
      <c r="N78" s="394"/>
      <c r="O78" s="59"/>
    </row>
    <row r="79" spans="1:15" ht="43.5" customHeight="1">
      <c r="A79" s="1670" t="s">
        <v>6</v>
      </c>
      <c r="B79" s="1673" t="s">
        <v>633</v>
      </c>
      <c r="C79" s="1676" t="s">
        <v>8</v>
      </c>
      <c r="D79" s="1676" t="s">
        <v>9</v>
      </c>
      <c r="E79" s="1656" t="s">
        <v>812</v>
      </c>
      <c r="F79" s="1656" t="s">
        <v>11</v>
      </c>
      <c r="G79" s="1676" t="s">
        <v>12</v>
      </c>
      <c r="H79" s="1656" t="s">
        <v>13</v>
      </c>
      <c r="I79" s="1656" t="s">
        <v>269</v>
      </c>
      <c r="J79" s="1656" t="s">
        <v>59</v>
      </c>
      <c r="K79" s="1665" t="s">
        <v>635</v>
      </c>
      <c r="L79" s="1668" t="s">
        <v>636</v>
      </c>
      <c r="M79" s="1650"/>
      <c r="N79" s="1650"/>
      <c r="O79" s="1669"/>
    </row>
    <row r="80" spans="1:15" ht="40.5" customHeight="1">
      <c r="A80" s="1671"/>
      <c r="B80" s="1674"/>
      <c r="C80" s="1677"/>
      <c r="D80" s="1677"/>
      <c r="E80" s="1657"/>
      <c r="F80" s="1657"/>
      <c r="G80" s="1677"/>
      <c r="H80" s="1657"/>
      <c r="I80" s="1698"/>
      <c r="J80" s="1657"/>
      <c r="K80" s="1666"/>
      <c r="L80" s="1679" t="s">
        <v>637</v>
      </c>
      <c r="M80" s="1654"/>
      <c r="N80" s="1654"/>
      <c r="O80" s="1680"/>
    </row>
    <row r="81" spans="1:15" ht="37.5" customHeight="1" thickBot="1">
      <c r="A81" s="1672"/>
      <c r="B81" s="1675"/>
      <c r="C81" s="1678"/>
      <c r="D81" s="1678"/>
      <c r="E81" s="1658"/>
      <c r="F81" s="1658"/>
      <c r="G81" s="1678"/>
      <c r="H81" s="1658"/>
      <c r="I81" s="1699"/>
      <c r="J81" s="1658"/>
      <c r="K81" s="1667"/>
      <c r="L81" s="263" t="s">
        <v>638</v>
      </c>
      <c r="M81" s="270" t="s">
        <v>639</v>
      </c>
      <c r="N81" s="270" t="s">
        <v>640</v>
      </c>
      <c r="O81" s="265" t="s">
        <v>16</v>
      </c>
    </row>
    <row r="82" spans="1:15" ht="30" thickBot="1">
      <c r="A82" s="554" t="s">
        <v>26</v>
      </c>
      <c r="B82" s="9" t="s">
        <v>90</v>
      </c>
      <c r="C82" s="9" t="s">
        <v>18</v>
      </c>
      <c r="D82" s="9" t="s">
        <v>29</v>
      </c>
      <c r="E82" s="3">
        <v>22</v>
      </c>
      <c r="F82" s="3" t="s">
        <v>20</v>
      </c>
      <c r="G82" s="3" t="s">
        <v>18</v>
      </c>
      <c r="H82" s="726" t="s">
        <v>92</v>
      </c>
      <c r="I82" s="23">
        <v>4142881</v>
      </c>
      <c r="J82" s="382" t="s">
        <v>28</v>
      </c>
      <c r="K82" s="89">
        <v>40</v>
      </c>
      <c r="L82" s="76">
        <f>((13500.58-13030.97)+(2553.87-0))*20</f>
        <v>60469.600000000006</v>
      </c>
      <c r="M82" s="395"/>
      <c r="N82" s="108"/>
      <c r="O82" s="93">
        <f>L82</f>
        <v>60469.600000000006</v>
      </c>
    </row>
    <row r="83" spans="1:15" ht="33.75" customHeight="1">
      <c r="B83" s="10" t="s">
        <v>22</v>
      </c>
      <c r="C83" s="11" t="s">
        <v>136</v>
      </c>
      <c r="D83" s="12"/>
      <c r="E83" s="53"/>
      <c r="F83" s="53"/>
      <c r="G83" s="1622" t="s">
        <v>1920</v>
      </c>
      <c r="H83" s="1075" t="s">
        <v>90</v>
      </c>
      <c r="I83" s="53"/>
      <c r="J83" s="53"/>
      <c r="K83" s="53"/>
      <c r="L83" s="92"/>
      <c r="M83" s="31"/>
      <c r="N83" s="278" t="s">
        <v>23</v>
      </c>
      <c r="O83" s="556">
        <f>O82</f>
        <v>60469.600000000006</v>
      </c>
    </row>
    <row r="84" spans="1:15" ht="15">
      <c r="B84" s="13"/>
      <c r="C84" s="14" t="s">
        <v>152</v>
      </c>
      <c r="D84" s="15"/>
      <c r="E84" s="82"/>
      <c r="F84" s="53"/>
      <c r="G84" s="1076"/>
      <c r="H84" s="1078" t="s">
        <v>93</v>
      </c>
      <c r="I84" s="53"/>
      <c r="J84" s="53"/>
      <c r="K84" s="53"/>
      <c r="L84" s="83"/>
      <c r="M84" s="31"/>
      <c r="N84" s="394"/>
      <c r="O84" s="59"/>
    </row>
    <row r="85" spans="1:15" ht="15">
      <c r="B85" s="13"/>
      <c r="C85" s="43" t="s">
        <v>25</v>
      </c>
      <c r="D85" s="15"/>
      <c r="E85" s="53"/>
      <c r="F85" s="53"/>
      <c r="G85" s="1076"/>
      <c r="H85" s="1078" t="s">
        <v>94</v>
      </c>
      <c r="I85" s="53"/>
      <c r="J85" s="53"/>
      <c r="K85" s="53"/>
      <c r="L85" s="83"/>
      <c r="M85" s="31"/>
      <c r="N85" s="394"/>
      <c r="O85" s="59"/>
    </row>
    <row r="86" spans="1:15" ht="15">
      <c r="B86" s="553" t="s">
        <v>160</v>
      </c>
      <c r="C86" s="43" t="s">
        <v>1022</v>
      </c>
      <c r="D86" s="15"/>
      <c r="E86" s="53"/>
      <c r="F86" s="53"/>
      <c r="G86" s="185"/>
      <c r="H86" s="1078" t="s">
        <v>25</v>
      </c>
      <c r="I86" s="53"/>
      <c r="J86" s="53"/>
      <c r="K86" s="53"/>
      <c r="L86" s="83"/>
      <c r="M86" s="31"/>
      <c r="N86" s="394"/>
      <c r="O86" s="59"/>
    </row>
    <row r="87" spans="1:15" ht="15.75" thickBot="1">
      <c r="B87" s="433" t="s">
        <v>1061</v>
      </c>
      <c r="C87" s="113" t="s">
        <v>1081</v>
      </c>
      <c r="D87" s="18"/>
      <c r="E87" s="53"/>
      <c r="F87" s="53"/>
      <c r="G87" s="433" t="s">
        <v>160</v>
      </c>
      <c r="H87" s="1079" t="s">
        <v>1019</v>
      </c>
      <c r="I87" s="53"/>
      <c r="J87" s="53"/>
      <c r="K87" s="53"/>
      <c r="L87" s="83"/>
      <c r="M87" s="31"/>
      <c r="N87" s="394"/>
      <c r="O87" s="59"/>
    </row>
    <row r="88" spans="1:15" ht="15">
      <c r="A88" s="287"/>
      <c r="B88" s="577"/>
      <c r="C88" s="54"/>
      <c r="D88" s="19"/>
      <c r="E88" s="53"/>
      <c r="F88" s="53"/>
      <c r="G88" s="53"/>
      <c r="H88" s="73"/>
      <c r="I88" s="53"/>
      <c r="J88" s="53"/>
      <c r="K88" s="53"/>
      <c r="L88" s="83"/>
      <c r="M88" s="31"/>
      <c r="N88" s="394"/>
      <c r="O88" s="59"/>
    </row>
    <row r="89" spans="1:15" ht="15.75" thickBot="1">
      <c r="A89" s="273"/>
      <c r="B89" s="14"/>
      <c r="C89" s="73"/>
      <c r="D89" s="19"/>
      <c r="E89" s="54"/>
      <c r="F89" s="54"/>
      <c r="G89" s="53"/>
      <c r="H89" s="53"/>
      <c r="I89" s="54"/>
      <c r="J89" s="54"/>
      <c r="K89" s="88"/>
      <c r="L89" s="70"/>
      <c r="M89" s="31"/>
      <c r="N89" s="59"/>
      <c r="O89" s="59"/>
    </row>
    <row r="90" spans="1:15" s="25" customFormat="1" ht="46.5" customHeight="1">
      <c r="A90" s="1670" t="s">
        <v>6</v>
      </c>
      <c r="B90" s="1673" t="s">
        <v>633</v>
      </c>
      <c r="C90" s="1676" t="s">
        <v>8</v>
      </c>
      <c r="D90" s="1676" t="s">
        <v>9</v>
      </c>
      <c r="E90" s="1656" t="s">
        <v>812</v>
      </c>
      <c r="F90" s="1656" t="s">
        <v>11</v>
      </c>
      <c r="G90" s="1676" t="s">
        <v>12</v>
      </c>
      <c r="H90" s="1656" t="s">
        <v>13</v>
      </c>
      <c r="I90" s="1656" t="s">
        <v>269</v>
      </c>
      <c r="J90" s="1656" t="s">
        <v>59</v>
      </c>
      <c r="K90" s="1665" t="s">
        <v>635</v>
      </c>
      <c r="L90" s="1668" t="s">
        <v>636</v>
      </c>
      <c r="M90" s="1650"/>
      <c r="N90" s="1650"/>
      <c r="O90" s="1669"/>
    </row>
    <row r="91" spans="1:15" ht="40.5" customHeight="1">
      <c r="A91" s="1671"/>
      <c r="B91" s="1674"/>
      <c r="C91" s="1677"/>
      <c r="D91" s="1677"/>
      <c r="E91" s="1657"/>
      <c r="F91" s="1657"/>
      <c r="G91" s="1677"/>
      <c r="H91" s="1657"/>
      <c r="I91" s="1698"/>
      <c r="J91" s="1657"/>
      <c r="K91" s="1666"/>
      <c r="L91" s="1679" t="s">
        <v>637</v>
      </c>
      <c r="M91" s="1654"/>
      <c r="N91" s="1654"/>
      <c r="O91" s="1680"/>
    </row>
    <row r="92" spans="1:15" ht="34.5" customHeight="1" thickBot="1">
      <c r="A92" s="1672"/>
      <c r="B92" s="1675"/>
      <c r="C92" s="1678"/>
      <c r="D92" s="1678"/>
      <c r="E92" s="1658"/>
      <c r="F92" s="1658"/>
      <c r="G92" s="1678"/>
      <c r="H92" s="1658"/>
      <c r="I92" s="1699"/>
      <c r="J92" s="1658"/>
      <c r="K92" s="1667"/>
      <c r="L92" s="263" t="s">
        <v>638</v>
      </c>
      <c r="M92" s="270" t="s">
        <v>639</v>
      </c>
      <c r="N92" s="270" t="s">
        <v>640</v>
      </c>
      <c r="O92" s="265" t="s">
        <v>16</v>
      </c>
    </row>
    <row r="93" spans="1:15" ht="30" thickBot="1">
      <c r="A93" s="554" t="s">
        <v>26</v>
      </c>
      <c r="B93" s="9" t="s">
        <v>96</v>
      </c>
      <c r="C93" s="9" t="s">
        <v>18</v>
      </c>
      <c r="D93" s="9" t="s">
        <v>31</v>
      </c>
      <c r="E93" s="4">
        <v>10</v>
      </c>
      <c r="F93" s="4" t="s">
        <v>20</v>
      </c>
      <c r="G93" s="9" t="s">
        <v>18</v>
      </c>
      <c r="H93" s="736" t="s">
        <v>97</v>
      </c>
      <c r="I93" s="22">
        <v>907524</v>
      </c>
      <c r="J93" s="383" t="s">
        <v>28</v>
      </c>
      <c r="K93" s="90">
        <v>15</v>
      </c>
      <c r="L93" s="99">
        <f>109810-92498</f>
        <v>17312</v>
      </c>
      <c r="M93" s="396"/>
      <c r="N93" s="108"/>
      <c r="O93" s="93">
        <f>L93</f>
        <v>17312</v>
      </c>
    </row>
    <row r="94" spans="1:15" ht="30">
      <c r="B94" s="10" t="s">
        <v>22</v>
      </c>
      <c r="C94" s="11" t="s">
        <v>136</v>
      </c>
      <c r="D94" s="12"/>
      <c r="E94" s="54"/>
      <c r="F94" s="54"/>
      <c r="G94" s="1622" t="s">
        <v>1920</v>
      </c>
      <c r="H94" s="1075" t="s">
        <v>96</v>
      </c>
      <c r="I94" s="54"/>
      <c r="J94" s="54"/>
      <c r="K94" s="54"/>
      <c r="L94" s="69"/>
      <c r="M94" s="31"/>
      <c r="N94" s="34" t="s">
        <v>23</v>
      </c>
      <c r="O94" s="578">
        <f>O93</f>
        <v>17312</v>
      </c>
    </row>
    <row r="95" spans="1:15" ht="15">
      <c r="B95" s="13"/>
      <c r="C95" s="14" t="s">
        <v>152</v>
      </c>
      <c r="D95" s="15"/>
      <c r="E95" s="82"/>
      <c r="F95" s="54"/>
      <c r="G95" s="1076"/>
      <c r="H95" s="1078" t="s">
        <v>98</v>
      </c>
      <c r="I95" s="54"/>
      <c r="J95" s="54"/>
      <c r="K95" s="54"/>
      <c r="L95" s="70"/>
      <c r="M95" s="31"/>
      <c r="N95" s="59"/>
      <c r="O95" s="59"/>
    </row>
    <row r="96" spans="1:15" ht="15.75" thickBot="1">
      <c r="B96" s="13"/>
      <c r="C96" s="43" t="s">
        <v>25</v>
      </c>
      <c r="D96" s="15"/>
      <c r="E96" s="54"/>
      <c r="F96" s="54"/>
      <c r="G96" s="1294"/>
      <c r="H96" s="1079" t="s">
        <v>25</v>
      </c>
      <c r="I96" s="54"/>
      <c r="J96" s="54"/>
      <c r="K96" s="54"/>
      <c r="L96" s="70"/>
      <c r="M96" s="31"/>
      <c r="N96" s="59"/>
      <c r="O96" s="59"/>
    </row>
    <row r="97" spans="1:15" ht="15">
      <c r="B97" s="553" t="s">
        <v>160</v>
      </c>
      <c r="C97" s="43" t="s">
        <v>1022</v>
      </c>
      <c r="D97" s="15"/>
      <c r="E97" s="54"/>
      <c r="F97" s="54"/>
      <c r="G97" s="577"/>
      <c r="H97" s="73"/>
      <c r="I97" s="54"/>
      <c r="J97" s="54"/>
      <c r="K97" s="54"/>
      <c r="L97" s="70"/>
      <c r="M97" s="31"/>
      <c r="N97" s="59"/>
      <c r="O97" s="59"/>
    </row>
    <row r="98" spans="1:15" ht="15.75" thickBot="1">
      <c r="A98" s="287"/>
      <c r="B98" s="433" t="s">
        <v>1061</v>
      </c>
      <c r="C98" s="113" t="s">
        <v>1081</v>
      </c>
      <c r="D98" s="18"/>
      <c r="E98" s="54"/>
      <c r="F98" s="54"/>
      <c r="G98" s="54"/>
      <c r="H98" s="73"/>
      <c r="I98" s="54"/>
      <c r="J98" s="54"/>
      <c r="K98" s="54"/>
      <c r="L98" s="70"/>
      <c r="M98" s="31"/>
      <c r="N98" s="59"/>
      <c r="O98" s="59"/>
    </row>
    <row r="99" spans="1:15" ht="15">
      <c r="A99" s="273"/>
      <c r="B99" s="14"/>
      <c r="C99" s="73"/>
      <c r="D99" s="19"/>
      <c r="E99" s="54"/>
      <c r="F99" s="54"/>
      <c r="G99" s="53"/>
      <c r="H99" s="53"/>
      <c r="I99" s="54"/>
      <c r="J99" s="54"/>
      <c r="K99" s="54"/>
      <c r="L99" s="70"/>
      <c r="M99" s="31"/>
      <c r="N99" s="59"/>
      <c r="O99" s="59"/>
    </row>
    <row r="100" spans="1:15" ht="15.75" thickBot="1">
      <c r="B100" s="14"/>
      <c r="C100" s="73"/>
      <c r="D100" s="19"/>
      <c r="E100" s="54"/>
      <c r="F100" s="54"/>
      <c r="G100" s="53"/>
      <c r="H100" s="53"/>
      <c r="I100" s="54"/>
      <c r="J100" s="54"/>
      <c r="K100" s="54"/>
      <c r="L100" s="70"/>
      <c r="M100" s="31"/>
      <c r="N100" s="59"/>
      <c r="O100" s="59"/>
    </row>
    <row r="101" spans="1:15" ht="44.25" customHeight="1">
      <c r="A101" s="1670" t="s">
        <v>6</v>
      </c>
      <c r="B101" s="1673" t="s">
        <v>633</v>
      </c>
      <c r="C101" s="1676" t="s">
        <v>8</v>
      </c>
      <c r="D101" s="1676" t="s">
        <v>9</v>
      </c>
      <c r="E101" s="1656" t="s">
        <v>812</v>
      </c>
      <c r="F101" s="1656" t="s">
        <v>11</v>
      </c>
      <c r="G101" s="1676" t="s">
        <v>12</v>
      </c>
      <c r="H101" s="1656" t="s">
        <v>13</v>
      </c>
      <c r="I101" s="1656" t="s">
        <v>269</v>
      </c>
      <c r="J101" s="1656" t="s">
        <v>59</v>
      </c>
      <c r="K101" s="1665" t="s">
        <v>635</v>
      </c>
      <c r="L101" s="1668" t="s">
        <v>636</v>
      </c>
      <c r="M101" s="1650"/>
      <c r="N101" s="1650"/>
      <c r="O101" s="1669"/>
    </row>
    <row r="102" spans="1:15" ht="40.5" customHeight="1">
      <c r="A102" s="1671"/>
      <c r="B102" s="1674"/>
      <c r="C102" s="1677"/>
      <c r="D102" s="1677"/>
      <c r="E102" s="1657"/>
      <c r="F102" s="1657"/>
      <c r="G102" s="1677"/>
      <c r="H102" s="1657"/>
      <c r="I102" s="1698"/>
      <c r="J102" s="1657"/>
      <c r="K102" s="1666"/>
      <c r="L102" s="1679" t="s">
        <v>637</v>
      </c>
      <c r="M102" s="1654"/>
      <c r="N102" s="1654"/>
      <c r="O102" s="1680"/>
    </row>
    <row r="103" spans="1:15" ht="35.25" customHeight="1" thickBot="1">
      <c r="A103" s="1672"/>
      <c r="B103" s="1675"/>
      <c r="C103" s="1678"/>
      <c r="D103" s="1678"/>
      <c r="E103" s="1658"/>
      <c r="F103" s="1658"/>
      <c r="G103" s="1678"/>
      <c r="H103" s="1658"/>
      <c r="I103" s="1699"/>
      <c r="J103" s="1658"/>
      <c r="K103" s="1667"/>
      <c r="L103" s="571" t="s">
        <v>638</v>
      </c>
      <c r="M103" s="1065" t="s">
        <v>639</v>
      </c>
      <c r="N103" s="1065" t="s">
        <v>640</v>
      </c>
      <c r="O103" s="1066" t="s">
        <v>16</v>
      </c>
    </row>
    <row r="104" spans="1:15" ht="30" thickBot="1">
      <c r="A104" s="574" t="s">
        <v>26</v>
      </c>
      <c r="B104" s="359" t="s">
        <v>99</v>
      </c>
      <c r="C104" s="359" t="s">
        <v>18</v>
      </c>
      <c r="D104" s="359" t="s">
        <v>1071</v>
      </c>
      <c r="E104" s="266">
        <v>2</v>
      </c>
      <c r="F104" s="266" t="s">
        <v>20</v>
      </c>
      <c r="G104" s="359" t="s">
        <v>18</v>
      </c>
      <c r="H104" s="1082" t="s">
        <v>100</v>
      </c>
      <c r="I104" s="614">
        <v>4099752</v>
      </c>
      <c r="J104" s="1083" t="s">
        <v>21</v>
      </c>
      <c r="K104" s="1084">
        <v>79</v>
      </c>
      <c r="L104" s="1085">
        <f>(1697.26-691.95)*30</f>
        <v>30159.3</v>
      </c>
      <c r="M104" s="269"/>
      <c r="N104" s="1086"/>
      <c r="O104" s="434">
        <f>L104</f>
        <v>30159.3</v>
      </c>
    </row>
    <row r="105" spans="1:15" ht="34.5" customHeight="1">
      <c r="B105" s="10" t="s">
        <v>22</v>
      </c>
      <c r="C105" s="11" t="s">
        <v>136</v>
      </c>
      <c r="D105" s="12"/>
      <c r="E105" s="19"/>
      <c r="F105" s="53"/>
      <c r="G105" s="1622" t="s">
        <v>1920</v>
      </c>
      <c r="H105" s="80" t="s">
        <v>101</v>
      </c>
      <c r="I105" s="229"/>
      <c r="J105" s="53"/>
      <c r="K105" s="66"/>
      <c r="L105" s="92"/>
      <c r="M105" s="31"/>
      <c r="N105" s="278" t="s">
        <v>23</v>
      </c>
      <c r="O105" s="556">
        <f>O104</f>
        <v>30159.3</v>
      </c>
    </row>
    <row r="106" spans="1:15" ht="15">
      <c r="B106" s="13"/>
      <c r="C106" s="14" t="s">
        <v>152</v>
      </c>
      <c r="D106" s="15"/>
      <c r="E106" s="82"/>
      <c r="F106" s="53"/>
      <c r="G106" s="1076"/>
      <c r="H106" s="73" t="s">
        <v>102</v>
      </c>
      <c r="I106" s="230"/>
      <c r="J106" s="53"/>
      <c r="K106" s="53"/>
      <c r="L106" s="83"/>
      <c r="M106" s="31"/>
      <c r="N106" s="59"/>
      <c r="O106" s="59"/>
    </row>
    <row r="107" spans="1:15" ht="15">
      <c r="B107" s="13"/>
      <c r="C107" s="43" t="s">
        <v>25</v>
      </c>
      <c r="D107" s="15"/>
      <c r="E107" s="1071"/>
      <c r="F107" s="53"/>
      <c r="G107" s="1076"/>
      <c r="H107" s="73" t="s">
        <v>103</v>
      </c>
      <c r="I107" s="230"/>
      <c r="J107" s="53"/>
      <c r="K107" s="53"/>
      <c r="L107" s="83"/>
      <c r="M107" s="31"/>
      <c r="N107" s="59"/>
      <c r="O107" s="59"/>
    </row>
    <row r="108" spans="1:15" ht="15">
      <c r="B108" s="553" t="s">
        <v>160</v>
      </c>
      <c r="C108" s="43" t="s">
        <v>1022</v>
      </c>
      <c r="D108" s="15"/>
      <c r="E108" s="1071"/>
      <c r="F108" s="53"/>
      <c r="G108" s="185"/>
      <c r="H108" s="73" t="s">
        <v>1759</v>
      </c>
      <c r="I108" s="230"/>
      <c r="J108" s="53"/>
      <c r="K108" s="53"/>
      <c r="L108" s="83"/>
      <c r="M108" s="31"/>
      <c r="N108" s="59"/>
      <c r="O108" s="59"/>
    </row>
    <row r="109" spans="1:15" ht="15.75" thickBot="1">
      <c r="B109" s="433" t="s">
        <v>1061</v>
      </c>
      <c r="C109" s="113" t="s">
        <v>1081</v>
      </c>
      <c r="D109" s="18"/>
      <c r="E109" s="19"/>
      <c r="F109" s="53"/>
      <c r="G109" s="188"/>
      <c r="H109" s="72" t="s">
        <v>822</v>
      </c>
      <c r="I109" s="231"/>
      <c r="J109" s="53"/>
      <c r="K109" s="53"/>
      <c r="L109" s="83"/>
      <c r="M109" s="31"/>
      <c r="N109" s="59"/>
      <c r="O109" s="59"/>
    </row>
    <row r="110" spans="1:15" ht="15">
      <c r="B110" s="577"/>
      <c r="C110" s="54"/>
      <c r="D110" s="14"/>
      <c r="E110" s="14"/>
      <c r="G110" s="577"/>
      <c r="H110" s="73"/>
      <c r="I110" s="54"/>
      <c r="L110" s="31"/>
      <c r="M110" s="31"/>
      <c r="N110" s="59"/>
      <c r="O110" s="59"/>
    </row>
    <row r="111" spans="1:15" ht="15.75" thickBot="1">
      <c r="A111" s="287"/>
      <c r="B111" s="577"/>
      <c r="C111" s="54"/>
      <c r="D111" s="14"/>
      <c r="E111" s="14"/>
      <c r="H111" s="73"/>
      <c r="L111" s="31"/>
      <c r="M111" s="31"/>
      <c r="N111" s="59"/>
      <c r="O111" s="59"/>
    </row>
    <row r="112" spans="1:15" s="25" customFormat="1" ht="40.5" customHeight="1">
      <c r="A112" s="1670" t="s">
        <v>6</v>
      </c>
      <c r="B112" s="1673" t="s">
        <v>633</v>
      </c>
      <c r="C112" s="1676" t="s">
        <v>8</v>
      </c>
      <c r="D112" s="1676" t="s">
        <v>9</v>
      </c>
      <c r="E112" s="1656" t="s">
        <v>812</v>
      </c>
      <c r="F112" s="1656" t="s">
        <v>11</v>
      </c>
      <c r="G112" s="1676" t="s">
        <v>12</v>
      </c>
      <c r="H112" s="1656" t="s">
        <v>13</v>
      </c>
      <c r="I112" s="1656" t="s">
        <v>269</v>
      </c>
      <c r="J112" s="1656" t="s">
        <v>59</v>
      </c>
      <c r="K112" s="1665" t="s">
        <v>635</v>
      </c>
      <c r="L112" s="1668" t="s">
        <v>636</v>
      </c>
      <c r="M112" s="1650"/>
      <c r="N112" s="1650"/>
      <c r="O112" s="1669"/>
    </row>
    <row r="113" spans="1:15" ht="40.5" customHeight="1">
      <c r="A113" s="1671"/>
      <c r="B113" s="1674"/>
      <c r="C113" s="1677"/>
      <c r="D113" s="1677"/>
      <c r="E113" s="1657"/>
      <c r="F113" s="1657"/>
      <c r="G113" s="1677"/>
      <c r="H113" s="1657"/>
      <c r="I113" s="1698"/>
      <c r="J113" s="1657"/>
      <c r="K113" s="1666"/>
      <c r="L113" s="1679" t="s">
        <v>637</v>
      </c>
      <c r="M113" s="1654"/>
      <c r="N113" s="1654"/>
      <c r="O113" s="1680"/>
    </row>
    <row r="114" spans="1:15" ht="37.5" customHeight="1" thickBot="1">
      <c r="A114" s="1672"/>
      <c r="B114" s="1675"/>
      <c r="C114" s="1678"/>
      <c r="D114" s="1678"/>
      <c r="E114" s="1658"/>
      <c r="F114" s="1658"/>
      <c r="G114" s="1678"/>
      <c r="H114" s="1658"/>
      <c r="I114" s="1699"/>
      <c r="J114" s="1658"/>
      <c r="K114" s="1667"/>
      <c r="L114" s="263" t="s">
        <v>638</v>
      </c>
      <c r="M114" s="270" t="s">
        <v>639</v>
      </c>
      <c r="N114" s="270" t="s">
        <v>640</v>
      </c>
      <c r="O114" s="265" t="s">
        <v>16</v>
      </c>
    </row>
    <row r="115" spans="1:15" ht="30" thickBot="1">
      <c r="A115" s="554" t="s">
        <v>26</v>
      </c>
      <c r="B115" s="9" t="s">
        <v>109</v>
      </c>
      <c r="C115" s="9" t="s">
        <v>18</v>
      </c>
      <c r="D115" s="6" t="s">
        <v>54</v>
      </c>
      <c r="E115" s="4">
        <v>250</v>
      </c>
      <c r="F115" s="4" t="s">
        <v>20</v>
      </c>
      <c r="G115" s="9" t="s">
        <v>18</v>
      </c>
      <c r="H115" s="736" t="s">
        <v>110</v>
      </c>
      <c r="I115" s="22">
        <v>4099746</v>
      </c>
      <c r="J115" s="380" t="s">
        <v>21</v>
      </c>
      <c r="K115" s="86">
        <v>38</v>
      </c>
      <c r="L115" s="91">
        <f>(1664.3-785.48)*40</f>
        <v>35152.799999999996</v>
      </c>
      <c r="M115" s="49"/>
      <c r="N115" s="108"/>
      <c r="O115" s="91">
        <f>L115</f>
        <v>35152.799999999996</v>
      </c>
    </row>
    <row r="116" spans="1:15" ht="36" customHeight="1">
      <c r="B116" s="10" t="s">
        <v>22</v>
      </c>
      <c r="C116" s="11" t="s">
        <v>136</v>
      </c>
      <c r="D116" s="12"/>
      <c r="E116" s="54"/>
      <c r="F116" s="54"/>
      <c r="G116" s="1622" t="s">
        <v>1920</v>
      </c>
      <c r="H116" s="1075" t="s">
        <v>109</v>
      </c>
      <c r="I116" s="54"/>
      <c r="J116" s="54"/>
      <c r="K116" s="88"/>
      <c r="L116" s="69"/>
      <c r="M116" s="31"/>
      <c r="N116" s="278" t="s">
        <v>23</v>
      </c>
      <c r="O116" s="556">
        <f>O115</f>
        <v>35152.799999999996</v>
      </c>
    </row>
    <row r="117" spans="1:15" ht="15">
      <c r="B117" s="13"/>
      <c r="C117" s="14" t="s">
        <v>152</v>
      </c>
      <c r="D117" s="15"/>
      <c r="E117" s="82"/>
      <c r="F117" s="54"/>
      <c r="G117" s="1076"/>
      <c r="H117" s="1078" t="s">
        <v>1757</v>
      </c>
      <c r="I117" s="54"/>
      <c r="J117" s="54"/>
      <c r="K117" s="88"/>
      <c r="L117" s="70"/>
      <c r="M117" s="31"/>
      <c r="N117" s="59"/>
      <c r="O117" s="59"/>
    </row>
    <row r="118" spans="1:15" ht="15.75" thickBot="1">
      <c r="B118" s="13"/>
      <c r="C118" s="43" t="s">
        <v>25</v>
      </c>
      <c r="D118" s="15"/>
      <c r="E118" s="54"/>
      <c r="F118" s="54"/>
      <c r="G118" s="1294"/>
      <c r="H118" s="1079" t="s">
        <v>25</v>
      </c>
      <c r="I118" s="54"/>
      <c r="J118" s="54"/>
      <c r="K118" s="88"/>
      <c r="L118" s="70"/>
      <c r="M118" s="31"/>
      <c r="N118" s="59"/>
      <c r="O118" s="59"/>
    </row>
    <row r="119" spans="1:15" ht="15">
      <c r="B119" s="553" t="s">
        <v>160</v>
      </c>
      <c r="C119" s="43" t="s">
        <v>1022</v>
      </c>
      <c r="D119" s="15"/>
      <c r="E119" s="54"/>
      <c r="F119" s="54"/>
      <c r="G119" s="577"/>
      <c r="H119" s="582"/>
      <c r="I119" s="54"/>
      <c r="J119" s="54"/>
      <c r="K119" s="88"/>
      <c r="L119" s="70"/>
      <c r="M119" s="31"/>
      <c r="N119" s="59"/>
      <c r="O119" s="59"/>
    </row>
    <row r="120" spans="1:15" ht="15.75" thickBot="1">
      <c r="A120" s="287"/>
      <c r="B120" s="433" t="s">
        <v>1061</v>
      </c>
      <c r="C120" s="113" t="s">
        <v>1081</v>
      </c>
      <c r="D120" s="18"/>
      <c r="E120" s="54"/>
      <c r="F120" s="54"/>
      <c r="H120" s="73"/>
      <c r="I120" s="54"/>
      <c r="J120" s="54"/>
      <c r="K120" s="88"/>
      <c r="L120" s="70"/>
      <c r="M120" s="31"/>
      <c r="N120" s="59"/>
      <c r="O120" s="59"/>
    </row>
    <row r="121" spans="1:15">
      <c r="B121" s="54"/>
      <c r="C121" s="100"/>
      <c r="D121" s="53"/>
      <c r="E121" s="54"/>
      <c r="F121" s="54"/>
      <c r="G121" s="54"/>
      <c r="H121" s="54"/>
      <c r="I121" s="54"/>
      <c r="J121" s="54"/>
      <c r="K121" s="88"/>
      <c r="L121" s="70"/>
      <c r="M121" s="31"/>
      <c r="N121" s="59"/>
      <c r="O121" s="59"/>
    </row>
    <row r="122" spans="1:15" ht="15.75" thickBot="1">
      <c r="A122" s="273"/>
      <c r="B122" s="19"/>
      <c r="C122" s="73"/>
      <c r="D122" s="19"/>
      <c r="E122" s="19"/>
      <c r="F122" s="53"/>
      <c r="G122" s="53"/>
      <c r="H122" s="53"/>
      <c r="I122" s="53"/>
      <c r="J122" s="53"/>
      <c r="K122" s="53"/>
      <c r="L122" s="83"/>
      <c r="M122" s="31"/>
      <c r="N122" s="59"/>
      <c r="O122" s="59"/>
    </row>
    <row r="123" spans="1:15" s="25" customFormat="1" ht="39" customHeight="1">
      <c r="A123" s="1670" t="s">
        <v>6</v>
      </c>
      <c r="B123" s="1673" t="s">
        <v>633</v>
      </c>
      <c r="C123" s="1676" t="s">
        <v>8</v>
      </c>
      <c r="D123" s="1676" t="s">
        <v>9</v>
      </c>
      <c r="E123" s="1656" t="s">
        <v>812</v>
      </c>
      <c r="F123" s="1656" t="s">
        <v>11</v>
      </c>
      <c r="G123" s="1676" t="s">
        <v>12</v>
      </c>
      <c r="H123" s="1656" t="s">
        <v>13</v>
      </c>
      <c r="I123" s="1656" t="s">
        <v>269</v>
      </c>
      <c r="J123" s="1656" t="s">
        <v>59</v>
      </c>
      <c r="K123" s="1665" t="s">
        <v>635</v>
      </c>
      <c r="L123" s="1668" t="s">
        <v>636</v>
      </c>
      <c r="M123" s="1650"/>
      <c r="N123" s="1650"/>
      <c r="O123" s="1669"/>
    </row>
    <row r="124" spans="1:15" ht="32.25" customHeight="1">
      <c r="A124" s="1671"/>
      <c r="B124" s="1674"/>
      <c r="C124" s="1677"/>
      <c r="D124" s="1677"/>
      <c r="E124" s="1657"/>
      <c r="F124" s="1657"/>
      <c r="G124" s="1677"/>
      <c r="H124" s="1657"/>
      <c r="I124" s="1698"/>
      <c r="J124" s="1657"/>
      <c r="K124" s="1666"/>
      <c r="L124" s="1679" t="s">
        <v>637</v>
      </c>
      <c r="M124" s="1654"/>
      <c r="N124" s="1654"/>
      <c r="O124" s="1680"/>
    </row>
    <row r="125" spans="1:15" ht="36.75" customHeight="1" thickBot="1">
      <c r="A125" s="1672"/>
      <c r="B125" s="1675"/>
      <c r="C125" s="1678"/>
      <c r="D125" s="1678"/>
      <c r="E125" s="1658"/>
      <c r="F125" s="1658"/>
      <c r="G125" s="1678"/>
      <c r="H125" s="1658"/>
      <c r="I125" s="1699"/>
      <c r="J125" s="1658"/>
      <c r="K125" s="1667"/>
      <c r="L125" s="263" t="s">
        <v>638</v>
      </c>
      <c r="M125" s="270" t="s">
        <v>639</v>
      </c>
      <c r="N125" s="270" t="s">
        <v>640</v>
      </c>
      <c r="O125" s="265" t="s">
        <v>16</v>
      </c>
    </row>
    <row r="126" spans="1:15" ht="33" customHeight="1" thickBot="1">
      <c r="A126" s="554" t="s">
        <v>26</v>
      </c>
      <c r="B126" s="9"/>
      <c r="C126" s="9" t="s">
        <v>18</v>
      </c>
      <c r="D126" s="6" t="s">
        <v>1218</v>
      </c>
      <c r="E126" s="4">
        <v>9</v>
      </c>
      <c r="F126" s="4" t="s">
        <v>20</v>
      </c>
      <c r="G126" s="9" t="s">
        <v>18</v>
      </c>
      <c r="H126" s="736" t="s">
        <v>114</v>
      </c>
      <c r="I126" s="20">
        <v>4099698</v>
      </c>
      <c r="J126" s="380" t="s">
        <v>21</v>
      </c>
      <c r="K126" s="86">
        <v>80</v>
      </c>
      <c r="L126" s="91">
        <f>(4871.56-2208.91)*60</f>
        <v>159759.00000000003</v>
      </c>
      <c r="M126" s="33"/>
      <c r="N126" s="94"/>
      <c r="O126" s="34">
        <f>L126</f>
        <v>159759.00000000003</v>
      </c>
    </row>
    <row r="127" spans="1:15" ht="32.25" customHeight="1">
      <c r="B127" s="10" t="s">
        <v>22</v>
      </c>
      <c r="C127" s="11" t="s">
        <v>136</v>
      </c>
      <c r="D127" s="12"/>
      <c r="E127" s="54"/>
      <c r="F127" s="54"/>
      <c r="G127" s="1622" t="s">
        <v>1920</v>
      </c>
      <c r="H127" s="80" t="s">
        <v>1886</v>
      </c>
      <c r="I127" s="26"/>
      <c r="J127" s="54"/>
      <c r="K127" s="88"/>
      <c r="L127" s="69"/>
      <c r="M127" s="31"/>
      <c r="N127" s="278" t="s">
        <v>23</v>
      </c>
      <c r="O127" s="556">
        <f>O126</f>
        <v>159759.00000000003</v>
      </c>
    </row>
    <row r="128" spans="1:15" ht="15">
      <c r="B128" s="13"/>
      <c r="C128" s="14" t="s">
        <v>152</v>
      </c>
      <c r="D128" s="15"/>
      <c r="E128" s="54"/>
      <c r="F128" s="54"/>
      <c r="G128" s="1076"/>
      <c r="H128" s="73" t="s">
        <v>817</v>
      </c>
      <c r="I128" s="27"/>
      <c r="J128" s="54"/>
      <c r="K128" s="88"/>
      <c r="L128" s="70"/>
      <c r="M128" s="31"/>
      <c r="N128" s="59"/>
      <c r="O128" s="59"/>
    </row>
    <row r="129" spans="1:16" ht="15">
      <c r="A129" s="287"/>
      <c r="B129" s="13"/>
      <c r="C129" s="43" t="s">
        <v>25</v>
      </c>
      <c r="D129" s="15"/>
      <c r="E129" s="54"/>
      <c r="F129" s="54"/>
      <c r="G129" s="1076"/>
      <c r="H129" s="73" t="s">
        <v>25</v>
      </c>
      <c r="I129" s="27"/>
      <c r="J129" s="54"/>
      <c r="K129" s="88"/>
      <c r="L129" s="70"/>
      <c r="M129" s="31"/>
      <c r="N129" s="59"/>
      <c r="O129" s="59"/>
    </row>
    <row r="130" spans="1:16" ht="15.75" thickBot="1">
      <c r="B130" s="553" t="s">
        <v>160</v>
      </c>
      <c r="C130" s="43" t="s">
        <v>1022</v>
      </c>
      <c r="D130" s="15"/>
      <c r="E130" s="54"/>
      <c r="F130" s="54"/>
      <c r="G130" s="433" t="s">
        <v>160</v>
      </c>
      <c r="H130" s="442">
        <v>8222343360</v>
      </c>
      <c r="I130" s="28"/>
      <c r="J130" s="54"/>
      <c r="K130" s="88"/>
      <c r="L130" s="70"/>
      <c r="M130" s="31"/>
      <c r="N130" s="59"/>
      <c r="O130" s="59"/>
    </row>
    <row r="131" spans="1:16" ht="15.75" thickBot="1">
      <c r="B131" s="433" t="s">
        <v>1061</v>
      </c>
      <c r="C131" s="113" t="s">
        <v>1081</v>
      </c>
      <c r="D131" s="18"/>
      <c r="E131" s="54"/>
      <c r="F131" s="54"/>
      <c r="H131" s="54"/>
      <c r="I131" s="54"/>
      <c r="J131" s="54"/>
      <c r="K131" s="88"/>
      <c r="L131" s="70"/>
      <c r="M131" s="31"/>
      <c r="N131" s="59"/>
      <c r="O131" s="59"/>
    </row>
    <row r="132" spans="1:16" ht="15">
      <c r="B132" s="14"/>
      <c r="C132" s="73"/>
      <c r="D132" s="14"/>
      <c r="E132" s="54"/>
      <c r="F132" s="54"/>
      <c r="G132" s="53"/>
      <c r="H132" s="53"/>
      <c r="I132" s="54"/>
      <c r="J132" s="54"/>
      <c r="K132" s="88"/>
      <c r="L132" s="70"/>
      <c r="M132" s="31"/>
      <c r="N132" s="59"/>
      <c r="O132" s="59"/>
    </row>
    <row r="133" spans="1:16" ht="15.75" thickBot="1">
      <c r="A133" s="273"/>
      <c r="B133" s="19"/>
      <c r="C133" s="73"/>
      <c r="D133" s="19"/>
      <c r="E133" s="102"/>
      <c r="F133" s="53"/>
      <c r="G133" s="53"/>
      <c r="H133" s="53"/>
      <c r="I133" s="53"/>
      <c r="J133" s="53"/>
      <c r="K133" s="53"/>
      <c r="L133" s="83"/>
      <c r="M133" s="31"/>
      <c r="N133" s="59"/>
      <c r="O133" s="59"/>
    </row>
    <row r="134" spans="1:16" s="25" customFormat="1" ht="47.25" customHeight="1">
      <c r="A134" s="1670" t="s">
        <v>6</v>
      </c>
      <c r="B134" s="1673" t="s">
        <v>633</v>
      </c>
      <c r="C134" s="1676" t="s">
        <v>8</v>
      </c>
      <c r="D134" s="1676" t="s">
        <v>9</v>
      </c>
      <c r="E134" s="1656" t="s">
        <v>812</v>
      </c>
      <c r="F134" s="1656" t="s">
        <v>11</v>
      </c>
      <c r="G134" s="1676" t="s">
        <v>12</v>
      </c>
      <c r="H134" s="1656" t="s">
        <v>13</v>
      </c>
      <c r="I134" s="1656" t="s">
        <v>269</v>
      </c>
      <c r="J134" s="1656" t="s">
        <v>59</v>
      </c>
      <c r="K134" s="1665" t="s">
        <v>635</v>
      </c>
      <c r="L134" s="1668" t="s">
        <v>636</v>
      </c>
      <c r="M134" s="1650"/>
      <c r="N134" s="1650"/>
      <c r="O134" s="1669"/>
    </row>
    <row r="135" spans="1:16" ht="48.75" customHeight="1">
      <c r="A135" s="1671"/>
      <c r="B135" s="1674"/>
      <c r="C135" s="1677"/>
      <c r="D135" s="1677"/>
      <c r="E135" s="1657"/>
      <c r="F135" s="1657"/>
      <c r="G135" s="1677"/>
      <c r="H135" s="1657"/>
      <c r="I135" s="1698"/>
      <c r="J135" s="1657"/>
      <c r="K135" s="1666"/>
      <c r="L135" s="1679" t="s">
        <v>637</v>
      </c>
      <c r="M135" s="1654"/>
      <c r="N135" s="1654"/>
      <c r="O135" s="1680"/>
    </row>
    <row r="136" spans="1:16" ht="34.5" customHeight="1" thickBot="1">
      <c r="A136" s="1672"/>
      <c r="B136" s="1675"/>
      <c r="C136" s="1678"/>
      <c r="D136" s="1678"/>
      <c r="E136" s="1658"/>
      <c r="F136" s="1658"/>
      <c r="G136" s="1678"/>
      <c r="H136" s="1658"/>
      <c r="I136" s="1699"/>
      <c r="J136" s="1658"/>
      <c r="K136" s="1667"/>
      <c r="L136" s="263" t="s">
        <v>638</v>
      </c>
      <c r="M136" s="270" t="s">
        <v>639</v>
      </c>
      <c r="N136" s="270" t="s">
        <v>640</v>
      </c>
      <c r="O136" s="265" t="s">
        <v>16</v>
      </c>
    </row>
    <row r="137" spans="1:16" s="25" customFormat="1" ht="18">
      <c r="A137" s="558" t="s">
        <v>26</v>
      </c>
      <c r="B137" s="21" t="s">
        <v>336</v>
      </c>
      <c r="C137" s="21" t="s">
        <v>18</v>
      </c>
      <c r="D137" s="21" t="s">
        <v>115</v>
      </c>
      <c r="E137" s="21">
        <v>10</v>
      </c>
      <c r="F137" s="21" t="s">
        <v>20</v>
      </c>
      <c r="G137" s="21" t="s">
        <v>18</v>
      </c>
      <c r="H137" s="736" t="s">
        <v>118</v>
      </c>
      <c r="I137" s="21">
        <v>50436075</v>
      </c>
      <c r="J137" s="565" t="s">
        <v>21</v>
      </c>
      <c r="K137" s="566">
        <v>65</v>
      </c>
      <c r="L137" s="277">
        <f>(12035.7-8037.3)*30</f>
        <v>119952.00000000001</v>
      </c>
      <c r="M137" s="37"/>
      <c r="N137" s="94"/>
      <c r="O137" s="34">
        <f>L137</f>
        <v>119952.00000000001</v>
      </c>
    </row>
    <row r="138" spans="1:16" s="25" customFormat="1" ht="18">
      <c r="A138" s="554" t="s">
        <v>26</v>
      </c>
      <c r="B138" s="23" t="s">
        <v>336</v>
      </c>
      <c r="C138" s="23" t="s">
        <v>18</v>
      </c>
      <c r="D138" s="23" t="s">
        <v>115</v>
      </c>
      <c r="E138" s="23">
        <v>10</v>
      </c>
      <c r="F138" s="23" t="s">
        <v>20</v>
      </c>
      <c r="G138" s="23" t="s">
        <v>18</v>
      </c>
      <c r="H138" s="726" t="s">
        <v>116</v>
      </c>
      <c r="I138" s="23">
        <v>1494931</v>
      </c>
      <c r="J138" s="384" t="s">
        <v>28</v>
      </c>
      <c r="K138" s="101">
        <v>3</v>
      </c>
      <c r="L138" s="107">
        <v>10</v>
      </c>
      <c r="M138" s="279"/>
      <c r="N138" s="108"/>
      <c r="O138" s="284">
        <f>L138</f>
        <v>10</v>
      </c>
      <c r="P138" s="1"/>
    </row>
    <row r="139" spans="1:16" s="25" customFormat="1" ht="18.75" thickBot="1">
      <c r="A139" s="554" t="s">
        <v>26</v>
      </c>
      <c r="B139" s="3" t="s">
        <v>504</v>
      </c>
      <c r="C139" s="3" t="s">
        <v>18</v>
      </c>
      <c r="D139" s="3" t="s">
        <v>162</v>
      </c>
      <c r="E139" s="4">
        <v>3</v>
      </c>
      <c r="F139" s="4" t="s">
        <v>20</v>
      </c>
      <c r="G139" s="9" t="s">
        <v>18</v>
      </c>
      <c r="H139" s="736" t="s">
        <v>95</v>
      </c>
      <c r="I139" s="20">
        <v>2349</v>
      </c>
      <c r="J139" s="380" t="s">
        <v>21</v>
      </c>
      <c r="K139" s="86">
        <v>26</v>
      </c>
      <c r="L139" s="91">
        <f>(14069.24-13664.84)*40</f>
        <v>16175.999999999985</v>
      </c>
      <c r="M139" s="1073"/>
      <c r="N139" s="1074"/>
      <c r="O139" s="1072">
        <f>L139</f>
        <v>16175.999999999985</v>
      </c>
      <c r="P139" s="1"/>
    </row>
    <row r="140" spans="1:16" ht="33.75" customHeight="1">
      <c r="B140" s="13" t="s">
        <v>22</v>
      </c>
      <c r="C140" s="14" t="s">
        <v>136</v>
      </c>
      <c r="D140" s="15"/>
      <c r="E140" s="53"/>
      <c r="F140" s="53"/>
      <c r="G140" s="1622" t="s">
        <v>1920</v>
      </c>
      <c r="H140" s="80" t="s">
        <v>1646</v>
      </c>
      <c r="I140" s="229"/>
      <c r="J140" s="53"/>
      <c r="K140" s="53"/>
      <c r="L140" s="92"/>
      <c r="M140" s="83"/>
      <c r="N140" s="268" t="s">
        <v>23</v>
      </c>
      <c r="O140" s="567">
        <f>SUM(O137:O139)</f>
        <v>136138</v>
      </c>
    </row>
    <row r="141" spans="1:16" ht="15">
      <c r="B141" s="13"/>
      <c r="C141" s="14" t="s">
        <v>152</v>
      </c>
      <c r="D141" s="15"/>
      <c r="E141" s="82"/>
      <c r="F141" s="53"/>
      <c r="G141" s="1076"/>
      <c r="H141" s="66" t="s">
        <v>42</v>
      </c>
      <c r="I141" s="230"/>
      <c r="J141" s="53"/>
      <c r="K141" s="53"/>
      <c r="L141" s="83"/>
      <c r="M141" s="83"/>
      <c r="N141" s="31"/>
      <c r="O141" s="31"/>
    </row>
    <row r="142" spans="1:16" ht="15">
      <c r="B142" s="13"/>
      <c r="C142" s="43" t="s">
        <v>25</v>
      </c>
      <c r="D142" s="15"/>
      <c r="E142" s="53"/>
      <c r="F142" s="53"/>
      <c r="G142" s="1076"/>
      <c r="H142" s="68" t="s">
        <v>117</v>
      </c>
      <c r="I142" s="230"/>
      <c r="J142" s="53"/>
      <c r="K142" s="53"/>
      <c r="L142" s="83"/>
      <c r="M142" s="83"/>
      <c r="N142" s="31"/>
      <c r="O142" s="31"/>
    </row>
    <row r="143" spans="1:16" ht="15.75" thickBot="1">
      <c r="B143" s="553" t="s">
        <v>160</v>
      </c>
      <c r="C143" s="43" t="s">
        <v>1022</v>
      </c>
      <c r="D143" s="15"/>
      <c r="E143" s="53"/>
      <c r="F143" s="53"/>
      <c r="G143" s="188"/>
      <c r="H143" s="97" t="s">
        <v>25</v>
      </c>
      <c r="I143" s="231"/>
      <c r="J143" s="53"/>
      <c r="K143" s="53"/>
      <c r="L143" s="83"/>
      <c r="M143" s="83"/>
      <c r="N143" s="31"/>
      <c r="O143" s="31"/>
    </row>
    <row r="144" spans="1:16" ht="15.75" thickBot="1">
      <c r="B144" s="433" t="s">
        <v>1061</v>
      </c>
      <c r="C144" s="113" t="s">
        <v>1081</v>
      </c>
      <c r="D144" s="18"/>
      <c r="G144" s="577"/>
      <c r="L144" s="31"/>
      <c r="M144" s="31"/>
      <c r="N144" s="31"/>
      <c r="O144" s="31"/>
    </row>
    <row r="145" spans="1:15" ht="15">
      <c r="A145" s="287"/>
      <c r="B145" s="577"/>
      <c r="C145" s="54"/>
      <c r="D145" s="19"/>
      <c r="H145" s="73"/>
      <c r="L145" s="31"/>
      <c r="M145" s="31"/>
      <c r="N145" s="31"/>
      <c r="O145" s="31"/>
    </row>
    <row r="146" spans="1:15" ht="15.75" thickBot="1">
      <c r="A146" s="273"/>
      <c r="B146" s="14"/>
      <c r="C146" s="73"/>
      <c r="D146" s="14"/>
      <c r="L146" s="31"/>
      <c r="M146" s="31"/>
      <c r="N146" s="31"/>
      <c r="O146" s="31"/>
    </row>
    <row r="147" spans="1:15" s="25" customFormat="1" ht="48" customHeight="1">
      <c r="A147" s="1670" t="s">
        <v>6</v>
      </c>
      <c r="B147" s="1673" t="s">
        <v>633</v>
      </c>
      <c r="C147" s="1676" t="s">
        <v>8</v>
      </c>
      <c r="D147" s="1676" t="s">
        <v>9</v>
      </c>
      <c r="E147" s="1656" t="s">
        <v>812</v>
      </c>
      <c r="F147" s="1656" t="s">
        <v>11</v>
      </c>
      <c r="G147" s="1676" t="s">
        <v>12</v>
      </c>
      <c r="H147" s="1656" t="s">
        <v>13</v>
      </c>
      <c r="I147" s="1656" t="s">
        <v>269</v>
      </c>
      <c r="J147" s="1656" t="s">
        <v>59</v>
      </c>
      <c r="K147" s="1665" t="s">
        <v>635</v>
      </c>
      <c r="L147" s="1668" t="s">
        <v>636</v>
      </c>
      <c r="M147" s="1650"/>
      <c r="N147" s="1650"/>
      <c r="O147" s="1669"/>
    </row>
    <row r="148" spans="1:15" ht="48.75" customHeight="1">
      <c r="A148" s="1671"/>
      <c r="B148" s="1674"/>
      <c r="C148" s="1677"/>
      <c r="D148" s="1677"/>
      <c r="E148" s="1657"/>
      <c r="F148" s="1657"/>
      <c r="G148" s="1677"/>
      <c r="H148" s="1657"/>
      <c r="I148" s="1698"/>
      <c r="J148" s="1657"/>
      <c r="K148" s="1666"/>
      <c r="L148" s="1679" t="s">
        <v>637</v>
      </c>
      <c r="M148" s="1654"/>
      <c r="N148" s="1654"/>
      <c r="O148" s="1680"/>
    </row>
    <row r="149" spans="1:15" ht="33.75" customHeight="1" thickBot="1">
      <c r="A149" s="1672"/>
      <c r="B149" s="1716"/>
      <c r="C149" s="1717"/>
      <c r="D149" s="1717"/>
      <c r="E149" s="1658"/>
      <c r="F149" s="1658"/>
      <c r="G149" s="1678"/>
      <c r="H149" s="1658"/>
      <c r="I149" s="1699"/>
      <c r="J149" s="1658"/>
      <c r="K149" s="1667"/>
      <c r="L149" s="263" t="s">
        <v>638</v>
      </c>
      <c r="M149" s="270" t="s">
        <v>639</v>
      </c>
      <c r="N149" s="270" t="s">
        <v>640</v>
      </c>
      <c r="O149" s="265" t="s">
        <v>16</v>
      </c>
    </row>
    <row r="150" spans="1:15" s="25" customFormat="1" ht="29.25">
      <c r="A150" s="554" t="s">
        <v>26</v>
      </c>
      <c r="B150" s="23" t="s">
        <v>124</v>
      </c>
      <c r="C150" s="23" t="s">
        <v>18</v>
      </c>
      <c r="D150" s="22" t="s">
        <v>120</v>
      </c>
      <c r="E150" s="22">
        <v>11</v>
      </c>
      <c r="F150" s="22" t="s">
        <v>20</v>
      </c>
      <c r="G150" s="23" t="s">
        <v>18</v>
      </c>
      <c r="H150" s="726" t="s">
        <v>125</v>
      </c>
      <c r="I150" s="22">
        <v>4099758</v>
      </c>
      <c r="J150" s="378" t="s">
        <v>21</v>
      </c>
      <c r="K150" s="111">
        <v>45</v>
      </c>
      <c r="L150" s="34">
        <f>(4554.6-2125.85)*30</f>
        <v>72862.500000000015</v>
      </c>
      <c r="M150" s="33"/>
      <c r="N150" s="94"/>
      <c r="O150" s="34">
        <f>L150</f>
        <v>72862.500000000015</v>
      </c>
    </row>
    <row r="151" spans="1:15" s="25" customFormat="1" ht="18">
      <c r="A151" s="558" t="s">
        <v>26</v>
      </c>
      <c r="B151" s="6"/>
      <c r="C151" s="9" t="s">
        <v>18</v>
      </c>
      <c r="D151" s="6" t="s">
        <v>120</v>
      </c>
      <c r="E151" s="4">
        <v>11</v>
      </c>
      <c r="F151" s="22" t="s">
        <v>20</v>
      </c>
      <c r="G151" s="22" t="s">
        <v>18</v>
      </c>
      <c r="H151" s="695" t="s">
        <v>121</v>
      </c>
      <c r="I151" s="103">
        <v>1500688</v>
      </c>
      <c r="J151" s="738" t="s">
        <v>65</v>
      </c>
      <c r="K151" s="559">
        <v>2</v>
      </c>
      <c r="L151" s="560"/>
      <c r="M151" s="561">
        <f>531-398</f>
        <v>133</v>
      </c>
      <c r="N151" s="434">
        <f>984-704</f>
        <v>280</v>
      </c>
      <c r="O151" s="268">
        <f>SUM(M151:N151)</f>
        <v>413</v>
      </c>
    </row>
    <row r="152" spans="1:15" s="25" customFormat="1" ht="18.75" thickBot="1">
      <c r="A152" s="554" t="s">
        <v>26</v>
      </c>
      <c r="B152" s="4"/>
      <c r="C152" s="3" t="s">
        <v>18</v>
      </c>
      <c r="D152" s="4" t="s">
        <v>120</v>
      </c>
      <c r="E152" s="22">
        <v>11</v>
      </c>
      <c r="F152" s="22" t="s">
        <v>303</v>
      </c>
      <c r="G152" s="20" t="s">
        <v>18</v>
      </c>
      <c r="H152" s="771" t="s">
        <v>1063</v>
      </c>
      <c r="I152" s="22">
        <v>4146244</v>
      </c>
      <c r="J152" s="377" t="s">
        <v>21</v>
      </c>
      <c r="K152" s="90">
        <v>16</v>
      </c>
      <c r="L152" s="32">
        <f>(193.72-29.13)*15</f>
        <v>2468.85</v>
      </c>
      <c r="M152" s="33"/>
      <c r="N152" s="269"/>
      <c r="O152" s="268">
        <f>L152</f>
        <v>2468.85</v>
      </c>
    </row>
    <row r="153" spans="1:15" ht="32.25" customHeight="1">
      <c r="B153" s="10" t="s">
        <v>22</v>
      </c>
      <c r="C153" s="11" t="s">
        <v>136</v>
      </c>
      <c r="D153" s="12"/>
      <c r="E153" s="54"/>
      <c r="F153" s="54"/>
      <c r="G153" s="1622" t="s">
        <v>1920</v>
      </c>
      <c r="H153" s="1075" t="s">
        <v>119</v>
      </c>
      <c r="I153" s="54"/>
      <c r="J153" s="54"/>
      <c r="K153" s="557"/>
      <c r="L153" s="69"/>
      <c r="M153" s="31"/>
      <c r="N153" s="34" t="s">
        <v>23</v>
      </c>
      <c r="O153" s="556">
        <f>SUM(O150:O152)</f>
        <v>75744.35000000002</v>
      </c>
    </row>
    <row r="154" spans="1:15" ht="15">
      <c r="B154" s="13"/>
      <c r="C154" s="14" t="s">
        <v>152</v>
      </c>
      <c r="D154" s="15"/>
      <c r="E154" s="82"/>
      <c r="F154" s="54"/>
      <c r="G154" s="1076"/>
      <c r="H154" s="1078" t="s">
        <v>122</v>
      </c>
      <c r="I154" s="54"/>
      <c r="J154" s="54"/>
      <c r="K154" s="557"/>
      <c r="L154" s="70"/>
      <c r="M154" s="31"/>
      <c r="N154" s="59"/>
      <c r="O154" s="59"/>
    </row>
    <row r="155" spans="1:15" ht="15">
      <c r="A155" s="287"/>
      <c r="B155" s="13"/>
      <c r="C155" s="43" t="s">
        <v>25</v>
      </c>
      <c r="D155" s="15"/>
      <c r="E155" s="82"/>
      <c r="F155" s="54"/>
      <c r="G155" s="1076"/>
      <c r="H155" s="1078" t="s">
        <v>123</v>
      </c>
      <c r="I155" s="54"/>
      <c r="J155" s="54"/>
      <c r="K155" s="88"/>
      <c r="L155" s="70"/>
      <c r="M155" s="31"/>
      <c r="N155" s="59"/>
      <c r="O155" s="59"/>
    </row>
    <row r="156" spans="1:15" ht="15.75" thickBot="1">
      <c r="A156" s="287"/>
      <c r="B156" s="553" t="s">
        <v>160</v>
      </c>
      <c r="C156" s="43" t="s">
        <v>1022</v>
      </c>
      <c r="D156" s="15"/>
      <c r="E156" s="82"/>
      <c r="F156" s="54"/>
      <c r="G156" s="188"/>
      <c r="H156" s="1079" t="s">
        <v>25</v>
      </c>
      <c r="I156" s="54"/>
      <c r="J156" s="54"/>
      <c r="K156" s="88"/>
      <c r="L156" s="70"/>
      <c r="M156" s="31"/>
      <c r="N156" s="59"/>
      <c r="O156" s="59"/>
    </row>
    <row r="157" spans="1:15" ht="15.75" thickBot="1">
      <c r="B157" s="433" t="s">
        <v>1061</v>
      </c>
      <c r="C157" s="113" t="s">
        <v>1081</v>
      </c>
      <c r="D157" s="18"/>
      <c r="E157" s="54"/>
      <c r="F157" s="54"/>
      <c r="G157" s="577"/>
      <c r="H157" s="73"/>
      <c r="I157" s="54"/>
      <c r="J157" s="54"/>
      <c r="K157" s="88"/>
      <c r="L157" s="70"/>
      <c r="M157" s="31"/>
      <c r="N157" s="59"/>
      <c r="O157" s="59"/>
    </row>
    <row r="158" spans="1:15" ht="15">
      <c r="B158" s="594"/>
      <c r="C158" s="54"/>
      <c r="D158" s="14"/>
      <c r="E158" s="54"/>
      <c r="F158" s="54"/>
      <c r="G158" s="53"/>
      <c r="H158" s="54"/>
      <c r="I158" s="54"/>
      <c r="J158" s="54"/>
      <c r="K158" s="88"/>
      <c r="L158" s="70"/>
      <c r="M158" s="31"/>
      <c r="N158" s="59"/>
      <c r="O158" s="59"/>
    </row>
    <row r="159" spans="1:15" ht="15.75" thickBot="1">
      <c r="A159" s="273"/>
      <c r="B159" s="14"/>
      <c r="C159" s="73"/>
      <c r="D159" s="14"/>
      <c r="L159" s="31"/>
      <c r="M159" s="31"/>
      <c r="N159" s="59"/>
      <c r="O159" s="59"/>
    </row>
    <row r="160" spans="1:15" s="25" customFormat="1" ht="48" customHeight="1">
      <c r="A160" s="1670" t="s">
        <v>6</v>
      </c>
      <c r="B160" s="1673" t="s">
        <v>633</v>
      </c>
      <c r="C160" s="1676" t="s">
        <v>8</v>
      </c>
      <c r="D160" s="1676" t="s">
        <v>9</v>
      </c>
      <c r="E160" s="1656" t="s">
        <v>812</v>
      </c>
      <c r="F160" s="1656" t="s">
        <v>11</v>
      </c>
      <c r="G160" s="1676" t="s">
        <v>12</v>
      </c>
      <c r="H160" s="1656" t="s">
        <v>13</v>
      </c>
      <c r="I160" s="1656" t="s">
        <v>269</v>
      </c>
      <c r="J160" s="1656" t="s">
        <v>59</v>
      </c>
      <c r="K160" s="1665" t="s">
        <v>635</v>
      </c>
      <c r="L160" s="1668" t="s">
        <v>636</v>
      </c>
      <c r="M160" s="1650"/>
      <c r="N160" s="1650"/>
      <c r="O160" s="1669"/>
    </row>
    <row r="161" spans="1:15" ht="48.75" customHeight="1">
      <c r="A161" s="1671"/>
      <c r="B161" s="1674"/>
      <c r="C161" s="1677"/>
      <c r="D161" s="1677"/>
      <c r="E161" s="1657"/>
      <c r="F161" s="1657"/>
      <c r="G161" s="1677"/>
      <c r="H161" s="1657"/>
      <c r="I161" s="1698"/>
      <c r="J161" s="1657"/>
      <c r="K161" s="1666"/>
      <c r="L161" s="1679" t="s">
        <v>637</v>
      </c>
      <c r="M161" s="1654"/>
      <c r="N161" s="1654"/>
      <c r="O161" s="1680"/>
    </row>
    <row r="162" spans="1:15" ht="33.75" customHeight="1" thickBot="1">
      <c r="A162" s="1672"/>
      <c r="B162" s="1675"/>
      <c r="C162" s="1678"/>
      <c r="D162" s="1678"/>
      <c r="E162" s="1658"/>
      <c r="F162" s="1658"/>
      <c r="G162" s="1678"/>
      <c r="H162" s="1658"/>
      <c r="I162" s="1699"/>
      <c r="J162" s="1658"/>
      <c r="K162" s="1667"/>
      <c r="L162" s="263" t="s">
        <v>638</v>
      </c>
      <c r="M162" s="270" t="s">
        <v>639</v>
      </c>
      <c r="N162" s="270" t="s">
        <v>640</v>
      </c>
      <c r="O162" s="265" t="s">
        <v>16</v>
      </c>
    </row>
    <row r="163" spans="1:15" ht="29.25">
      <c r="A163" s="554" t="s">
        <v>26</v>
      </c>
      <c r="B163" s="21" t="s">
        <v>126</v>
      </c>
      <c r="C163" s="21" t="s">
        <v>18</v>
      </c>
      <c r="D163" s="21" t="s">
        <v>132</v>
      </c>
      <c r="E163" s="23">
        <v>1</v>
      </c>
      <c r="F163" s="23" t="s">
        <v>20</v>
      </c>
      <c r="G163" s="23" t="s">
        <v>18</v>
      </c>
      <c r="H163" s="726" t="s">
        <v>127</v>
      </c>
      <c r="I163" s="23">
        <v>2237</v>
      </c>
      <c r="J163" s="387" t="s">
        <v>21</v>
      </c>
      <c r="K163" s="106">
        <v>80</v>
      </c>
      <c r="L163" s="107">
        <f>(20099.96-16984.97)*30</f>
        <v>93449.699999999939</v>
      </c>
      <c r="M163" s="49"/>
      <c r="N163" s="108"/>
      <c r="O163" s="48">
        <f>L163</f>
        <v>93449.699999999939</v>
      </c>
    </row>
    <row r="164" spans="1:15" ht="30" thickBot="1">
      <c r="A164" s="554" t="s">
        <v>26</v>
      </c>
      <c r="B164" s="21" t="s">
        <v>126</v>
      </c>
      <c r="C164" s="21" t="s">
        <v>18</v>
      </c>
      <c r="D164" s="21" t="s">
        <v>132</v>
      </c>
      <c r="E164" s="23">
        <v>1</v>
      </c>
      <c r="F164" s="23" t="s">
        <v>20</v>
      </c>
      <c r="G164" s="21" t="s">
        <v>18</v>
      </c>
      <c r="H164" s="736" t="s">
        <v>821</v>
      </c>
      <c r="I164" s="21">
        <v>908352</v>
      </c>
      <c r="J164" s="387" t="s">
        <v>21</v>
      </c>
      <c r="K164" s="106">
        <v>40</v>
      </c>
      <c r="L164" s="107">
        <f>(3011.54-2156.62)*15</f>
        <v>12823.800000000001</v>
      </c>
      <c r="M164" s="49"/>
      <c r="N164" s="108"/>
      <c r="O164" s="48">
        <f>L164</f>
        <v>12823.800000000001</v>
      </c>
    </row>
    <row r="165" spans="1:15" ht="35.25" customHeight="1">
      <c r="B165" s="10" t="s">
        <v>22</v>
      </c>
      <c r="C165" s="11" t="s">
        <v>136</v>
      </c>
      <c r="D165" s="12"/>
      <c r="E165" s="53"/>
      <c r="F165" s="53"/>
      <c r="G165" s="1622" t="s">
        <v>1920</v>
      </c>
      <c r="H165" s="80" t="s">
        <v>126</v>
      </c>
      <c r="I165" s="229"/>
      <c r="J165" s="53"/>
      <c r="K165" s="96"/>
      <c r="L165" s="92"/>
      <c r="M165" s="31"/>
      <c r="N165" s="434" t="s">
        <v>23</v>
      </c>
      <c r="O165" s="555">
        <f>SUM(O163:O164)</f>
        <v>106273.49999999994</v>
      </c>
    </row>
    <row r="166" spans="1:15" ht="15">
      <c r="B166" s="13"/>
      <c r="C166" s="14" t="s">
        <v>152</v>
      </c>
      <c r="D166" s="15"/>
      <c r="E166" s="82"/>
      <c r="F166" s="53"/>
      <c r="G166" s="1076"/>
      <c r="H166" s="73" t="s">
        <v>128</v>
      </c>
      <c r="I166" s="230"/>
      <c r="J166" s="53"/>
      <c r="K166" s="96"/>
      <c r="L166" s="83"/>
      <c r="M166" s="31"/>
      <c r="N166" s="59"/>
      <c r="O166" s="59"/>
    </row>
    <row r="167" spans="1:15" ht="15">
      <c r="B167" s="13"/>
      <c r="C167" s="43" t="s">
        <v>25</v>
      </c>
      <c r="D167" s="15"/>
      <c r="E167" s="53"/>
      <c r="F167" s="53"/>
      <c r="G167" s="1076"/>
      <c r="H167" s="73" t="s">
        <v>1758</v>
      </c>
      <c r="I167" s="230"/>
      <c r="J167" s="53"/>
      <c r="K167" s="96"/>
      <c r="L167" s="83"/>
      <c r="M167" s="31"/>
      <c r="N167" s="59"/>
      <c r="O167" s="59"/>
    </row>
    <row r="168" spans="1:15" ht="15.75" thickBot="1">
      <c r="A168" s="914"/>
      <c r="B168" s="553" t="s">
        <v>160</v>
      </c>
      <c r="C168" s="43" t="s">
        <v>1022</v>
      </c>
      <c r="D168" s="15"/>
      <c r="E168" s="53"/>
      <c r="F168" s="53"/>
      <c r="G168" s="188"/>
      <c r="H168" s="72" t="s">
        <v>25</v>
      </c>
      <c r="I168" s="231"/>
      <c r="J168" s="53"/>
      <c r="K168" s="96"/>
      <c r="L168" s="83"/>
      <c r="M168" s="31"/>
      <c r="N168" s="59"/>
      <c r="O168" s="59"/>
    </row>
    <row r="169" spans="1:15" ht="15.75" thickBot="1">
      <c r="A169" s="287"/>
      <c r="B169" s="433" t="s">
        <v>1061</v>
      </c>
      <c r="C169" s="113" t="s">
        <v>1081</v>
      </c>
      <c r="D169" s="18"/>
      <c r="E169" s="53"/>
      <c r="F169" s="53"/>
      <c r="G169" s="577"/>
      <c r="H169" s="73"/>
      <c r="I169" s="53"/>
      <c r="J169" s="53"/>
      <c r="K169" s="96"/>
      <c r="L169" s="83"/>
      <c r="M169" s="31"/>
      <c r="N169" s="59"/>
      <c r="O169" s="59"/>
    </row>
    <row r="170" spans="1:15" ht="15">
      <c r="B170" s="594"/>
      <c r="C170" s="54"/>
      <c r="D170" s="19"/>
      <c r="E170" s="53"/>
      <c r="F170" s="53"/>
      <c r="G170" s="53"/>
      <c r="H170" s="54"/>
      <c r="I170" s="53"/>
      <c r="J170" s="53"/>
      <c r="K170" s="96"/>
      <c r="L170" s="83"/>
      <c r="M170" s="31"/>
      <c r="N170" s="59"/>
      <c r="O170" s="59"/>
    </row>
    <row r="171" spans="1:15" ht="15.75" thickBot="1">
      <c r="A171" s="273"/>
      <c r="B171" s="19"/>
      <c r="C171" s="73"/>
      <c r="D171" s="19"/>
      <c r="E171" s="53"/>
      <c r="F171" s="53"/>
      <c r="G171" s="53"/>
      <c r="H171" s="53"/>
      <c r="I171" s="53"/>
      <c r="J171" s="53"/>
      <c r="K171" s="96"/>
      <c r="L171" s="83"/>
      <c r="M171" s="31"/>
      <c r="N171" s="59"/>
      <c r="O171" s="59"/>
    </row>
    <row r="172" spans="1:15" s="25" customFormat="1" ht="48" customHeight="1">
      <c r="A172" s="1670" t="s">
        <v>6</v>
      </c>
      <c r="B172" s="1673" t="s">
        <v>633</v>
      </c>
      <c r="C172" s="1676" t="s">
        <v>8</v>
      </c>
      <c r="D172" s="1676" t="s">
        <v>9</v>
      </c>
      <c r="E172" s="1656" t="s">
        <v>812</v>
      </c>
      <c r="F172" s="1656" t="s">
        <v>11</v>
      </c>
      <c r="G172" s="1676" t="s">
        <v>12</v>
      </c>
      <c r="H172" s="1656" t="s">
        <v>13</v>
      </c>
      <c r="I172" s="1656" t="s">
        <v>269</v>
      </c>
      <c r="J172" s="1656" t="s">
        <v>59</v>
      </c>
      <c r="K172" s="1713" t="s">
        <v>635</v>
      </c>
      <c r="L172" s="1668" t="s">
        <v>636</v>
      </c>
      <c r="M172" s="1650"/>
      <c r="N172" s="1650"/>
      <c r="O172" s="1669"/>
    </row>
    <row r="173" spans="1:15" ht="48.75" customHeight="1">
      <c r="A173" s="1671"/>
      <c r="B173" s="1674"/>
      <c r="C173" s="1677"/>
      <c r="D173" s="1677"/>
      <c r="E173" s="1657"/>
      <c r="F173" s="1657"/>
      <c r="G173" s="1677"/>
      <c r="H173" s="1657"/>
      <c r="I173" s="1698"/>
      <c r="J173" s="1657"/>
      <c r="K173" s="1714"/>
      <c r="L173" s="1679" t="s">
        <v>637</v>
      </c>
      <c r="M173" s="1654"/>
      <c r="N173" s="1654"/>
      <c r="O173" s="1680"/>
    </row>
    <row r="174" spans="1:15" ht="33" customHeight="1" thickBot="1">
      <c r="A174" s="1672"/>
      <c r="B174" s="1675"/>
      <c r="C174" s="1678"/>
      <c r="D174" s="1678"/>
      <c r="E174" s="1658"/>
      <c r="F174" s="1658"/>
      <c r="G174" s="1678"/>
      <c r="H174" s="1658"/>
      <c r="I174" s="1699"/>
      <c r="J174" s="1658"/>
      <c r="K174" s="1715"/>
      <c r="L174" s="263" t="s">
        <v>638</v>
      </c>
      <c r="M174" s="270" t="s">
        <v>639</v>
      </c>
      <c r="N174" s="270" t="s">
        <v>640</v>
      </c>
      <c r="O174" s="265" t="s">
        <v>16</v>
      </c>
    </row>
    <row r="175" spans="1:15" s="57" customFormat="1" ht="29.25">
      <c r="A175" s="574" t="s">
        <v>26</v>
      </c>
      <c r="B175" s="105" t="s">
        <v>129</v>
      </c>
      <c r="C175" s="105" t="s">
        <v>18</v>
      </c>
      <c r="D175" s="104" t="s">
        <v>819</v>
      </c>
      <c r="E175" s="104">
        <v>16</v>
      </c>
      <c r="F175" s="104" t="s">
        <v>20</v>
      </c>
      <c r="G175" s="105" t="s">
        <v>18</v>
      </c>
      <c r="H175" s="734" t="s">
        <v>131</v>
      </c>
      <c r="I175" s="104">
        <v>90020693</v>
      </c>
      <c r="J175" s="572" t="s">
        <v>28</v>
      </c>
      <c r="K175" s="573">
        <v>9</v>
      </c>
      <c r="L175" s="65">
        <f>8379-7055</f>
        <v>1324</v>
      </c>
      <c r="M175" s="397"/>
      <c r="N175" s="94"/>
      <c r="O175" s="34">
        <f>L175</f>
        <v>1324</v>
      </c>
    </row>
    <row r="176" spans="1:15" s="57" customFormat="1" ht="29.25">
      <c r="A176" s="554" t="s">
        <v>26</v>
      </c>
      <c r="B176" s="23" t="s">
        <v>129</v>
      </c>
      <c r="C176" s="23" t="s">
        <v>18</v>
      </c>
      <c r="D176" s="23" t="s">
        <v>820</v>
      </c>
      <c r="E176" s="22">
        <v>4</v>
      </c>
      <c r="F176" s="22" t="s">
        <v>20</v>
      </c>
      <c r="G176" s="23" t="s">
        <v>18</v>
      </c>
      <c r="H176" s="726" t="s">
        <v>133</v>
      </c>
      <c r="I176" s="22">
        <v>70960963</v>
      </c>
      <c r="J176" s="385" t="s">
        <v>28</v>
      </c>
      <c r="K176" s="64">
        <v>23</v>
      </c>
      <c r="L176" s="65">
        <f>52608-44168</f>
        <v>8440</v>
      </c>
      <c r="M176" s="397"/>
      <c r="N176" s="94"/>
      <c r="O176" s="34">
        <f>L176</f>
        <v>8440</v>
      </c>
    </row>
    <row r="177" spans="1:15" ht="30" thickBot="1">
      <c r="A177" s="575" t="s">
        <v>26</v>
      </c>
      <c r="B177" s="21" t="s">
        <v>129</v>
      </c>
      <c r="C177" s="21" t="s">
        <v>18</v>
      </c>
      <c r="D177" s="20" t="s">
        <v>130</v>
      </c>
      <c r="E177" s="104">
        <v>16</v>
      </c>
      <c r="F177" s="104" t="s">
        <v>20</v>
      </c>
      <c r="G177" s="103" t="s">
        <v>18</v>
      </c>
      <c r="H177" s="1089" t="s">
        <v>1067</v>
      </c>
      <c r="I177" s="104">
        <v>318103</v>
      </c>
      <c r="J177" s="483" t="s">
        <v>65</v>
      </c>
      <c r="K177" s="735">
        <v>17</v>
      </c>
      <c r="L177" s="269"/>
      <c r="M177" s="268">
        <f>8090-6573</f>
        <v>1517</v>
      </c>
      <c r="N177" s="268">
        <f>19198-15177</f>
        <v>4021</v>
      </c>
      <c r="O177" s="32">
        <f>SUM(M177:N177)</f>
        <v>5538</v>
      </c>
    </row>
    <row r="178" spans="1:15" ht="36" customHeight="1">
      <c r="B178" s="79" t="s">
        <v>22</v>
      </c>
      <c r="C178" s="80" t="s">
        <v>129</v>
      </c>
      <c r="D178" s="42"/>
      <c r="G178" s="1622" t="s">
        <v>1920</v>
      </c>
      <c r="H178" s="1075" t="s">
        <v>129</v>
      </c>
      <c r="K178" s="109"/>
      <c r="L178" s="69"/>
      <c r="M178" s="31"/>
      <c r="N178" s="34" t="s">
        <v>23</v>
      </c>
      <c r="O178" s="556">
        <f>SUM(O175:O177)</f>
        <v>15302</v>
      </c>
    </row>
    <row r="179" spans="1:15" ht="15">
      <c r="A179" s="287"/>
      <c r="B179" s="13"/>
      <c r="C179" s="73" t="s">
        <v>1217</v>
      </c>
      <c r="D179" s="40"/>
      <c r="G179" s="1076"/>
      <c r="H179" s="1078" t="s">
        <v>1217</v>
      </c>
      <c r="K179" s="109"/>
      <c r="L179" s="69"/>
      <c r="M179" s="31"/>
      <c r="N179" s="59"/>
      <c r="O179" s="59"/>
    </row>
    <row r="180" spans="1:15" ht="15.75" thickBot="1">
      <c r="B180" s="13"/>
      <c r="C180" s="73" t="s">
        <v>25</v>
      </c>
      <c r="D180" s="40"/>
      <c r="E180" s="82"/>
      <c r="G180" s="1294"/>
      <c r="H180" s="1079" t="s">
        <v>25</v>
      </c>
      <c r="K180" s="109"/>
      <c r="L180" s="31"/>
      <c r="M180" s="31"/>
      <c r="N180" s="59"/>
      <c r="O180" s="59"/>
    </row>
    <row r="181" spans="1:15" ht="14.25" customHeight="1">
      <c r="B181" s="553" t="s">
        <v>818</v>
      </c>
      <c r="C181" s="73" t="s">
        <v>1021</v>
      </c>
      <c r="D181" s="40"/>
      <c r="G181" s="577"/>
      <c r="H181" s="73"/>
      <c r="K181" s="109"/>
      <c r="L181" s="31"/>
      <c r="M181" s="31"/>
      <c r="N181" s="59"/>
      <c r="O181" s="59"/>
    </row>
    <row r="182" spans="1:15" ht="15.75" thickBot="1">
      <c r="B182" s="433" t="s">
        <v>1061</v>
      </c>
      <c r="C182" s="17" t="s">
        <v>1062</v>
      </c>
      <c r="D182" s="41"/>
      <c r="H182" s="54"/>
      <c r="K182" s="109"/>
      <c r="L182" s="31"/>
      <c r="M182" s="31"/>
      <c r="N182" s="59"/>
      <c r="O182" s="59"/>
    </row>
    <row r="183" spans="1:15" ht="15.75" thickBot="1">
      <c r="B183" s="14"/>
      <c r="C183" s="73"/>
      <c r="D183" s="19"/>
      <c r="K183" s="109"/>
      <c r="L183" s="31"/>
      <c r="M183" s="31"/>
      <c r="N183" s="59"/>
      <c r="O183" s="59"/>
    </row>
    <row r="184" spans="1:15" ht="42.75" customHeight="1">
      <c r="A184" s="1670" t="s">
        <v>6</v>
      </c>
      <c r="B184" s="1673" t="s">
        <v>633</v>
      </c>
      <c r="C184" s="1676" t="s">
        <v>8</v>
      </c>
      <c r="D184" s="1676" t="s">
        <v>9</v>
      </c>
      <c r="E184" s="1656" t="s">
        <v>812</v>
      </c>
      <c r="F184" s="1656" t="s">
        <v>11</v>
      </c>
      <c r="G184" s="1676" t="s">
        <v>12</v>
      </c>
      <c r="H184" s="1656" t="s">
        <v>13</v>
      </c>
      <c r="I184" s="1656" t="s">
        <v>269</v>
      </c>
      <c r="J184" s="1656" t="s">
        <v>59</v>
      </c>
      <c r="K184" s="1665" t="s">
        <v>635</v>
      </c>
      <c r="L184" s="1668" t="s">
        <v>636</v>
      </c>
      <c r="M184" s="1650"/>
      <c r="N184" s="1650"/>
      <c r="O184" s="1669"/>
    </row>
    <row r="185" spans="1:15" ht="40.5" customHeight="1">
      <c r="A185" s="1671"/>
      <c r="B185" s="1674"/>
      <c r="C185" s="1677"/>
      <c r="D185" s="1677"/>
      <c r="E185" s="1657"/>
      <c r="F185" s="1657"/>
      <c r="G185" s="1677"/>
      <c r="H185" s="1657"/>
      <c r="I185" s="1698"/>
      <c r="J185" s="1657"/>
      <c r="K185" s="1666"/>
      <c r="L185" s="1679" t="s">
        <v>637</v>
      </c>
      <c r="M185" s="1654"/>
      <c r="N185" s="1654"/>
      <c r="O185" s="1680"/>
    </row>
    <row r="186" spans="1:15" ht="37.5" customHeight="1" thickBot="1">
      <c r="A186" s="1672"/>
      <c r="B186" s="1675"/>
      <c r="C186" s="1678"/>
      <c r="D186" s="1678"/>
      <c r="E186" s="1658"/>
      <c r="F186" s="1658"/>
      <c r="G186" s="1678"/>
      <c r="H186" s="1658"/>
      <c r="I186" s="1699"/>
      <c r="J186" s="1658"/>
      <c r="K186" s="1667"/>
      <c r="L186" s="571" t="s">
        <v>638</v>
      </c>
      <c r="M186" s="722" t="s">
        <v>639</v>
      </c>
      <c r="N186" s="722" t="s">
        <v>640</v>
      </c>
      <c r="O186" s="723" t="s">
        <v>16</v>
      </c>
    </row>
    <row r="187" spans="1:15" ht="30" thickBot="1">
      <c r="A187" s="554" t="s">
        <v>26</v>
      </c>
      <c r="B187" s="21" t="s">
        <v>134</v>
      </c>
      <c r="C187" s="21" t="s">
        <v>18</v>
      </c>
      <c r="D187" s="21" t="s">
        <v>31</v>
      </c>
      <c r="E187" s="22">
        <v>1</v>
      </c>
      <c r="F187" s="22" t="s">
        <v>20</v>
      </c>
      <c r="G187" s="23" t="s">
        <v>18</v>
      </c>
      <c r="H187" s="726" t="s">
        <v>135</v>
      </c>
      <c r="I187" s="774">
        <v>3508561</v>
      </c>
      <c r="J187" s="378" t="s">
        <v>21</v>
      </c>
      <c r="K187" s="64">
        <v>70</v>
      </c>
      <c r="L187" s="728">
        <f>(6172.41-3274.3)*30</f>
        <v>86943.299999999988</v>
      </c>
      <c r="M187" s="729"/>
      <c r="N187" s="730"/>
      <c r="O187" s="731">
        <f>L187</f>
        <v>86943.299999999988</v>
      </c>
    </row>
    <row r="188" spans="1:15" ht="32.25" customHeight="1">
      <c r="B188" s="79" t="s">
        <v>22</v>
      </c>
      <c r="C188" s="87" t="s">
        <v>136</v>
      </c>
      <c r="D188" s="12"/>
      <c r="E188" s="54"/>
      <c r="F188" s="54"/>
      <c r="G188" s="1622" t="s">
        <v>1920</v>
      </c>
      <c r="H188" s="1080" t="s">
        <v>136</v>
      </c>
      <c r="I188" s="19"/>
      <c r="J188" s="54"/>
      <c r="K188" s="54"/>
      <c r="M188" s="31"/>
      <c r="N188" s="34" t="s">
        <v>23</v>
      </c>
      <c r="O188" s="556">
        <f>O187</f>
        <v>86943.299999999988</v>
      </c>
    </row>
    <row r="189" spans="1:15" ht="15">
      <c r="A189" s="287"/>
      <c r="B189" s="13"/>
      <c r="C189" s="73" t="s">
        <v>137</v>
      </c>
      <c r="D189" s="15"/>
      <c r="E189" s="54"/>
      <c r="F189" s="54"/>
      <c r="G189" s="1076"/>
      <c r="H189" s="1078" t="s">
        <v>137</v>
      </c>
      <c r="I189" s="19"/>
      <c r="J189" s="54"/>
      <c r="K189" s="54"/>
      <c r="L189" s="69"/>
      <c r="M189" s="31"/>
      <c r="N189" s="59"/>
      <c r="O189" s="59"/>
    </row>
    <row r="190" spans="1:15" ht="15.75" thickBot="1">
      <c r="A190" s="287"/>
      <c r="B190" s="13"/>
      <c r="C190" s="73" t="s">
        <v>25</v>
      </c>
      <c r="D190" s="15"/>
      <c r="E190" s="54"/>
      <c r="F190" s="54"/>
      <c r="G190" s="1294"/>
      <c r="H190" s="1079" t="s">
        <v>25</v>
      </c>
      <c r="I190" s="14"/>
      <c r="J190" s="54"/>
      <c r="K190" s="54"/>
      <c r="L190" s="69"/>
      <c r="M190" s="31"/>
      <c r="N190" s="59"/>
      <c r="O190" s="59"/>
    </row>
    <row r="191" spans="1:15" ht="15">
      <c r="B191" s="553" t="s">
        <v>818</v>
      </c>
      <c r="C191" s="73" t="s">
        <v>1022</v>
      </c>
      <c r="D191" s="15"/>
      <c r="E191" s="82"/>
      <c r="F191" s="54"/>
      <c r="G191" s="577"/>
      <c r="H191" s="73"/>
      <c r="I191" s="14"/>
      <c r="J191" s="54"/>
      <c r="K191" s="54"/>
      <c r="L191" s="70"/>
      <c r="M191" s="31"/>
      <c r="N191" s="31"/>
      <c r="O191" s="31"/>
    </row>
    <row r="192" spans="1:15" ht="15.75" thickBot="1">
      <c r="B192" s="433" t="s">
        <v>1061</v>
      </c>
      <c r="C192" s="72" t="s">
        <v>1081</v>
      </c>
      <c r="D192" s="18"/>
      <c r="E192" s="54"/>
      <c r="F192" s="54"/>
      <c r="G192" s="53"/>
      <c r="H192" s="14"/>
      <c r="I192" s="14"/>
      <c r="K192" s="54"/>
      <c r="L192" s="70"/>
      <c r="M192" s="31"/>
      <c r="N192" s="31"/>
      <c r="O192" s="31"/>
    </row>
    <row r="193" spans="1:15" ht="15.75" thickBot="1">
      <c r="A193" s="273"/>
      <c r="B193" s="14"/>
      <c r="C193" s="73"/>
      <c r="D193" s="14"/>
      <c r="L193" s="31"/>
      <c r="M193" s="31"/>
      <c r="N193" s="31"/>
      <c r="O193" s="31"/>
    </row>
    <row r="194" spans="1:15" ht="47.25" customHeight="1">
      <c r="A194" s="1670" t="s">
        <v>6</v>
      </c>
      <c r="B194" s="1673" t="s">
        <v>633</v>
      </c>
      <c r="C194" s="1676" t="s">
        <v>8</v>
      </c>
      <c r="D194" s="1676" t="s">
        <v>9</v>
      </c>
      <c r="E194" s="1656" t="s">
        <v>812</v>
      </c>
      <c r="F194" s="1656" t="s">
        <v>11</v>
      </c>
      <c r="G194" s="1676" t="s">
        <v>12</v>
      </c>
      <c r="H194" s="1656" t="s">
        <v>13</v>
      </c>
      <c r="I194" s="1656" t="s">
        <v>269</v>
      </c>
      <c r="J194" s="1656" t="s">
        <v>59</v>
      </c>
      <c r="K194" s="1665" t="s">
        <v>635</v>
      </c>
      <c r="L194" s="1668" t="s">
        <v>636</v>
      </c>
      <c r="M194" s="1650"/>
      <c r="N194" s="1650"/>
      <c r="O194" s="1669"/>
    </row>
    <row r="195" spans="1:15" ht="40.5" customHeight="1">
      <c r="A195" s="1671"/>
      <c r="B195" s="1674"/>
      <c r="C195" s="1677"/>
      <c r="D195" s="1677"/>
      <c r="E195" s="1657"/>
      <c r="F195" s="1657"/>
      <c r="G195" s="1677"/>
      <c r="H195" s="1657"/>
      <c r="I195" s="1698"/>
      <c r="J195" s="1657"/>
      <c r="K195" s="1666"/>
      <c r="L195" s="1679" t="s">
        <v>637</v>
      </c>
      <c r="M195" s="1654"/>
      <c r="N195" s="1654"/>
      <c r="O195" s="1680"/>
    </row>
    <row r="196" spans="1:15" ht="35.25" customHeight="1" thickBot="1">
      <c r="A196" s="1672"/>
      <c r="B196" s="1675"/>
      <c r="C196" s="1678"/>
      <c r="D196" s="1678"/>
      <c r="E196" s="1658"/>
      <c r="F196" s="1658"/>
      <c r="G196" s="1678"/>
      <c r="H196" s="1658"/>
      <c r="I196" s="1699"/>
      <c r="J196" s="1658"/>
      <c r="K196" s="1667"/>
      <c r="L196" s="263" t="s">
        <v>638</v>
      </c>
      <c r="M196" s="270" t="s">
        <v>639</v>
      </c>
      <c r="N196" s="270" t="s">
        <v>640</v>
      </c>
      <c r="O196" s="265" t="s">
        <v>16</v>
      </c>
    </row>
    <row r="197" spans="1:15" s="25" customFormat="1" ht="29.25">
      <c r="A197" s="554" t="s">
        <v>26</v>
      </c>
      <c r="B197" s="23" t="s">
        <v>138</v>
      </c>
      <c r="C197" s="23" t="s">
        <v>18</v>
      </c>
      <c r="D197" s="22" t="s">
        <v>139</v>
      </c>
      <c r="E197" s="22"/>
      <c r="F197" s="22" t="s">
        <v>20</v>
      </c>
      <c r="G197" s="23" t="s">
        <v>18</v>
      </c>
      <c r="H197" s="726" t="s">
        <v>140</v>
      </c>
      <c r="I197" s="22">
        <v>70968324</v>
      </c>
      <c r="J197" s="385" t="s">
        <v>28</v>
      </c>
      <c r="K197" s="111">
        <v>3</v>
      </c>
      <c r="L197" s="65">
        <f>2120-1757</f>
        <v>363</v>
      </c>
      <c r="M197" s="279"/>
      <c r="N197" s="280"/>
      <c r="O197" s="281">
        <v>356</v>
      </c>
    </row>
    <row r="198" spans="1:15" s="25" customFormat="1" ht="29.25">
      <c r="A198" s="554" t="s">
        <v>26</v>
      </c>
      <c r="B198" s="23" t="s">
        <v>141</v>
      </c>
      <c r="C198" s="23" t="s">
        <v>18</v>
      </c>
      <c r="D198" s="22" t="s">
        <v>112</v>
      </c>
      <c r="E198" s="23"/>
      <c r="F198" s="23" t="s">
        <v>20</v>
      </c>
      <c r="G198" s="23" t="s">
        <v>18</v>
      </c>
      <c r="H198" s="726" t="s">
        <v>142</v>
      </c>
      <c r="I198" s="23">
        <v>907525</v>
      </c>
      <c r="J198" s="384" t="s">
        <v>28</v>
      </c>
      <c r="K198" s="101">
        <v>21</v>
      </c>
      <c r="L198" s="65">
        <f>1500-1052</f>
        <v>448</v>
      </c>
      <c r="M198" s="279"/>
      <c r="N198" s="280"/>
      <c r="O198" s="281">
        <f>L198</f>
        <v>448</v>
      </c>
    </row>
    <row r="199" spans="1:15" s="25" customFormat="1" ht="29.25">
      <c r="A199" s="554" t="s">
        <v>26</v>
      </c>
      <c r="B199" s="23" t="s">
        <v>138</v>
      </c>
      <c r="C199" s="23" t="s">
        <v>18</v>
      </c>
      <c r="D199" s="22" t="s">
        <v>143</v>
      </c>
      <c r="E199" s="22"/>
      <c r="F199" s="22" t="s">
        <v>20</v>
      </c>
      <c r="G199" s="23" t="s">
        <v>18</v>
      </c>
      <c r="H199" s="726" t="s">
        <v>144</v>
      </c>
      <c r="I199" s="22">
        <v>91186792</v>
      </c>
      <c r="J199" s="385" t="s">
        <v>28</v>
      </c>
      <c r="K199" s="111">
        <v>7</v>
      </c>
      <c r="L199" s="65">
        <v>432</v>
      </c>
      <c r="M199" s="279"/>
      <c r="N199" s="282"/>
      <c r="O199" s="281">
        <f>L199</f>
        <v>432</v>
      </c>
    </row>
    <row r="200" spans="1:15" s="25" customFormat="1" ht="29.25">
      <c r="A200" s="554" t="s">
        <v>26</v>
      </c>
      <c r="B200" s="23" t="s">
        <v>145</v>
      </c>
      <c r="C200" s="23" t="s">
        <v>18</v>
      </c>
      <c r="D200" s="23" t="s">
        <v>820</v>
      </c>
      <c r="E200" s="22"/>
      <c r="F200" s="22" t="s">
        <v>20</v>
      </c>
      <c r="G200" s="21" t="s">
        <v>18</v>
      </c>
      <c r="H200" s="736" t="s">
        <v>146</v>
      </c>
      <c r="I200" s="22">
        <v>20556332</v>
      </c>
      <c r="J200" s="385" t="s">
        <v>28</v>
      </c>
      <c r="K200" s="111">
        <v>1</v>
      </c>
      <c r="L200" s="65">
        <f>10226-9304</f>
        <v>922</v>
      </c>
      <c r="M200" s="279"/>
      <c r="N200" s="282"/>
      <c r="O200" s="281">
        <f>L200</f>
        <v>922</v>
      </c>
    </row>
    <row r="201" spans="1:15" s="25" customFormat="1" ht="18">
      <c r="A201" s="554" t="s">
        <v>26</v>
      </c>
      <c r="B201" s="23" t="s">
        <v>260</v>
      </c>
      <c r="C201" s="23" t="s">
        <v>18</v>
      </c>
      <c r="D201" s="23" t="s">
        <v>1760</v>
      </c>
      <c r="E201" s="22" t="s">
        <v>1761</v>
      </c>
      <c r="F201" s="22" t="s">
        <v>20</v>
      </c>
      <c r="G201" s="23" t="s">
        <v>18</v>
      </c>
      <c r="H201" s="736" t="s">
        <v>1762</v>
      </c>
      <c r="I201" s="22">
        <v>350124</v>
      </c>
      <c r="J201" s="385" t="s">
        <v>28</v>
      </c>
      <c r="K201" s="111">
        <v>11</v>
      </c>
      <c r="L201" s="65">
        <v>1000</v>
      </c>
      <c r="M201" s="279"/>
      <c r="N201" s="282"/>
      <c r="O201" s="281">
        <f>L201</f>
        <v>1000</v>
      </c>
    </row>
    <row r="202" spans="1:15" s="25" customFormat="1" ht="30" thickBot="1">
      <c r="A202" s="554" t="s">
        <v>26</v>
      </c>
      <c r="B202" s="23" t="s">
        <v>1887</v>
      </c>
      <c r="C202" s="23" t="s">
        <v>18</v>
      </c>
      <c r="D202" s="23" t="s">
        <v>825</v>
      </c>
      <c r="E202" s="537" t="s">
        <v>826</v>
      </c>
      <c r="F202" s="22" t="s">
        <v>20</v>
      </c>
      <c r="G202" s="21" t="s">
        <v>18</v>
      </c>
      <c r="H202" s="1338" t="s">
        <v>64</v>
      </c>
      <c r="I202" s="22">
        <v>879946</v>
      </c>
      <c r="J202" s="661" t="s">
        <v>65</v>
      </c>
      <c r="K202" s="64">
        <v>20.5</v>
      </c>
      <c r="L202" s="33"/>
      <c r="M202" s="65">
        <f>6707-5956</f>
        <v>751</v>
      </c>
      <c r="N202" s="65">
        <f>14740-12856</f>
        <v>1884</v>
      </c>
      <c r="O202" s="65">
        <f>SUM(M202:N202)</f>
        <v>2635</v>
      </c>
    </row>
    <row r="203" spans="1:15" ht="35.25" customHeight="1">
      <c r="B203" s="79" t="s">
        <v>22</v>
      </c>
      <c r="C203" s="87" t="s">
        <v>136</v>
      </c>
      <c r="D203" s="12"/>
      <c r="G203" s="1622" t="s">
        <v>1920</v>
      </c>
      <c r="H203" s="1080" t="s">
        <v>136</v>
      </c>
      <c r="L203" s="69"/>
      <c r="M203" s="31"/>
      <c r="N203" s="32" t="s">
        <v>23</v>
      </c>
      <c r="O203" s="556">
        <f>SUM(O197:O202)</f>
        <v>5793</v>
      </c>
    </row>
    <row r="204" spans="1:15" ht="15">
      <c r="B204" s="13"/>
      <c r="C204" s="73" t="s">
        <v>137</v>
      </c>
      <c r="D204" s="15"/>
      <c r="E204" s="82"/>
      <c r="G204" s="1076"/>
      <c r="H204" s="1078" t="s">
        <v>137</v>
      </c>
      <c r="L204" s="31"/>
      <c r="M204" s="31"/>
      <c r="N204" s="31"/>
      <c r="O204" s="31"/>
    </row>
    <row r="205" spans="1:15" ht="15.75" thickBot="1">
      <c r="B205" s="13"/>
      <c r="C205" s="73" t="s">
        <v>25</v>
      </c>
      <c r="D205" s="15"/>
      <c r="G205" s="1294"/>
      <c r="H205" s="1079" t="s">
        <v>25</v>
      </c>
      <c r="L205" s="31"/>
      <c r="M205" s="31"/>
      <c r="N205" s="31"/>
      <c r="O205" s="31"/>
    </row>
    <row r="206" spans="1:15" ht="15">
      <c r="B206" s="553" t="s">
        <v>818</v>
      </c>
      <c r="C206" s="73" t="s">
        <v>1022</v>
      </c>
      <c r="D206" s="15"/>
      <c r="G206" s="577"/>
      <c r="H206" s="73"/>
      <c r="L206" s="31"/>
      <c r="M206" s="31"/>
      <c r="N206" s="31"/>
      <c r="O206" s="31"/>
    </row>
    <row r="207" spans="1:15" ht="15.75" thickBot="1">
      <c r="A207" s="273"/>
      <c r="B207" s="433" t="s">
        <v>1061</v>
      </c>
      <c r="C207" s="72" t="s">
        <v>1081</v>
      </c>
      <c r="D207" s="18"/>
      <c r="L207" s="31"/>
      <c r="M207" s="31"/>
      <c r="N207" s="31"/>
      <c r="O207" s="31"/>
    </row>
    <row r="208" spans="1:15" ht="15">
      <c r="A208" s="287"/>
      <c r="B208" s="19"/>
      <c r="C208" s="73"/>
      <c r="D208" s="19"/>
      <c r="L208" s="31"/>
      <c r="M208" s="31"/>
      <c r="N208" s="31"/>
      <c r="O208" s="31"/>
    </row>
    <row r="209" spans="1:15" ht="15.75" thickBot="1">
      <c r="A209" s="721"/>
      <c r="B209" s="577"/>
      <c r="C209" s="43"/>
      <c r="D209" s="14"/>
      <c r="L209" s="31"/>
      <c r="M209" s="31"/>
      <c r="N209" s="31"/>
      <c r="O209" s="31"/>
    </row>
    <row r="210" spans="1:15" ht="43.5" customHeight="1">
      <c r="A210" s="1662" t="s">
        <v>6</v>
      </c>
      <c r="B210" s="1656" t="s">
        <v>7</v>
      </c>
      <c r="C210" s="1656" t="s">
        <v>8</v>
      </c>
      <c r="D210" s="1656" t="s">
        <v>9</v>
      </c>
      <c r="E210" s="1656" t="s">
        <v>10</v>
      </c>
      <c r="F210" s="1656" t="s">
        <v>11</v>
      </c>
      <c r="G210" s="1656" t="s">
        <v>12</v>
      </c>
      <c r="H210" s="1656" t="s">
        <v>13</v>
      </c>
      <c r="I210" s="1656" t="s">
        <v>269</v>
      </c>
      <c r="J210" s="1656" t="s">
        <v>59</v>
      </c>
      <c r="K210" s="1659" t="s">
        <v>15</v>
      </c>
      <c r="L210" s="1650" t="s">
        <v>641</v>
      </c>
      <c r="M210" s="1650"/>
      <c r="N210" s="1650"/>
      <c r="O210" s="1650"/>
    </row>
    <row r="211" spans="1:15" ht="36.75" customHeight="1">
      <c r="A211" s="1663"/>
      <c r="B211" s="1657"/>
      <c r="C211" s="1657"/>
      <c r="D211" s="1657"/>
      <c r="E211" s="1657"/>
      <c r="F211" s="1657"/>
      <c r="G211" s="1657"/>
      <c r="H211" s="1657"/>
      <c r="I211" s="1657"/>
      <c r="J211" s="1657"/>
      <c r="K211" s="1660"/>
      <c r="L211" s="1654" t="s">
        <v>638</v>
      </c>
      <c r="M211" s="1654" t="s">
        <v>639</v>
      </c>
      <c r="N211" s="1654" t="s">
        <v>640</v>
      </c>
      <c r="O211" s="1654" t="s">
        <v>643</v>
      </c>
    </row>
    <row r="212" spans="1:15" ht="7.5" customHeight="1" thickBot="1">
      <c r="A212" s="1664"/>
      <c r="B212" s="1658"/>
      <c r="C212" s="1658"/>
      <c r="D212" s="1658"/>
      <c r="E212" s="1658"/>
      <c r="F212" s="1658"/>
      <c r="G212" s="1658"/>
      <c r="H212" s="1658"/>
      <c r="I212" s="1658"/>
      <c r="J212" s="1658"/>
      <c r="K212" s="1661"/>
      <c r="L212" s="1655"/>
      <c r="M212" s="1655"/>
      <c r="N212" s="1655"/>
      <c r="O212" s="1655"/>
    </row>
    <row r="213" spans="1:15" ht="18">
      <c r="A213" s="601" t="s">
        <v>26</v>
      </c>
      <c r="B213" s="727" t="s">
        <v>1211</v>
      </c>
      <c r="C213" s="182" t="s">
        <v>18</v>
      </c>
      <c r="D213" s="660" t="s">
        <v>115</v>
      </c>
      <c r="E213" s="182" t="s">
        <v>1212</v>
      </c>
      <c r="F213" s="182" t="s">
        <v>20</v>
      </c>
      <c r="G213" s="182" t="s">
        <v>18</v>
      </c>
      <c r="H213" s="695" t="s">
        <v>1411</v>
      </c>
      <c r="I213" s="182">
        <v>1481455</v>
      </c>
      <c r="J213" s="534" t="s">
        <v>28</v>
      </c>
      <c r="K213" s="413">
        <v>0.1</v>
      </c>
      <c r="L213" s="268">
        <f>1076-756</f>
        <v>320</v>
      </c>
      <c r="M213" s="269"/>
      <c r="N213" s="269"/>
      <c r="O213" s="268">
        <f>L213</f>
        <v>320</v>
      </c>
    </row>
    <row r="214" spans="1:15" ht="18">
      <c r="A214" s="601" t="s">
        <v>26</v>
      </c>
      <c r="B214" s="727" t="s">
        <v>1211</v>
      </c>
      <c r="C214" s="182" t="s">
        <v>18</v>
      </c>
      <c r="D214" s="660" t="s">
        <v>1213</v>
      </c>
      <c r="E214" s="182" t="s">
        <v>1214</v>
      </c>
      <c r="F214" s="182" t="s">
        <v>20</v>
      </c>
      <c r="G214" s="182" t="s">
        <v>18</v>
      </c>
      <c r="H214" s="695" t="s">
        <v>1410</v>
      </c>
      <c r="I214" s="182">
        <v>1481462</v>
      </c>
      <c r="J214" s="534" t="s">
        <v>28</v>
      </c>
      <c r="K214" s="413">
        <v>0.1</v>
      </c>
      <c r="L214" s="268">
        <f>2140-1726</f>
        <v>414</v>
      </c>
      <c r="M214" s="269"/>
      <c r="N214" s="269"/>
      <c r="O214" s="268">
        <f>L214</f>
        <v>414</v>
      </c>
    </row>
    <row r="215" spans="1:15" ht="18">
      <c r="A215" s="601" t="s">
        <v>26</v>
      </c>
      <c r="B215" s="727" t="s">
        <v>1211</v>
      </c>
      <c r="C215" s="182" t="s">
        <v>18</v>
      </c>
      <c r="D215" s="660" t="s">
        <v>54</v>
      </c>
      <c r="E215" s="182">
        <v>212</v>
      </c>
      <c r="F215" s="182" t="s">
        <v>20</v>
      </c>
      <c r="G215" s="182" t="s">
        <v>18</v>
      </c>
      <c r="H215" s="695" t="s">
        <v>1409</v>
      </c>
      <c r="I215" s="182">
        <v>1481449</v>
      </c>
      <c r="J215" s="534" t="s">
        <v>28</v>
      </c>
      <c r="K215" s="413">
        <v>1</v>
      </c>
      <c r="L215" s="268">
        <f>1155-799</f>
        <v>356</v>
      </c>
      <c r="M215" s="269"/>
      <c r="N215" s="269"/>
      <c r="O215" s="268">
        <f>L215</f>
        <v>356</v>
      </c>
    </row>
    <row r="216" spans="1:15" ht="18">
      <c r="A216" s="601" t="s">
        <v>26</v>
      </c>
      <c r="B216" s="917" t="s">
        <v>1211</v>
      </c>
      <c r="C216" s="360" t="s">
        <v>18</v>
      </c>
      <c r="D216" s="918" t="s">
        <v>1215</v>
      </c>
      <c r="E216" s="182" t="s">
        <v>1216</v>
      </c>
      <c r="F216" s="182" t="s">
        <v>20</v>
      </c>
      <c r="G216" s="360" t="s">
        <v>18</v>
      </c>
      <c r="H216" s="771" t="s">
        <v>1412</v>
      </c>
      <c r="I216" s="182">
        <v>1481456</v>
      </c>
      <c r="J216" s="534" t="s">
        <v>28</v>
      </c>
      <c r="K216" s="413">
        <v>0.1</v>
      </c>
      <c r="L216" s="268">
        <f>1061-751</f>
        <v>310</v>
      </c>
      <c r="M216" s="269"/>
      <c r="N216" s="269"/>
      <c r="O216" s="268">
        <f>L216</f>
        <v>310</v>
      </c>
    </row>
    <row r="217" spans="1:15" ht="18.75" thickBot="1">
      <c r="A217" s="574" t="s">
        <v>26</v>
      </c>
      <c r="B217" s="6" t="s">
        <v>150</v>
      </c>
      <c r="C217" s="190" t="s">
        <v>18</v>
      </c>
      <c r="D217" s="6"/>
      <c r="E217" s="4"/>
      <c r="F217" s="4" t="s">
        <v>20</v>
      </c>
      <c r="G217" s="4" t="s">
        <v>18</v>
      </c>
      <c r="H217" s="695" t="s">
        <v>732</v>
      </c>
      <c r="I217" s="104" t="s">
        <v>797</v>
      </c>
      <c r="J217" s="483" t="s">
        <v>151</v>
      </c>
      <c r="K217" s="337">
        <v>0.6</v>
      </c>
      <c r="L217" s="268">
        <f>432*12</f>
        <v>5184</v>
      </c>
      <c r="M217" s="269"/>
      <c r="N217" s="269"/>
      <c r="O217" s="268">
        <f>L217</f>
        <v>5184</v>
      </c>
    </row>
    <row r="218" spans="1:15" ht="33.75" customHeight="1">
      <c r="A218" s="721"/>
      <c r="B218" s="10" t="s">
        <v>22</v>
      </c>
      <c r="C218" s="11" t="s">
        <v>136</v>
      </c>
      <c r="D218" s="12"/>
      <c r="G218" s="1622" t="s">
        <v>1920</v>
      </c>
      <c r="H218" s="1080" t="s">
        <v>136</v>
      </c>
      <c r="L218" s="31"/>
      <c r="M218" s="31"/>
      <c r="N218" s="32" t="s">
        <v>23</v>
      </c>
      <c r="O218" s="556">
        <f>SUM(O213:O217)</f>
        <v>6584</v>
      </c>
    </row>
    <row r="219" spans="1:15" ht="15">
      <c r="A219" s="721"/>
      <c r="B219" s="13"/>
      <c r="C219" s="14" t="s">
        <v>152</v>
      </c>
      <c r="D219" s="15"/>
      <c r="G219" s="1076"/>
      <c r="H219" s="1078" t="s">
        <v>137</v>
      </c>
      <c r="L219" s="31"/>
      <c r="M219" s="31"/>
      <c r="N219" s="31"/>
      <c r="O219" s="31"/>
    </row>
    <row r="220" spans="1:15" ht="15.75" thickBot="1">
      <c r="A220" s="721"/>
      <c r="B220" s="13"/>
      <c r="C220" s="43" t="s">
        <v>25</v>
      </c>
      <c r="D220" s="15"/>
      <c r="G220" s="1294"/>
      <c r="H220" s="1079" t="s">
        <v>25</v>
      </c>
      <c r="L220" s="31"/>
      <c r="M220" s="31"/>
      <c r="N220" s="31"/>
      <c r="O220" s="31"/>
    </row>
    <row r="221" spans="1:15" ht="15">
      <c r="A221" s="721"/>
      <c r="B221" s="553" t="s">
        <v>160</v>
      </c>
      <c r="C221" s="43" t="s">
        <v>1022</v>
      </c>
      <c r="D221" s="15"/>
      <c r="G221" s="577"/>
      <c r="H221" s="73"/>
      <c r="L221" s="31"/>
      <c r="M221" s="31"/>
      <c r="N221" s="31"/>
      <c r="O221" s="31"/>
    </row>
    <row r="222" spans="1:15" ht="15.75" thickBot="1">
      <c r="A222" s="721"/>
      <c r="B222" s="433" t="s">
        <v>1061</v>
      </c>
      <c r="C222" s="113" t="s">
        <v>1081</v>
      </c>
      <c r="D222" s="18"/>
      <c r="L222" s="31"/>
      <c r="M222" s="31"/>
      <c r="N222" s="31"/>
      <c r="O222" s="31"/>
    </row>
    <row r="223" spans="1:15" ht="15.75" thickBot="1">
      <c r="A223" s="721"/>
      <c r="B223" s="577"/>
      <c r="C223" s="43"/>
      <c r="D223" s="14"/>
      <c r="L223" s="31"/>
      <c r="M223" s="31"/>
      <c r="N223" s="31"/>
      <c r="O223" s="31"/>
    </row>
    <row r="224" spans="1:15" ht="39.75" customHeight="1">
      <c r="A224" s="1670" t="s">
        <v>6</v>
      </c>
      <c r="B224" s="1673" t="s">
        <v>633</v>
      </c>
      <c r="C224" s="1676" t="s">
        <v>8</v>
      </c>
      <c r="D224" s="1676" t="s">
        <v>9</v>
      </c>
      <c r="E224" s="1656" t="s">
        <v>812</v>
      </c>
      <c r="F224" s="1656" t="s">
        <v>11</v>
      </c>
      <c r="G224" s="1676" t="s">
        <v>12</v>
      </c>
      <c r="H224" s="1656" t="s">
        <v>13</v>
      </c>
      <c r="I224" s="1656" t="s">
        <v>269</v>
      </c>
      <c r="J224" s="1656" t="s">
        <v>59</v>
      </c>
      <c r="K224" s="1665" t="s">
        <v>635</v>
      </c>
      <c r="L224" s="1668" t="s">
        <v>636</v>
      </c>
      <c r="M224" s="1650"/>
      <c r="N224" s="1650"/>
      <c r="O224" s="1669"/>
    </row>
    <row r="225" spans="1:21" ht="36.75" customHeight="1">
      <c r="A225" s="1671"/>
      <c r="B225" s="1674"/>
      <c r="C225" s="1677"/>
      <c r="D225" s="1677"/>
      <c r="E225" s="1657"/>
      <c r="F225" s="1657"/>
      <c r="G225" s="1677"/>
      <c r="H225" s="1657"/>
      <c r="I225" s="1698"/>
      <c r="J225" s="1657"/>
      <c r="K225" s="1666"/>
      <c r="L225" s="1679" t="s">
        <v>637</v>
      </c>
      <c r="M225" s="1654"/>
      <c r="N225" s="1654"/>
      <c r="O225" s="1680"/>
    </row>
    <row r="226" spans="1:21" ht="22.5" customHeight="1" thickBot="1">
      <c r="A226" s="1672"/>
      <c r="B226" s="1675"/>
      <c r="C226" s="1678"/>
      <c r="D226" s="1678"/>
      <c r="E226" s="1658"/>
      <c r="F226" s="1658"/>
      <c r="G226" s="1678"/>
      <c r="H226" s="1658"/>
      <c r="I226" s="1699"/>
      <c r="J226" s="1658"/>
      <c r="K226" s="1667"/>
      <c r="L226" s="571" t="s">
        <v>638</v>
      </c>
      <c r="M226" s="1109" t="s">
        <v>639</v>
      </c>
      <c r="N226" s="1109" t="s">
        <v>640</v>
      </c>
      <c r="O226" s="1110" t="s">
        <v>16</v>
      </c>
    </row>
    <row r="227" spans="1:21" ht="30" thickBot="1">
      <c r="A227" s="575" t="s">
        <v>26</v>
      </c>
      <c r="B227" s="23" t="s">
        <v>111</v>
      </c>
      <c r="C227" s="23" t="s">
        <v>18</v>
      </c>
      <c r="D227" s="23" t="s">
        <v>1888</v>
      </c>
      <c r="E227" s="23">
        <v>23</v>
      </c>
      <c r="F227" s="23" t="s">
        <v>20</v>
      </c>
      <c r="G227" s="21" t="s">
        <v>18</v>
      </c>
      <c r="H227" s="1489" t="s">
        <v>1755</v>
      </c>
      <c r="I227" s="21">
        <v>4143454</v>
      </c>
      <c r="J227" s="387" t="s">
        <v>21</v>
      </c>
      <c r="K227" s="101">
        <v>160</v>
      </c>
      <c r="L227" s="34">
        <v>150000</v>
      </c>
      <c r="M227" s="33"/>
      <c r="N227" s="33"/>
      <c r="O227" s="34">
        <f>L227</f>
        <v>150000</v>
      </c>
      <c r="P227" s="25"/>
    </row>
    <row r="228" spans="1:21" ht="34.5" customHeight="1">
      <c r="A228" s="444"/>
      <c r="B228" s="10" t="s">
        <v>22</v>
      </c>
      <c r="C228" s="11" t="s">
        <v>136</v>
      </c>
      <c r="D228" s="12"/>
      <c r="E228" s="444"/>
      <c r="F228" s="444"/>
      <c r="G228" s="1622" t="s">
        <v>1920</v>
      </c>
      <c r="H228" s="87" t="s">
        <v>1753</v>
      </c>
      <c r="I228" s="628"/>
      <c r="J228" s="444"/>
      <c r="K228" s="823"/>
      <c r="L228" s="448"/>
      <c r="M228" s="448"/>
      <c r="N228" s="32" t="s">
        <v>23</v>
      </c>
      <c r="O228" s="556">
        <f>O227</f>
        <v>150000</v>
      </c>
      <c r="P228" s="448"/>
      <c r="Q228" s="448"/>
      <c r="T228" s="444"/>
      <c r="U228" s="25"/>
    </row>
    <row r="229" spans="1:21" ht="15">
      <c r="A229" s="444"/>
      <c r="B229" s="13"/>
      <c r="C229" s="14" t="s">
        <v>152</v>
      </c>
      <c r="D229" s="15"/>
      <c r="E229" s="444"/>
      <c r="F229" s="444"/>
      <c r="G229" s="185"/>
      <c r="H229" s="14" t="s">
        <v>1754</v>
      </c>
      <c r="I229" s="629"/>
      <c r="J229" s="444"/>
      <c r="K229" s="823"/>
      <c r="L229" s="448"/>
      <c r="M229" s="448"/>
      <c r="N229" s="448"/>
      <c r="O229" s="448"/>
      <c r="P229" s="448"/>
      <c r="Q229" s="448"/>
      <c r="R229" s="448"/>
      <c r="S229" s="448"/>
      <c r="T229" s="444"/>
      <c r="U229" s="25"/>
    </row>
    <row r="230" spans="1:21" ht="15">
      <c r="A230" s="444"/>
      <c r="B230" s="13"/>
      <c r="C230" s="43" t="s">
        <v>25</v>
      </c>
      <c r="D230" s="15"/>
      <c r="E230" s="444"/>
      <c r="F230" s="444"/>
      <c r="G230" s="1076"/>
      <c r="H230" s="73" t="s">
        <v>113</v>
      </c>
      <c r="I230" s="629"/>
      <c r="J230" s="444"/>
      <c r="K230" s="823"/>
      <c r="L230" s="448"/>
      <c r="M230" s="448"/>
      <c r="N230" s="448"/>
      <c r="O230" s="448"/>
      <c r="P230" s="448"/>
      <c r="Q230" s="448"/>
      <c r="R230" s="448"/>
      <c r="S230" s="448"/>
      <c r="T230" s="444"/>
      <c r="U230" s="25"/>
    </row>
    <row r="231" spans="1:21" ht="15.75" thickBot="1">
      <c r="A231" s="444"/>
      <c r="B231" s="553" t="s">
        <v>160</v>
      </c>
      <c r="C231" s="43" t="s">
        <v>1022</v>
      </c>
      <c r="D231" s="15"/>
      <c r="E231" s="444"/>
      <c r="F231" s="444"/>
      <c r="G231" s="1294"/>
      <c r="H231" s="72" t="s">
        <v>25</v>
      </c>
      <c r="I231" s="632"/>
      <c r="J231" s="444"/>
      <c r="K231" s="823"/>
      <c r="L231" s="448"/>
      <c r="M231" s="448"/>
      <c r="N231" s="448"/>
      <c r="O231" s="448"/>
      <c r="P231" s="448"/>
      <c r="Q231" s="448"/>
      <c r="R231" s="448"/>
      <c r="S231" s="448"/>
      <c r="T231" s="444"/>
      <c r="U231" s="25"/>
    </row>
    <row r="232" spans="1:21" ht="15.75" thickBot="1">
      <c r="A232" s="444"/>
      <c r="B232" s="433" t="s">
        <v>1061</v>
      </c>
      <c r="C232" s="113" t="s">
        <v>1081</v>
      </c>
      <c r="D232" s="18"/>
      <c r="E232" s="444"/>
      <c r="F232" s="444"/>
      <c r="G232" s="577"/>
      <c r="H232" s="73"/>
      <c r="I232" s="444"/>
      <c r="J232" s="444"/>
      <c r="K232" s="823"/>
      <c r="L232" s="448"/>
      <c r="M232" s="448"/>
      <c r="N232" s="448"/>
      <c r="O232" s="448"/>
      <c r="P232" s="448"/>
      <c r="Q232" s="448"/>
      <c r="R232" s="448"/>
      <c r="S232" s="448"/>
      <c r="T232" s="444"/>
      <c r="U232" s="25"/>
    </row>
    <row r="233" spans="1:21" ht="15.75" thickBot="1">
      <c r="A233" s="287"/>
      <c r="B233" s="19"/>
      <c r="C233" s="73"/>
      <c r="D233" s="19"/>
      <c r="I233" s="2"/>
      <c r="L233" s="31"/>
      <c r="M233" s="31"/>
      <c r="N233" s="31"/>
      <c r="O233" s="31"/>
    </row>
    <row r="234" spans="1:21" ht="45" customHeight="1">
      <c r="A234" s="1662" t="s">
        <v>6</v>
      </c>
      <c r="B234" s="1656" t="s">
        <v>7</v>
      </c>
      <c r="C234" s="1656" t="s">
        <v>8</v>
      </c>
      <c r="D234" s="1656" t="s">
        <v>9</v>
      </c>
      <c r="E234" s="1656" t="s">
        <v>812</v>
      </c>
      <c r="F234" s="1656" t="s">
        <v>11</v>
      </c>
      <c r="G234" s="1656" t="s">
        <v>12</v>
      </c>
      <c r="H234" s="1656" t="s">
        <v>13</v>
      </c>
      <c r="I234" s="1676" t="s">
        <v>269</v>
      </c>
      <c r="J234" s="1656" t="s">
        <v>59</v>
      </c>
      <c r="K234" s="1719" t="s">
        <v>15</v>
      </c>
      <c r="L234" s="1668" t="s">
        <v>636</v>
      </c>
      <c r="M234" s="1650"/>
      <c r="N234" s="1650"/>
      <c r="O234" s="1669"/>
    </row>
    <row r="235" spans="1:21" ht="41.25" customHeight="1">
      <c r="A235" s="1663"/>
      <c r="B235" s="1657"/>
      <c r="C235" s="1657"/>
      <c r="D235" s="1657"/>
      <c r="E235" s="1657"/>
      <c r="F235" s="1657"/>
      <c r="G235" s="1657"/>
      <c r="H235" s="1657"/>
      <c r="I235" s="1677"/>
      <c r="J235" s="1657"/>
      <c r="K235" s="1720"/>
      <c r="L235" s="1679" t="s">
        <v>637</v>
      </c>
      <c r="M235" s="1654"/>
      <c r="N235" s="1654"/>
      <c r="O235" s="1680"/>
    </row>
    <row r="236" spans="1:21" ht="21.75" customHeight="1" thickBot="1">
      <c r="A236" s="1718"/>
      <c r="B236" s="1658"/>
      <c r="C236" s="1658"/>
      <c r="D236" s="1658"/>
      <c r="E236" s="1658"/>
      <c r="F236" s="1658"/>
      <c r="G236" s="1658"/>
      <c r="H236" s="1658"/>
      <c r="I236" s="1678"/>
      <c r="J236" s="1658"/>
      <c r="K236" s="1721"/>
      <c r="L236" s="571" t="s">
        <v>638</v>
      </c>
      <c r="M236" s="569" t="s">
        <v>639</v>
      </c>
      <c r="N236" s="569" t="s">
        <v>640</v>
      </c>
      <c r="O236" s="570" t="s">
        <v>16</v>
      </c>
    </row>
    <row r="237" spans="1:21" ht="29.25">
      <c r="A237" s="575" t="s">
        <v>26</v>
      </c>
      <c r="B237" s="454" t="s">
        <v>811</v>
      </c>
      <c r="C237" s="455" t="s">
        <v>18</v>
      </c>
      <c r="D237" s="454" t="s">
        <v>29</v>
      </c>
      <c r="E237" s="455" t="s">
        <v>813</v>
      </c>
      <c r="F237" s="104" t="s">
        <v>20</v>
      </c>
      <c r="G237" s="104" t="s">
        <v>18</v>
      </c>
      <c r="H237" s="695" t="s">
        <v>1072</v>
      </c>
      <c r="I237" s="104">
        <v>237349</v>
      </c>
      <c r="J237" s="534" t="s">
        <v>28</v>
      </c>
      <c r="K237" s="413">
        <v>7</v>
      </c>
      <c r="L237" s="268">
        <f>30774-20919</f>
        <v>9855</v>
      </c>
      <c r="M237" s="269"/>
      <c r="N237" s="269"/>
      <c r="O237" s="268">
        <f>L237</f>
        <v>9855</v>
      </c>
    </row>
    <row r="238" spans="1:21" ht="29.25">
      <c r="A238" s="575" t="s">
        <v>26</v>
      </c>
      <c r="B238" s="45" t="s">
        <v>811</v>
      </c>
      <c r="C238" s="432" t="s">
        <v>18</v>
      </c>
      <c r="D238" s="45" t="s">
        <v>29</v>
      </c>
      <c r="E238" s="432" t="s">
        <v>814</v>
      </c>
      <c r="F238" s="22" t="s">
        <v>20</v>
      </c>
      <c r="G238" s="22" t="s">
        <v>18</v>
      </c>
      <c r="H238" s="695" t="s">
        <v>1073</v>
      </c>
      <c r="I238" s="22">
        <v>239938</v>
      </c>
      <c r="J238" s="487" t="s">
        <v>28</v>
      </c>
      <c r="K238" s="90">
        <v>11</v>
      </c>
      <c r="L238" s="32">
        <f>20520-13475</f>
        <v>7045</v>
      </c>
      <c r="M238" s="33"/>
      <c r="N238" s="33"/>
      <c r="O238" s="32">
        <f>L238</f>
        <v>7045</v>
      </c>
    </row>
    <row r="239" spans="1:21" ht="30" thickBot="1">
      <c r="A239" s="575" t="s">
        <v>26</v>
      </c>
      <c r="B239" s="50" t="s">
        <v>811</v>
      </c>
      <c r="C239" s="443" t="s">
        <v>18</v>
      </c>
      <c r="D239" s="50" t="s">
        <v>29</v>
      </c>
      <c r="E239" s="432" t="s">
        <v>815</v>
      </c>
      <c r="F239" s="22" t="s">
        <v>20</v>
      </c>
      <c r="G239" s="20" t="s">
        <v>18</v>
      </c>
      <c r="H239" s="771" t="s">
        <v>1074</v>
      </c>
      <c r="I239" s="20">
        <v>239931</v>
      </c>
      <c r="J239" s="1088" t="s">
        <v>28</v>
      </c>
      <c r="K239" s="90">
        <v>7</v>
      </c>
      <c r="L239" s="32">
        <f>12900-8934</f>
        <v>3966</v>
      </c>
      <c r="M239" s="33"/>
      <c r="N239" s="33"/>
      <c r="O239" s="115">
        <f>L239</f>
        <v>3966</v>
      </c>
    </row>
    <row r="240" spans="1:21" ht="33.75" customHeight="1">
      <c r="A240" s="287"/>
      <c r="B240" s="10" t="s">
        <v>22</v>
      </c>
      <c r="C240" s="11" t="s">
        <v>136</v>
      </c>
      <c r="D240" s="12"/>
      <c r="E240" s="54"/>
      <c r="F240" s="54"/>
      <c r="G240" s="1622" t="s">
        <v>1920</v>
      </c>
      <c r="H240" s="87" t="s">
        <v>1075</v>
      </c>
      <c r="I240" s="261"/>
      <c r="J240" s="26"/>
      <c r="L240" s="31"/>
      <c r="M240" s="31"/>
      <c r="N240" s="32" t="s">
        <v>23</v>
      </c>
      <c r="O240" s="556">
        <f>SUM(O237:O239)</f>
        <v>20866</v>
      </c>
    </row>
    <row r="241" spans="1:15" ht="15">
      <c r="A241" s="287"/>
      <c r="B241" s="13"/>
      <c r="C241" s="14" t="s">
        <v>152</v>
      </c>
      <c r="D241" s="15"/>
      <c r="E241" s="54"/>
      <c r="F241" s="54"/>
      <c r="G241" s="1076"/>
      <c r="H241" s="73" t="s">
        <v>816</v>
      </c>
      <c r="I241" s="54"/>
      <c r="J241" s="27"/>
      <c r="L241" s="31"/>
      <c r="M241" s="31"/>
      <c r="N241" s="31"/>
      <c r="O241" s="31"/>
    </row>
    <row r="242" spans="1:15" ht="15.75" thickBot="1">
      <c r="A242" s="287"/>
      <c r="B242" s="13"/>
      <c r="C242" s="43" t="s">
        <v>25</v>
      </c>
      <c r="D242" s="15"/>
      <c r="E242" s="54"/>
      <c r="F242" s="54"/>
      <c r="G242" s="1294"/>
      <c r="H242" s="72" t="s">
        <v>25</v>
      </c>
      <c r="I242" s="226"/>
      <c r="J242" s="28"/>
      <c r="L242" s="31"/>
      <c r="M242" s="31"/>
      <c r="N242" s="31"/>
      <c r="O242" s="31"/>
    </row>
    <row r="243" spans="1:15" ht="15">
      <c r="B243" s="553" t="s">
        <v>160</v>
      </c>
      <c r="C243" s="43" t="s">
        <v>1022</v>
      </c>
      <c r="D243" s="15"/>
      <c r="E243" s="54"/>
      <c r="F243" s="54"/>
      <c r="G243" s="577"/>
      <c r="H243" s="582"/>
      <c r="I243" s="54"/>
      <c r="J243" s="54"/>
    </row>
    <row r="244" spans="1:15" ht="15.75" thickBot="1">
      <c r="A244" s="287"/>
      <c r="B244" s="433" t="s">
        <v>1061</v>
      </c>
      <c r="C244" s="113" t="s">
        <v>1081</v>
      </c>
      <c r="D244" s="18"/>
      <c r="E244" s="54"/>
      <c r="F244" s="54"/>
      <c r="H244" s="73"/>
    </row>
    <row r="245" spans="1:15" ht="15">
      <c r="A245" s="287"/>
      <c r="B245" s="577"/>
      <c r="C245" s="73"/>
      <c r="D245" s="54"/>
      <c r="E245" s="54"/>
      <c r="F245" s="54"/>
    </row>
    <row r="246" spans="1:15" ht="15.75" thickBot="1">
      <c r="A246" s="1"/>
      <c r="B246" s="577"/>
      <c r="C246" s="43"/>
      <c r="D246" s="14"/>
      <c r="L246" s="31"/>
      <c r="M246" s="31"/>
      <c r="N246" s="389"/>
      <c r="O246" s="31"/>
    </row>
    <row r="247" spans="1:15" ht="32.25" customHeight="1">
      <c r="A247" s="1662" t="s">
        <v>6</v>
      </c>
      <c r="B247" s="1656" t="s">
        <v>7</v>
      </c>
      <c r="C247" s="1656" t="s">
        <v>8</v>
      </c>
      <c r="D247" s="1656" t="s">
        <v>9</v>
      </c>
      <c r="E247" s="1656" t="s">
        <v>812</v>
      </c>
      <c r="F247" s="1656" t="s">
        <v>11</v>
      </c>
      <c r="G247" s="1656" t="s">
        <v>12</v>
      </c>
      <c r="H247" s="1656" t="s">
        <v>13</v>
      </c>
      <c r="I247" s="1676" t="s">
        <v>269</v>
      </c>
      <c r="J247" s="1656" t="s">
        <v>59</v>
      </c>
      <c r="K247" s="1719" t="s">
        <v>15</v>
      </c>
      <c r="L247" s="1668" t="s">
        <v>636</v>
      </c>
      <c r="M247" s="1650"/>
      <c r="N247" s="1650"/>
      <c r="O247" s="1669"/>
    </row>
    <row r="248" spans="1:15" ht="32.25" customHeight="1">
      <c r="A248" s="1663"/>
      <c r="B248" s="1657"/>
      <c r="C248" s="1657"/>
      <c r="D248" s="1657"/>
      <c r="E248" s="1657"/>
      <c r="F248" s="1657"/>
      <c r="G248" s="1657"/>
      <c r="H248" s="1657"/>
      <c r="I248" s="1677"/>
      <c r="J248" s="1657"/>
      <c r="K248" s="1720"/>
      <c r="L248" s="1679" t="s">
        <v>637</v>
      </c>
      <c r="M248" s="1654"/>
      <c r="N248" s="1654"/>
      <c r="O248" s="1680"/>
    </row>
    <row r="249" spans="1:15" ht="32.25" customHeight="1" thickBot="1">
      <c r="A249" s="1718"/>
      <c r="B249" s="1658"/>
      <c r="C249" s="1658"/>
      <c r="D249" s="1658"/>
      <c r="E249" s="1658"/>
      <c r="F249" s="1658"/>
      <c r="G249" s="1658"/>
      <c r="H249" s="1658"/>
      <c r="I249" s="1678"/>
      <c r="J249" s="1658"/>
      <c r="K249" s="1721"/>
      <c r="L249" s="571" t="s">
        <v>638</v>
      </c>
      <c r="M249" s="732" t="s">
        <v>639</v>
      </c>
      <c r="N249" s="732" t="s">
        <v>640</v>
      </c>
      <c r="O249" s="733" t="s">
        <v>16</v>
      </c>
    </row>
    <row r="250" spans="1:15" ht="29.25">
      <c r="A250" s="575" t="s">
        <v>26</v>
      </c>
      <c r="B250" s="740" t="s">
        <v>1219</v>
      </c>
      <c r="C250" s="432" t="s">
        <v>18</v>
      </c>
      <c r="D250" s="4" t="s">
        <v>29</v>
      </c>
      <c r="E250" s="4" t="s">
        <v>1147</v>
      </c>
      <c r="F250" s="4" t="s">
        <v>20</v>
      </c>
      <c r="G250" s="4" t="s">
        <v>18</v>
      </c>
      <c r="H250" s="695" t="s">
        <v>1220</v>
      </c>
      <c r="I250" s="4">
        <v>213762</v>
      </c>
      <c r="J250" s="487" t="s">
        <v>28</v>
      </c>
      <c r="K250" s="90">
        <v>11</v>
      </c>
      <c r="L250" s="32">
        <f>19184-14218</f>
        <v>4966</v>
      </c>
      <c r="M250" s="33"/>
      <c r="N250" s="33"/>
      <c r="O250" s="32">
        <f t="shared" ref="O250:O262" si="1">L250</f>
        <v>4966</v>
      </c>
    </row>
    <row r="251" spans="1:15" ht="29.25">
      <c r="A251" s="554" t="s">
        <v>26</v>
      </c>
      <c r="B251" s="23" t="s">
        <v>147</v>
      </c>
      <c r="C251" s="23" t="s">
        <v>18</v>
      </c>
      <c r="D251" s="22" t="s">
        <v>148</v>
      </c>
      <c r="E251" s="22"/>
      <c r="F251" s="22" t="s">
        <v>20</v>
      </c>
      <c r="G251" s="23" t="s">
        <v>18</v>
      </c>
      <c r="H251" s="726" t="s">
        <v>149</v>
      </c>
      <c r="I251" s="22">
        <v>70543162</v>
      </c>
      <c r="J251" s="385" t="s">
        <v>28</v>
      </c>
      <c r="K251" s="111">
        <v>10</v>
      </c>
      <c r="L251" s="65">
        <v>0</v>
      </c>
      <c r="M251" s="279"/>
      <c r="N251" s="283"/>
      <c r="O251" s="32">
        <f t="shared" si="1"/>
        <v>0</v>
      </c>
    </row>
    <row r="252" spans="1:15" ht="33" customHeight="1">
      <c r="A252" s="575" t="s">
        <v>26</v>
      </c>
      <c r="B252" s="646" t="s">
        <v>619</v>
      </c>
      <c r="C252" s="432" t="s">
        <v>18</v>
      </c>
      <c r="D252" s="4" t="s">
        <v>1146</v>
      </c>
      <c r="E252" s="4" t="s">
        <v>1221</v>
      </c>
      <c r="F252" s="4" t="s">
        <v>20</v>
      </c>
      <c r="G252" s="4" t="s">
        <v>18</v>
      </c>
      <c r="H252" s="726" t="s">
        <v>1222</v>
      </c>
      <c r="I252" s="4">
        <v>880172</v>
      </c>
      <c r="J252" s="377" t="s">
        <v>21</v>
      </c>
      <c r="K252" s="90">
        <v>42</v>
      </c>
      <c r="L252" s="32">
        <f>(43390.39-35589.98)*15</f>
        <v>117006.14999999994</v>
      </c>
      <c r="M252" s="33"/>
      <c r="N252" s="33"/>
      <c r="O252" s="32">
        <f t="shared" si="1"/>
        <v>117006.14999999994</v>
      </c>
    </row>
    <row r="253" spans="1:15" ht="40.5" customHeight="1">
      <c r="A253" s="575" t="s">
        <v>26</v>
      </c>
      <c r="B253" s="740" t="s">
        <v>1223</v>
      </c>
      <c r="C253" s="432" t="s">
        <v>18</v>
      </c>
      <c r="D253" s="4" t="s">
        <v>148</v>
      </c>
      <c r="E253" s="4"/>
      <c r="F253" s="4" t="s">
        <v>20</v>
      </c>
      <c r="G253" s="4" t="s">
        <v>18</v>
      </c>
      <c r="H253" s="726" t="s">
        <v>1224</v>
      </c>
      <c r="I253" s="4">
        <v>70653303</v>
      </c>
      <c r="J253" s="487" t="s">
        <v>28</v>
      </c>
      <c r="K253" s="90">
        <v>12</v>
      </c>
      <c r="L253" s="32">
        <f>68869-56052</f>
        <v>12817</v>
      </c>
      <c r="M253" s="33"/>
      <c r="N253" s="33"/>
      <c r="O253" s="32">
        <f t="shared" si="1"/>
        <v>12817</v>
      </c>
    </row>
    <row r="254" spans="1:15" ht="35.25" customHeight="1">
      <c r="A254" s="575" t="s">
        <v>26</v>
      </c>
      <c r="B254" s="377"/>
      <c r="C254" s="432" t="s">
        <v>18</v>
      </c>
      <c r="D254" s="4" t="s">
        <v>516</v>
      </c>
      <c r="E254" s="4">
        <v>27</v>
      </c>
      <c r="F254" s="4" t="s">
        <v>20</v>
      </c>
      <c r="G254" s="4" t="s">
        <v>18</v>
      </c>
      <c r="H254" s="726" t="s">
        <v>1225</v>
      </c>
      <c r="I254" s="4">
        <v>7837251</v>
      </c>
      <c r="J254" s="487" t="s">
        <v>28</v>
      </c>
      <c r="K254" s="90">
        <v>2.2000000000000002</v>
      </c>
      <c r="L254" s="32">
        <f>23856-22479</f>
        <v>1377</v>
      </c>
      <c r="M254" s="33"/>
      <c r="N254" s="33"/>
      <c r="O254" s="32">
        <f t="shared" si="1"/>
        <v>1377</v>
      </c>
    </row>
    <row r="255" spans="1:15" ht="43.5" customHeight="1">
      <c r="A255" s="575" t="s">
        <v>26</v>
      </c>
      <c r="B255" s="740" t="s">
        <v>1144</v>
      </c>
      <c r="C255" s="432" t="s">
        <v>18</v>
      </c>
      <c r="D255" s="4" t="s">
        <v>1226</v>
      </c>
      <c r="E255" s="4">
        <v>11</v>
      </c>
      <c r="F255" s="4" t="s">
        <v>20</v>
      </c>
      <c r="G255" s="4" t="s">
        <v>18</v>
      </c>
      <c r="H255" s="726" t="s">
        <v>1227</v>
      </c>
      <c r="I255" s="4">
        <v>1395736</v>
      </c>
      <c r="J255" s="29" t="s">
        <v>716</v>
      </c>
      <c r="K255" s="90">
        <v>4</v>
      </c>
      <c r="L255" s="32">
        <f>2421-1497</f>
        <v>924</v>
      </c>
      <c r="M255" s="33"/>
      <c r="N255" s="33"/>
      <c r="O255" s="32">
        <f t="shared" si="1"/>
        <v>924</v>
      </c>
    </row>
    <row r="256" spans="1:15" ht="32.25" customHeight="1">
      <c r="A256" s="575" t="s">
        <v>26</v>
      </c>
      <c r="B256" s="377"/>
      <c r="C256" s="432" t="s">
        <v>18</v>
      </c>
      <c r="D256" s="4" t="s">
        <v>297</v>
      </c>
      <c r="E256" s="4">
        <v>75</v>
      </c>
      <c r="F256" s="4" t="s">
        <v>20</v>
      </c>
      <c r="G256" s="4" t="s">
        <v>18</v>
      </c>
      <c r="H256" s="726" t="s">
        <v>1228</v>
      </c>
      <c r="I256" s="4">
        <v>91435772</v>
      </c>
      <c r="J256" s="29" t="s">
        <v>716</v>
      </c>
      <c r="K256" s="90">
        <v>13</v>
      </c>
      <c r="L256" s="32">
        <f>30412-24988</f>
        <v>5424</v>
      </c>
      <c r="M256" s="33"/>
      <c r="N256" s="33"/>
      <c r="O256" s="32">
        <f t="shared" si="1"/>
        <v>5424</v>
      </c>
    </row>
    <row r="257" spans="1:20" ht="35.25" customHeight="1">
      <c r="A257" s="575" t="s">
        <v>26</v>
      </c>
      <c r="B257" s="646" t="s">
        <v>1123</v>
      </c>
      <c r="C257" s="432" t="s">
        <v>18</v>
      </c>
      <c r="D257" s="4" t="s">
        <v>1226</v>
      </c>
      <c r="E257" s="4">
        <v>7</v>
      </c>
      <c r="F257" s="4" t="s">
        <v>20</v>
      </c>
      <c r="G257" s="4" t="s">
        <v>18</v>
      </c>
      <c r="H257" s="726" t="s">
        <v>1229</v>
      </c>
      <c r="I257" s="4">
        <v>25559019</v>
      </c>
      <c r="J257" s="29" t="s">
        <v>716</v>
      </c>
      <c r="K257" s="90">
        <v>3</v>
      </c>
      <c r="L257" s="32">
        <f>24331-19419</f>
        <v>4912</v>
      </c>
      <c r="M257" s="33"/>
      <c r="N257" s="33"/>
      <c r="O257" s="32">
        <f t="shared" si="1"/>
        <v>4912</v>
      </c>
    </row>
    <row r="258" spans="1:20" ht="35.25" customHeight="1">
      <c r="A258" s="575" t="s">
        <v>26</v>
      </c>
      <c r="B258" s="377"/>
      <c r="C258" s="432" t="s">
        <v>18</v>
      </c>
      <c r="D258" s="4" t="s">
        <v>1145</v>
      </c>
      <c r="E258" s="4">
        <v>19</v>
      </c>
      <c r="F258" s="4" t="s">
        <v>20</v>
      </c>
      <c r="G258" s="4" t="s">
        <v>18</v>
      </c>
      <c r="H258" s="726" t="s">
        <v>1230</v>
      </c>
      <c r="I258" s="4">
        <v>1481789</v>
      </c>
      <c r="J258" s="29" t="s">
        <v>716</v>
      </c>
      <c r="K258" s="90">
        <v>10</v>
      </c>
      <c r="L258" s="32">
        <f>2311-1611</f>
        <v>700</v>
      </c>
      <c r="M258" s="33"/>
      <c r="N258" s="33"/>
      <c r="O258" s="32">
        <f t="shared" si="1"/>
        <v>700</v>
      </c>
    </row>
    <row r="259" spans="1:20" ht="33" customHeight="1">
      <c r="A259" s="575" t="s">
        <v>26</v>
      </c>
      <c r="B259" s="377"/>
      <c r="C259" s="432" t="s">
        <v>18</v>
      </c>
      <c r="D259" s="4" t="s">
        <v>54</v>
      </c>
      <c r="E259" s="4">
        <v>191</v>
      </c>
      <c r="F259" s="4" t="s">
        <v>20</v>
      </c>
      <c r="G259" s="4" t="s">
        <v>18</v>
      </c>
      <c r="H259" s="726" t="s">
        <v>1231</v>
      </c>
      <c r="I259" s="4">
        <v>28295472</v>
      </c>
      <c r="J259" s="29" t="s">
        <v>716</v>
      </c>
      <c r="K259" s="90">
        <v>3</v>
      </c>
      <c r="L259" s="32">
        <f>2982-2907</f>
        <v>75</v>
      </c>
      <c r="M259" s="33"/>
      <c r="N259" s="33"/>
      <c r="O259" s="32">
        <f t="shared" si="1"/>
        <v>75</v>
      </c>
    </row>
    <row r="260" spans="1:20" ht="36" customHeight="1">
      <c r="A260" s="575" t="s">
        <v>26</v>
      </c>
      <c r="B260" s="377"/>
      <c r="C260" s="432" t="s">
        <v>18</v>
      </c>
      <c r="D260" s="4" t="s">
        <v>162</v>
      </c>
      <c r="E260" s="4">
        <v>4</v>
      </c>
      <c r="F260" s="4" t="s">
        <v>20</v>
      </c>
      <c r="G260" s="4" t="s">
        <v>18</v>
      </c>
      <c r="H260" s="726" t="s">
        <v>1232</v>
      </c>
      <c r="I260" s="4">
        <v>91435756</v>
      </c>
      <c r="J260" s="29" t="s">
        <v>716</v>
      </c>
      <c r="K260" s="90">
        <v>3</v>
      </c>
      <c r="L260" s="32">
        <v>327</v>
      </c>
      <c r="M260" s="33"/>
      <c r="N260" s="33"/>
      <c r="O260" s="32">
        <f t="shared" si="1"/>
        <v>327</v>
      </c>
    </row>
    <row r="261" spans="1:20" ht="30" customHeight="1">
      <c r="A261" s="575" t="s">
        <v>26</v>
      </c>
      <c r="B261" s="538"/>
      <c r="C261" s="182" t="s">
        <v>18</v>
      </c>
      <c r="D261" s="660" t="s">
        <v>297</v>
      </c>
      <c r="E261" s="182">
        <v>75</v>
      </c>
      <c r="F261" s="182" t="s">
        <v>20</v>
      </c>
      <c r="G261" s="182" t="s">
        <v>18</v>
      </c>
      <c r="H261" s="726" t="s">
        <v>1233</v>
      </c>
      <c r="I261" s="182">
        <v>218245</v>
      </c>
      <c r="J261" s="534" t="s">
        <v>28</v>
      </c>
      <c r="K261" s="413">
        <v>13</v>
      </c>
      <c r="L261" s="268">
        <f>10333-6805</f>
        <v>3528</v>
      </c>
      <c r="M261" s="269"/>
      <c r="N261" s="269"/>
      <c r="O261" s="268">
        <f t="shared" si="1"/>
        <v>3528</v>
      </c>
    </row>
    <row r="262" spans="1:20" ht="36" customHeight="1">
      <c r="A262" s="575" t="s">
        <v>26</v>
      </c>
      <c r="B262" s="377"/>
      <c r="C262" s="432" t="s">
        <v>18</v>
      </c>
      <c r="D262" s="4" t="s">
        <v>516</v>
      </c>
      <c r="E262" s="4">
        <v>27</v>
      </c>
      <c r="F262" s="4" t="s">
        <v>20</v>
      </c>
      <c r="G262" s="4" t="s">
        <v>18</v>
      </c>
      <c r="H262" s="726" t="s">
        <v>1234</v>
      </c>
      <c r="I262" s="4">
        <v>1494761</v>
      </c>
      <c r="J262" s="487" t="s">
        <v>28</v>
      </c>
      <c r="K262" s="90">
        <v>4</v>
      </c>
      <c r="L262" s="32">
        <f>386-218</f>
        <v>168</v>
      </c>
      <c r="M262" s="33"/>
      <c r="N262" s="33"/>
      <c r="O262" s="32">
        <f t="shared" si="1"/>
        <v>168</v>
      </c>
    </row>
    <row r="263" spans="1:20" ht="36" customHeight="1">
      <c r="A263" s="601" t="s">
        <v>26</v>
      </c>
      <c r="B263" s="1060" t="s">
        <v>1236</v>
      </c>
      <c r="C263" s="4" t="s">
        <v>18</v>
      </c>
      <c r="D263" s="1061" t="s">
        <v>1237</v>
      </c>
      <c r="E263" s="4">
        <v>1</v>
      </c>
      <c r="F263" s="4" t="s">
        <v>20</v>
      </c>
      <c r="G263" s="4" t="s">
        <v>18</v>
      </c>
      <c r="H263" s="695" t="s">
        <v>1621</v>
      </c>
      <c r="I263" s="4">
        <v>312666</v>
      </c>
      <c r="J263" s="487" t="s">
        <v>28</v>
      </c>
      <c r="K263" s="90">
        <v>10</v>
      </c>
      <c r="L263" s="32">
        <f>(13511-10178)+199</f>
        <v>3532</v>
      </c>
      <c r="M263" s="33"/>
      <c r="N263" s="33"/>
      <c r="O263" s="32">
        <f>L263</f>
        <v>3532</v>
      </c>
    </row>
    <row r="264" spans="1:20" ht="36" customHeight="1">
      <c r="A264" s="601" t="s">
        <v>26</v>
      </c>
      <c r="B264" s="1060" t="s">
        <v>1238</v>
      </c>
      <c r="C264" s="4" t="s">
        <v>18</v>
      </c>
      <c r="D264" s="1061" t="s">
        <v>1237</v>
      </c>
      <c r="E264" s="4">
        <v>1</v>
      </c>
      <c r="F264" s="4" t="s">
        <v>20</v>
      </c>
      <c r="G264" s="4" t="s">
        <v>18</v>
      </c>
      <c r="H264" s="695" t="s">
        <v>1622</v>
      </c>
      <c r="I264" s="4">
        <v>2670301</v>
      </c>
      <c r="J264" s="487" t="s">
        <v>28</v>
      </c>
      <c r="K264" s="90">
        <v>40</v>
      </c>
      <c r="L264" s="32">
        <f>(622118-547011)+6000</f>
        <v>81107</v>
      </c>
      <c r="M264" s="33"/>
      <c r="N264" s="33"/>
      <c r="O264" s="32">
        <f>L264</f>
        <v>81107</v>
      </c>
    </row>
    <row r="265" spans="1:20" ht="36" customHeight="1" thickBot="1">
      <c r="A265" s="575" t="s">
        <v>26</v>
      </c>
      <c r="B265" s="1069" t="s">
        <v>1239</v>
      </c>
      <c r="C265" s="6" t="s">
        <v>18</v>
      </c>
      <c r="D265" s="1070"/>
      <c r="E265" s="4">
        <v>2</v>
      </c>
      <c r="F265" s="4" t="s">
        <v>20</v>
      </c>
      <c r="G265" s="6" t="s">
        <v>18</v>
      </c>
      <c r="H265" s="771" t="s">
        <v>1623</v>
      </c>
      <c r="I265" s="6">
        <v>70907532</v>
      </c>
      <c r="J265" s="1088" t="s">
        <v>28</v>
      </c>
      <c r="K265" s="90">
        <v>6.6</v>
      </c>
      <c r="L265" s="32">
        <f>(17988-15489)+123</f>
        <v>2622</v>
      </c>
      <c r="M265" s="33"/>
      <c r="N265" s="33"/>
      <c r="O265" s="32">
        <f>L265</f>
        <v>2622</v>
      </c>
    </row>
    <row r="266" spans="1:20" ht="35.25" customHeight="1">
      <c r="A266" s="1"/>
      <c r="B266" s="10" t="s">
        <v>22</v>
      </c>
      <c r="C266" s="11" t="s">
        <v>136</v>
      </c>
      <c r="D266" s="12"/>
      <c r="E266" s="54"/>
      <c r="F266" s="54"/>
      <c r="G266" s="1622" t="s">
        <v>1920</v>
      </c>
      <c r="H266" s="121" t="s">
        <v>1414</v>
      </c>
      <c r="I266" s="261"/>
      <c r="J266" s="26"/>
      <c r="L266" s="31"/>
      <c r="M266" s="31"/>
      <c r="N266" s="268" t="s">
        <v>23</v>
      </c>
      <c r="O266" s="567">
        <f>SUM(O250:O265)</f>
        <v>239485.14999999994</v>
      </c>
    </row>
    <row r="267" spans="1:20" ht="15">
      <c r="A267" s="1"/>
      <c r="B267" s="13"/>
      <c r="C267" s="14" t="s">
        <v>152</v>
      </c>
      <c r="D267" s="15"/>
      <c r="E267" s="54"/>
      <c r="F267" s="54"/>
      <c r="G267" s="1076"/>
      <c r="H267" s="43" t="s">
        <v>1235</v>
      </c>
      <c r="I267" s="54"/>
      <c r="J267" s="27"/>
      <c r="L267" s="31"/>
      <c r="M267" s="31"/>
      <c r="N267" s="389"/>
      <c r="O267" s="31"/>
    </row>
    <row r="268" spans="1:20" ht="15.75" thickBot="1">
      <c r="A268" s="1"/>
      <c r="B268" s="13"/>
      <c r="C268" s="43" t="s">
        <v>25</v>
      </c>
      <c r="D268" s="15"/>
      <c r="E268" s="54"/>
      <c r="F268" s="54"/>
      <c r="G268" s="1294"/>
      <c r="H268" s="113" t="s">
        <v>25</v>
      </c>
      <c r="I268" s="226"/>
      <c r="J268" s="28"/>
      <c r="L268" s="31"/>
      <c r="M268" s="31"/>
      <c r="N268" s="389"/>
      <c r="O268" s="31"/>
    </row>
    <row r="269" spans="1:20" ht="15">
      <c r="A269" s="1"/>
      <c r="B269" s="553" t="s">
        <v>160</v>
      </c>
      <c r="C269" s="43" t="s">
        <v>1022</v>
      </c>
      <c r="D269" s="15"/>
      <c r="E269" s="54"/>
      <c r="F269" s="54"/>
      <c r="G269" s="577"/>
      <c r="H269" s="822"/>
      <c r="I269" s="54"/>
      <c r="J269" s="54"/>
      <c r="L269" s="31"/>
      <c r="M269" s="31"/>
      <c r="N269" s="389"/>
      <c r="O269" s="31"/>
    </row>
    <row r="270" spans="1:20" ht="15.75" thickBot="1">
      <c r="A270" s="1"/>
      <c r="B270" s="433" t="s">
        <v>1061</v>
      </c>
      <c r="C270" s="113" t="s">
        <v>1081</v>
      </c>
      <c r="D270" s="18"/>
      <c r="E270" s="54"/>
      <c r="F270" s="54"/>
      <c r="H270" s="822"/>
      <c r="L270" s="31"/>
      <c r="M270" s="31"/>
      <c r="N270" s="389"/>
      <c r="O270" s="31"/>
    </row>
    <row r="271" spans="1:20" ht="15.75" thickBot="1">
      <c r="A271" s="1"/>
      <c r="B271" s="577"/>
      <c r="C271" s="43"/>
      <c r="D271" s="14"/>
      <c r="E271" s="54"/>
      <c r="F271" s="54"/>
      <c r="H271" s="822"/>
      <c r="L271" s="31"/>
      <c r="M271" s="31"/>
      <c r="N271" s="389"/>
      <c r="O271" s="31"/>
    </row>
    <row r="272" spans="1:20" ht="34.5" customHeight="1">
      <c r="A272" s="1662" t="s">
        <v>6</v>
      </c>
      <c r="B272" s="1656" t="s">
        <v>7</v>
      </c>
      <c r="C272" s="1656" t="s">
        <v>8</v>
      </c>
      <c r="D272" s="1656" t="s">
        <v>9</v>
      </c>
      <c r="E272" s="1656" t="s">
        <v>10</v>
      </c>
      <c r="F272" s="1656" t="s">
        <v>11</v>
      </c>
      <c r="G272" s="1656" t="s">
        <v>12</v>
      </c>
      <c r="H272" s="1656" t="s">
        <v>13</v>
      </c>
      <c r="I272" s="1656" t="s">
        <v>14</v>
      </c>
      <c r="J272" s="1656" t="s">
        <v>59</v>
      </c>
      <c r="K272" s="1659" t="s">
        <v>15</v>
      </c>
      <c r="L272" s="1650" t="s">
        <v>641</v>
      </c>
      <c r="M272" s="1650"/>
      <c r="N272" s="1650"/>
      <c r="O272" s="1650"/>
      <c r="P272" s="1650" t="s">
        <v>642</v>
      </c>
      <c r="Q272" s="1650"/>
      <c r="R272" s="1650"/>
      <c r="S272" s="1650"/>
      <c r="T272" s="1651" t="s">
        <v>1620</v>
      </c>
    </row>
    <row r="273" spans="1:20" ht="34.5" customHeight="1">
      <c r="A273" s="1663"/>
      <c r="B273" s="1657"/>
      <c r="C273" s="1657"/>
      <c r="D273" s="1657"/>
      <c r="E273" s="1657"/>
      <c r="F273" s="1657"/>
      <c r="G273" s="1657"/>
      <c r="H273" s="1657"/>
      <c r="I273" s="1657"/>
      <c r="J273" s="1657"/>
      <c r="K273" s="1660"/>
      <c r="L273" s="1654" t="s">
        <v>638</v>
      </c>
      <c r="M273" s="1654" t="s">
        <v>639</v>
      </c>
      <c r="N273" s="1654" t="s">
        <v>640</v>
      </c>
      <c r="O273" s="1654" t="s">
        <v>643</v>
      </c>
      <c r="P273" s="1654" t="s">
        <v>638</v>
      </c>
      <c r="Q273" s="1654" t="s">
        <v>639</v>
      </c>
      <c r="R273" s="1654" t="s">
        <v>640</v>
      </c>
      <c r="S273" s="1654" t="s">
        <v>643</v>
      </c>
      <c r="T273" s="1652"/>
    </row>
    <row r="274" spans="1:20" ht="34.5" customHeight="1" thickBot="1">
      <c r="A274" s="1664"/>
      <c r="B274" s="1658"/>
      <c r="C274" s="1658"/>
      <c r="D274" s="1658"/>
      <c r="E274" s="1658"/>
      <c r="F274" s="1658"/>
      <c r="G274" s="1658"/>
      <c r="H274" s="1658"/>
      <c r="I274" s="1658"/>
      <c r="J274" s="1658"/>
      <c r="K274" s="1661"/>
      <c r="L274" s="1655"/>
      <c r="M274" s="1655"/>
      <c r="N274" s="1655"/>
      <c r="O274" s="1655"/>
      <c r="P274" s="1655"/>
      <c r="Q274" s="1655"/>
      <c r="R274" s="1655"/>
      <c r="S274" s="1655"/>
      <c r="T274" s="1653"/>
    </row>
    <row r="275" spans="1:20" ht="30" thickBot="1">
      <c r="A275" s="554" t="s">
        <v>17</v>
      </c>
      <c r="B275" s="9" t="s">
        <v>104</v>
      </c>
      <c r="C275" s="9" t="s">
        <v>18</v>
      </c>
      <c r="D275" s="9" t="s">
        <v>31</v>
      </c>
      <c r="E275" s="3">
        <v>11</v>
      </c>
      <c r="F275" s="3" t="s">
        <v>20</v>
      </c>
      <c r="G275" s="3" t="s">
        <v>18</v>
      </c>
      <c r="H275" s="726" t="s">
        <v>105</v>
      </c>
      <c r="I275" s="1092">
        <v>54100191</v>
      </c>
      <c r="J275" s="379" t="s">
        <v>21</v>
      </c>
      <c r="K275" s="89">
        <v>55</v>
      </c>
      <c r="L275" s="76">
        <v>110000</v>
      </c>
      <c r="M275" s="33"/>
      <c r="N275" s="94"/>
      <c r="O275" s="34">
        <f>L275</f>
        <v>110000</v>
      </c>
      <c r="P275" s="268">
        <f>L275</f>
        <v>110000</v>
      </c>
      <c r="Q275" s="269"/>
      <c r="R275" s="482"/>
      <c r="S275" s="1480">
        <f>P275</f>
        <v>110000</v>
      </c>
      <c r="T275" s="337" t="s">
        <v>1783</v>
      </c>
    </row>
    <row r="276" spans="1:20" ht="39.75" customHeight="1">
      <c r="A276" s="1290"/>
      <c r="B276" s="10" t="s">
        <v>22</v>
      </c>
      <c r="C276" s="11" t="s">
        <v>136</v>
      </c>
      <c r="D276" s="12"/>
      <c r="E276" s="53"/>
      <c r="F276" s="53"/>
      <c r="G276" s="1622" t="s">
        <v>1920</v>
      </c>
      <c r="H276" s="1075" t="s">
        <v>106</v>
      </c>
      <c r="J276" s="53"/>
      <c r="K276" s="53">
        <v>172</v>
      </c>
      <c r="L276" s="92"/>
      <c r="M276" s="31"/>
      <c r="R276" s="34" t="s">
        <v>23</v>
      </c>
      <c r="S276" s="556">
        <f>S275</f>
        <v>110000</v>
      </c>
    </row>
    <row r="277" spans="1:20" ht="15">
      <c r="A277" s="1290"/>
      <c r="B277" s="13"/>
      <c r="C277" s="14" t="s">
        <v>152</v>
      </c>
      <c r="D277" s="15"/>
      <c r="E277" s="82"/>
      <c r="F277" s="53"/>
      <c r="G277" s="1076"/>
      <c r="H277" s="1078" t="s">
        <v>107</v>
      </c>
      <c r="I277" s="53"/>
      <c r="J277" s="53"/>
      <c r="L277" s="83"/>
      <c r="M277" s="31"/>
      <c r="N277" s="59"/>
      <c r="O277" s="59"/>
    </row>
    <row r="278" spans="1:20" ht="15">
      <c r="A278" s="1290"/>
      <c r="B278" s="13"/>
      <c r="C278" s="43" t="s">
        <v>25</v>
      </c>
      <c r="D278" s="15"/>
      <c r="E278" s="53"/>
      <c r="F278" s="53"/>
      <c r="G278" s="1076"/>
      <c r="H278" s="1078" t="s">
        <v>108</v>
      </c>
      <c r="I278" s="53"/>
      <c r="J278" s="53"/>
      <c r="K278" s="53"/>
      <c r="L278" s="83"/>
      <c r="M278" s="31"/>
      <c r="N278" s="59"/>
      <c r="O278" s="59"/>
    </row>
    <row r="279" spans="1:20" ht="15">
      <c r="A279" s="1290"/>
      <c r="B279" s="553" t="s">
        <v>160</v>
      </c>
      <c r="C279" s="43" t="s">
        <v>1022</v>
      </c>
      <c r="D279" s="15"/>
      <c r="E279" s="53"/>
      <c r="F279" s="53"/>
      <c r="G279" s="185"/>
      <c r="H279" s="1078" t="s">
        <v>25</v>
      </c>
      <c r="I279" s="53"/>
      <c r="J279" s="53"/>
      <c r="K279" s="53"/>
      <c r="L279" s="83"/>
      <c r="M279" s="31"/>
      <c r="N279" s="59"/>
      <c r="O279" s="59"/>
    </row>
    <row r="280" spans="1:20" ht="15.75" thickBot="1">
      <c r="A280" s="1290"/>
      <c r="B280" s="433" t="s">
        <v>1061</v>
      </c>
      <c r="C280" s="113" t="s">
        <v>1081</v>
      </c>
      <c r="D280" s="18"/>
      <c r="G280" s="433" t="s">
        <v>160</v>
      </c>
      <c r="H280" s="1079" t="s">
        <v>1020</v>
      </c>
      <c r="L280" s="31"/>
      <c r="M280" s="31"/>
      <c r="N280" s="59"/>
      <c r="O280" s="59"/>
    </row>
    <row r="281" spans="1:20" ht="15.75" thickBot="1">
      <c r="A281" s="1290"/>
      <c r="B281" s="577"/>
      <c r="C281" s="43"/>
      <c r="D281" s="14"/>
      <c r="G281" s="577"/>
      <c r="H281" s="73"/>
      <c r="L281" s="31"/>
      <c r="M281" s="31"/>
      <c r="N281" s="59"/>
      <c r="O281" s="59"/>
    </row>
    <row r="282" spans="1:20" ht="33" customHeight="1">
      <c r="A282" s="1662" t="s">
        <v>6</v>
      </c>
      <c r="B282" s="1656" t="s">
        <v>7</v>
      </c>
      <c r="C282" s="1656" t="s">
        <v>8</v>
      </c>
      <c r="D282" s="1656" t="s">
        <v>9</v>
      </c>
      <c r="E282" s="1656" t="s">
        <v>10</v>
      </c>
      <c r="F282" s="1656" t="s">
        <v>11</v>
      </c>
      <c r="G282" s="1656" t="s">
        <v>12</v>
      </c>
      <c r="H282" s="1656" t="s">
        <v>1889</v>
      </c>
      <c r="I282" s="1656" t="s">
        <v>269</v>
      </c>
      <c r="J282" s="1656" t="s">
        <v>59</v>
      </c>
      <c r="K282" s="1659" t="s">
        <v>15</v>
      </c>
      <c r="L282" s="1650" t="s">
        <v>641</v>
      </c>
      <c r="M282" s="1650"/>
      <c r="N282" s="1650"/>
      <c r="O282" s="1650"/>
      <c r="P282" s="1650" t="s">
        <v>642</v>
      </c>
      <c r="Q282" s="1650"/>
      <c r="R282" s="1650"/>
      <c r="S282" s="1650"/>
      <c r="T282" s="1651" t="s">
        <v>1620</v>
      </c>
    </row>
    <row r="283" spans="1:20" ht="33" customHeight="1">
      <c r="A283" s="1663"/>
      <c r="B283" s="1657"/>
      <c r="C283" s="1657"/>
      <c r="D283" s="1657"/>
      <c r="E283" s="1657"/>
      <c r="F283" s="1657"/>
      <c r="G283" s="1657"/>
      <c r="H283" s="1657"/>
      <c r="I283" s="1657"/>
      <c r="J283" s="1657"/>
      <c r="K283" s="1660"/>
      <c r="L283" s="1654" t="s">
        <v>638</v>
      </c>
      <c r="M283" s="1654" t="s">
        <v>639</v>
      </c>
      <c r="N283" s="1654" t="s">
        <v>640</v>
      </c>
      <c r="O283" s="1654" t="s">
        <v>643</v>
      </c>
      <c r="P283" s="1654" t="s">
        <v>638</v>
      </c>
      <c r="Q283" s="1654" t="s">
        <v>639</v>
      </c>
      <c r="R283" s="1654" t="s">
        <v>640</v>
      </c>
      <c r="S283" s="1654" t="s">
        <v>643</v>
      </c>
      <c r="T283" s="1652"/>
    </row>
    <row r="284" spans="1:20" ht="33" customHeight="1" thickBot="1">
      <c r="A284" s="1664"/>
      <c r="B284" s="1658"/>
      <c r="C284" s="1658"/>
      <c r="D284" s="1658"/>
      <c r="E284" s="1658"/>
      <c r="F284" s="1658"/>
      <c r="G284" s="1658"/>
      <c r="H284" s="1658"/>
      <c r="I284" s="1658"/>
      <c r="J284" s="1658"/>
      <c r="K284" s="1661"/>
      <c r="L284" s="1655"/>
      <c r="M284" s="1655"/>
      <c r="N284" s="1655"/>
      <c r="O284" s="1655"/>
      <c r="P284" s="1655"/>
      <c r="Q284" s="1655"/>
      <c r="R284" s="1655"/>
      <c r="S284" s="1655"/>
      <c r="T284" s="1653"/>
    </row>
    <row r="285" spans="1:20" ht="29.25">
      <c r="A285" s="554" t="s">
        <v>17</v>
      </c>
      <c r="B285" s="9" t="s">
        <v>1144</v>
      </c>
      <c r="C285" s="9" t="s">
        <v>18</v>
      </c>
      <c r="D285" s="9" t="s">
        <v>54</v>
      </c>
      <c r="E285" s="3">
        <v>183</v>
      </c>
      <c r="F285" s="3" t="s">
        <v>20</v>
      </c>
      <c r="G285" s="3" t="s">
        <v>18</v>
      </c>
      <c r="H285" s="726">
        <v>51025132</v>
      </c>
      <c r="I285" s="1092"/>
      <c r="J285" s="662" t="s">
        <v>716</v>
      </c>
      <c r="K285" s="89">
        <v>1</v>
      </c>
      <c r="L285" s="76">
        <v>500</v>
      </c>
      <c r="M285" s="33"/>
      <c r="N285" s="94"/>
      <c r="O285" s="34">
        <f>L285</f>
        <v>500</v>
      </c>
      <c r="P285" s="268">
        <f>L285</f>
        <v>500</v>
      </c>
      <c r="Q285" s="269"/>
      <c r="R285" s="482"/>
      <c r="S285" s="1480">
        <f>P285</f>
        <v>500</v>
      </c>
      <c r="T285" s="337" t="s">
        <v>1783</v>
      </c>
    </row>
    <row r="286" spans="1:20" ht="30" thickBot="1">
      <c r="A286" s="554" t="s">
        <v>17</v>
      </c>
      <c r="B286" s="9" t="s">
        <v>334</v>
      </c>
      <c r="C286" s="432" t="s">
        <v>18</v>
      </c>
      <c r="D286" s="4" t="s">
        <v>318</v>
      </c>
      <c r="E286" s="4">
        <v>2</v>
      </c>
      <c r="F286" s="4" t="s">
        <v>20</v>
      </c>
      <c r="G286" s="4" t="s">
        <v>18</v>
      </c>
      <c r="H286" s="726">
        <v>51277004</v>
      </c>
      <c r="I286" s="4">
        <v>83953391</v>
      </c>
      <c r="J286" s="29" t="s">
        <v>716</v>
      </c>
      <c r="K286" s="90">
        <v>1</v>
      </c>
      <c r="L286" s="32">
        <v>500</v>
      </c>
      <c r="M286" s="33"/>
      <c r="N286" s="33"/>
      <c r="O286" s="32">
        <f>L286</f>
        <v>500</v>
      </c>
      <c r="P286" s="32">
        <f>O286</f>
        <v>500</v>
      </c>
      <c r="Q286" s="33"/>
      <c r="R286" s="33"/>
      <c r="S286" s="32">
        <f>P286</f>
        <v>500</v>
      </c>
      <c r="T286" s="337" t="s">
        <v>1783</v>
      </c>
    </row>
    <row r="287" spans="1:20" ht="38.25" customHeight="1">
      <c r="A287" s="1290"/>
      <c r="B287" s="10" t="s">
        <v>22</v>
      </c>
      <c r="C287" s="11" t="s">
        <v>136</v>
      </c>
      <c r="D287" s="12"/>
      <c r="E287" s="54"/>
      <c r="F287" s="54"/>
      <c r="G287" s="1622" t="s">
        <v>1920</v>
      </c>
      <c r="H287" s="121" t="s">
        <v>1414</v>
      </c>
      <c r="I287" s="261"/>
      <c r="J287" s="26"/>
      <c r="L287" s="31"/>
      <c r="M287" s="31"/>
      <c r="N287" s="59"/>
      <c r="O287" s="59"/>
      <c r="R287" s="34" t="s">
        <v>23</v>
      </c>
      <c r="S287" s="556">
        <f>SUM(S285:S286)</f>
        <v>1000</v>
      </c>
    </row>
    <row r="288" spans="1:20" ht="15">
      <c r="A288" s="1290"/>
      <c r="B288" s="13"/>
      <c r="C288" s="14" t="s">
        <v>152</v>
      </c>
      <c r="D288" s="15"/>
      <c r="E288" s="54"/>
      <c r="F288" s="54"/>
      <c r="G288" s="1076"/>
      <c r="H288" s="43" t="s">
        <v>1235</v>
      </c>
      <c r="I288" s="54"/>
      <c r="J288" s="27"/>
      <c r="L288" s="31"/>
      <c r="M288" s="31"/>
      <c r="N288" s="59"/>
      <c r="O288" s="59"/>
    </row>
    <row r="289" spans="1:15" ht="15.75" thickBot="1">
      <c r="A289" s="1290"/>
      <c r="B289" s="13"/>
      <c r="C289" s="43" t="s">
        <v>25</v>
      </c>
      <c r="D289" s="15"/>
      <c r="E289" s="54"/>
      <c r="F289" s="54"/>
      <c r="G289" s="1294"/>
      <c r="H289" s="113" t="s">
        <v>25</v>
      </c>
      <c r="I289" s="226"/>
      <c r="J289" s="28"/>
      <c r="L289" s="31"/>
      <c r="M289" s="31"/>
      <c r="N289" s="59"/>
      <c r="O289" s="59"/>
    </row>
    <row r="290" spans="1:15" ht="15.75" thickBot="1">
      <c r="A290" s="1290"/>
      <c r="B290" s="433" t="s">
        <v>160</v>
      </c>
      <c r="C290" s="113" t="s">
        <v>1022</v>
      </c>
      <c r="D290" s="18"/>
      <c r="E290" s="54"/>
      <c r="F290" s="54"/>
      <c r="G290" s="577"/>
      <c r="H290" s="822"/>
      <c r="I290" s="54"/>
      <c r="J290" s="54"/>
      <c r="L290" s="31"/>
      <c r="M290" s="31"/>
      <c r="N290" s="59"/>
      <c r="O290" s="59"/>
    </row>
    <row r="291" spans="1:15" ht="15">
      <c r="A291" s="1290"/>
      <c r="B291" s="577"/>
      <c r="C291" s="43"/>
      <c r="D291" s="14"/>
      <c r="G291" s="577"/>
      <c r="H291" s="73"/>
      <c r="L291" s="31"/>
      <c r="M291" s="31"/>
      <c r="N291" s="59"/>
      <c r="O291" s="59"/>
    </row>
    <row r="292" spans="1:15" ht="21" customHeight="1">
      <c r="A292" s="1"/>
      <c r="B292" s="577"/>
      <c r="C292" s="43"/>
      <c r="D292" s="14"/>
      <c r="E292" s="14"/>
      <c r="F292" s="54"/>
      <c r="L292" s="31"/>
      <c r="M292" s="123" t="s">
        <v>62</v>
      </c>
      <c r="N292" s="389">
        <f>O25+O38+O49+O60+O72+O83+O94+O105+O116+O127+O140+O153+O165+O178+O188+O203+O218+O228+O240+O266+S276+S287</f>
        <v>3161314.35</v>
      </c>
    </row>
    <row r="293" spans="1:15" ht="15.75" thickBot="1">
      <c r="A293" s="1"/>
      <c r="B293" s="577"/>
      <c r="C293" s="43"/>
      <c r="D293" s="14"/>
      <c r="L293" s="31"/>
      <c r="M293" s="31"/>
      <c r="N293" s="389"/>
      <c r="O293" s="31"/>
    </row>
    <row r="294" spans="1:15" ht="46.5" customHeight="1">
      <c r="K294" s="1706" t="s">
        <v>59</v>
      </c>
      <c r="L294" s="1708" t="s">
        <v>644</v>
      </c>
      <c r="M294" s="1709"/>
      <c r="N294" s="1710"/>
      <c r="O294" s="1711" t="s">
        <v>60</v>
      </c>
    </row>
    <row r="295" spans="1:15" ht="21.75" customHeight="1" thickBot="1">
      <c r="K295" s="1707"/>
      <c r="L295" s="274" t="s">
        <v>61</v>
      </c>
      <c r="M295" s="274" t="s">
        <v>639</v>
      </c>
      <c r="N295" s="274" t="s">
        <v>640</v>
      </c>
      <c r="O295" s="1712"/>
    </row>
    <row r="296" spans="1:15" ht="19.5" customHeight="1">
      <c r="K296" s="182" t="s">
        <v>28</v>
      </c>
      <c r="L296" s="268">
        <f>O70+O82+O93+O138+O175+O176+O197+O198+O199+O200+O237+O238+O239+O250+O251+O253+O254+O261+O262+O213+O214+O215+O216+O263+O264+O201+O265</f>
        <v>223096.6</v>
      </c>
      <c r="M296" s="269"/>
      <c r="N296" s="269"/>
      <c r="O296" s="182">
        <v>27</v>
      </c>
    </row>
    <row r="297" spans="1:15" ht="19.5" customHeight="1">
      <c r="A297" s="287"/>
      <c r="K297" s="182" t="s">
        <v>716</v>
      </c>
      <c r="L297" s="268">
        <f>O255+O256+O257+O258+O259+O260+S285+S286</f>
        <v>13362</v>
      </c>
      <c r="M297" s="269"/>
      <c r="N297" s="269"/>
      <c r="O297" s="182">
        <v>8</v>
      </c>
    </row>
    <row r="298" spans="1:15" ht="19.5" customHeight="1">
      <c r="K298" s="4" t="s">
        <v>21</v>
      </c>
      <c r="L298" s="32">
        <f>O35+O48+O71+O139+O104+O115+O227+O126+O137+O150+O152+O163+O164+O187+O252+O24+S275</f>
        <v>1311706.3499999999</v>
      </c>
      <c r="M298" s="33"/>
      <c r="N298" s="33"/>
      <c r="O298" s="4">
        <v>17</v>
      </c>
    </row>
    <row r="299" spans="1:15" ht="19.5" customHeight="1">
      <c r="K299" s="4" t="s">
        <v>65</v>
      </c>
      <c r="L299" s="33"/>
      <c r="M299" s="32">
        <f>M202+M18+M23+M36+M37+M151+M177</f>
        <v>20413</v>
      </c>
      <c r="N299" s="32">
        <f>N202+N18+N23+N36+N37+N151+N177</f>
        <v>53602</v>
      </c>
      <c r="O299" s="4">
        <v>7</v>
      </c>
    </row>
    <row r="300" spans="1:15" ht="19.5" customHeight="1">
      <c r="K300" s="4" t="s">
        <v>70</v>
      </c>
      <c r="L300" s="33"/>
      <c r="M300" s="32">
        <f>M19+M20+M21+M22+M59</f>
        <v>466415.70000000007</v>
      </c>
      <c r="N300" s="32">
        <f>N19+N20+N21+N22+N59</f>
        <v>1067534.7000000002</v>
      </c>
      <c r="O300" s="4">
        <v>5</v>
      </c>
    </row>
    <row r="301" spans="1:15" ht="19.5" customHeight="1" thickBot="1">
      <c r="K301" s="4" t="s">
        <v>151</v>
      </c>
      <c r="L301" s="277">
        <f>O217</f>
        <v>5184</v>
      </c>
      <c r="M301" s="37"/>
      <c r="N301" s="37"/>
      <c r="O301" s="6">
        <v>1</v>
      </c>
    </row>
    <row r="302" spans="1:15" ht="29.25" thickBot="1">
      <c r="K302" s="275" t="s">
        <v>153</v>
      </c>
      <c r="L302" s="276">
        <f>SUM(L296:L301)</f>
        <v>1553348.95</v>
      </c>
      <c r="M302" s="116">
        <f>SUM(M296:M301)</f>
        <v>486828.70000000007</v>
      </c>
      <c r="N302" s="122">
        <f>SUM(N296:N301)</f>
        <v>1121136.7000000002</v>
      </c>
      <c r="O302" s="663">
        <f>SUM(O296:O301)</f>
        <v>65</v>
      </c>
    </row>
    <row r="303" spans="1:15" ht="18.75" thickBot="1">
      <c r="L303" s="123" t="s">
        <v>62</v>
      </c>
      <c r="M303" s="659">
        <f>SUM(L302:N302)</f>
        <v>3161314.35</v>
      </c>
      <c r="N303" s="31"/>
    </row>
  </sheetData>
  <mergeCells count="313">
    <mergeCell ref="J247:J249"/>
    <mergeCell ref="K247:K249"/>
    <mergeCell ref="L247:O247"/>
    <mergeCell ref="L248:O248"/>
    <mergeCell ref="A247:A249"/>
    <mergeCell ref="B247:B249"/>
    <mergeCell ref="C247:C249"/>
    <mergeCell ref="D247:D249"/>
    <mergeCell ref="E247:E249"/>
    <mergeCell ref="F247:F249"/>
    <mergeCell ref="G247:G249"/>
    <mergeCell ref="H247:H249"/>
    <mergeCell ref="I247:I249"/>
    <mergeCell ref="G210:G212"/>
    <mergeCell ref="H210:H212"/>
    <mergeCell ref="I210:I212"/>
    <mergeCell ref="J210:J212"/>
    <mergeCell ref="K210:K212"/>
    <mergeCell ref="L211:L212"/>
    <mergeCell ref="M211:M212"/>
    <mergeCell ref="N211:N212"/>
    <mergeCell ref="O211:O212"/>
    <mergeCell ref="A234:A236"/>
    <mergeCell ref="B234:B236"/>
    <mergeCell ref="C234:C236"/>
    <mergeCell ref="D234:D236"/>
    <mergeCell ref="E234:E236"/>
    <mergeCell ref="F234:F236"/>
    <mergeCell ref="L235:O235"/>
    <mergeCell ref="G194:G196"/>
    <mergeCell ref="H194:H196"/>
    <mergeCell ref="K234:K236"/>
    <mergeCell ref="L234:O234"/>
    <mergeCell ref="I194:I196"/>
    <mergeCell ref="L210:O210"/>
    <mergeCell ref="L194:O194"/>
    <mergeCell ref="J194:J196"/>
    <mergeCell ref="G234:G236"/>
    <mergeCell ref="H234:H236"/>
    <mergeCell ref="I234:I236"/>
    <mergeCell ref="J234:J236"/>
    <mergeCell ref="G224:G226"/>
    <mergeCell ref="H224:H226"/>
    <mergeCell ref="I224:I226"/>
    <mergeCell ref="J224:J226"/>
    <mergeCell ref="F210:F212"/>
    <mergeCell ref="L184:O184"/>
    <mergeCell ref="L185:O185"/>
    <mergeCell ref="A194:A196"/>
    <mergeCell ref="B194:B196"/>
    <mergeCell ref="C194:C196"/>
    <mergeCell ref="D194:D196"/>
    <mergeCell ref="E194:E196"/>
    <mergeCell ref="F194:F196"/>
    <mergeCell ref="G184:G186"/>
    <mergeCell ref="H184:H186"/>
    <mergeCell ref="G172:G174"/>
    <mergeCell ref="H172:H174"/>
    <mergeCell ref="I172:I174"/>
    <mergeCell ref="I184:I186"/>
    <mergeCell ref="K194:K196"/>
    <mergeCell ref="J184:J186"/>
    <mergeCell ref="K184:K186"/>
    <mergeCell ref="A184:A186"/>
    <mergeCell ref="B184:B186"/>
    <mergeCell ref="C184:C186"/>
    <mergeCell ref="D184:D186"/>
    <mergeCell ref="E184:E186"/>
    <mergeCell ref="F184:F186"/>
    <mergeCell ref="D172:D174"/>
    <mergeCell ref="E172:E174"/>
    <mergeCell ref="F172:F174"/>
    <mergeCell ref="A172:A174"/>
    <mergeCell ref="B172:B174"/>
    <mergeCell ref="C172:C174"/>
    <mergeCell ref="A147:A149"/>
    <mergeCell ref="B147:B149"/>
    <mergeCell ref="C147:C149"/>
    <mergeCell ref="F134:F136"/>
    <mergeCell ref="G147:G149"/>
    <mergeCell ref="H147:H149"/>
    <mergeCell ref="C160:C162"/>
    <mergeCell ref="D160:D162"/>
    <mergeCell ref="E147:E149"/>
    <mergeCell ref="D134:D136"/>
    <mergeCell ref="D147:D149"/>
    <mergeCell ref="F147:F149"/>
    <mergeCell ref="A160:A162"/>
    <mergeCell ref="E160:E162"/>
    <mergeCell ref="F160:F162"/>
    <mergeCell ref="B160:B162"/>
    <mergeCell ref="A112:A114"/>
    <mergeCell ref="A123:A125"/>
    <mergeCell ref="B123:B125"/>
    <mergeCell ref="J134:J136"/>
    <mergeCell ref="E134:E136"/>
    <mergeCell ref="I134:I136"/>
    <mergeCell ref="B112:B114"/>
    <mergeCell ref="C112:C114"/>
    <mergeCell ref="D112:D114"/>
    <mergeCell ref="A134:A136"/>
    <mergeCell ref="B134:B136"/>
    <mergeCell ref="C134:C136"/>
    <mergeCell ref="H134:H136"/>
    <mergeCell ref="A210:A212"/>
    <mergeCell ref="B210:B212"/>
    <mergeCell ref="C210:C212"/>
    <mergeCell ref="D210:D212"/>
    <mergeCell ref="E210:E212"/>
    <mergeCell ref="A67:A69"/>
    <mergeCell ref="B67:B69"/>
    <mergeCell ref="C67:C69"/>
    <mergeCell ref="D67:D69"/>
    <mergeCell ref="E67:E69"/>
    <mergeCell ref="A79:A81"/>
    <mergeCell ref="B79:B81"/>
    <mergeCell ref="C79:C81"/>
    <mergeCell ref="D79:D81"/>
    <mergeCell ref="E79:E81"/>
    <mergeCell ref="A90:A92"/>
    <mergeCell ref="B90:B92"/>
    <mergeCell ref="C90:C92"/>
    <mergeCell ref="D90:D92"/>
    <mergeCell ref="E90:E92"/>
    <mergeCell ref="A101:A103"/>
    <mergeCell ref="B101:B103"/>
    <mergeCell ref="C101:C103"/>
    <mergeCell ref="D101:D103"/>
    <mergeCell ref="A15:A17"/>
    <mergeCell ref="B15:B17"/>
    <mergeCell ref="C15:C17"/>
    <mergeCell ref="D15:D17"/>
    <mergeCell ref="G15:G17"/>
    <mergeCell ref="E15:E17"/>
    <mergeCell ref="F15:F17"/>
    <mergeCell ref="A32:A34"/>
    <mergeCell ref="F32:F34"/>
    <mergeCell ref="A56:A58"/>
    <mergeCell ref="A45:A47"/>
    <mergeCell ref="L135:O135"/>
    <mergeCell ref="C123:C125"/>
    <mergeCell ref="D123:D125"/>
    <mergeCell ref="I123:I125"/>
    <mergeCell ref="L101:O101"/>
    <mergeCell ref="L15:O15"/>
    <mergeCell ref="L16:O16"/>
    <mergeCell ref="L134:O134"/>
    <mergeCell ref="L46:O46"/>
    <mergeCell ref="J32:J34"/>
    <mergeCell ref="L123:O123"/>
    <mergeCell ref="K90:K92"/>
    <mergeCell ref="L90:O90"/>
    <mergeCell ref="K67:K69"/>
    <mergeCell ref="L67:O67"/>
    <mergeCell ref="L68:O68"/>
    <mergeCell ref="L56:O56"/>
    <mergeCell ref="J67:J69"/>
    <mergeCell ref="L79:O79"/>
    <mergeCell ref="G56:G58"/>
    <mergeCell ref="H56:H58"/>
    <mergeCell ref="G67:G69"/>
    <mergeCell ref="K294:K295"/>
    <mergeCell ref="L294:N294"/>
    <mergeCell ref="O294:O295"/>
    <mergeCell ref="L148:O148"/>
    <mergeCell ref="L173:O173"/>
    <mergeCell ref="L91:O91"/>
    <mergeCell ref="L160:O160"/>
    <mergeCell ref="L80:O80"/>
    <mergeCell ref="E123:E125"/>
    <mergeCell ref="F123:F125"/>
    <mergeCell ref="H123:H125"/>
    <mergeCell ref="G123:G125"/>
    <mergeCell ref="K123:K125"/>
    <mergeCell ref="G90:G92"/>
    <mergeCell ref="H101:H103"/>
    <mergeCell ref="E112:E114"/>
    <mergeCell ref="F112:F114"/>
    <mergeCell ref="H112:H114"/>
    <mergeCell ref="G160:G162"/>
    <mergeCell ref="K172:K174"/>
    <mergeCell ref="J172:J174"/>
    <mergeCell ref="H79:H81"/>
    <mergeCell ref="H90:H92"/>
    <mergeCell ref="J90:J92"/>
    <mergeCell ref="L195:O195"/>
    <mergeCell ref="L161:O161"/>
    <mergeCell ref="L32:O32"/>
    <mergeCell ref="K32:K34"/>
    <mergeCell ref="I147:I149"/>
    <mergeCell ref="J147:J149"/>
    <mergeCell ref="I32:I34"/>
    <mergeCell ref="K134:K136"/>
    <mergeCell ref="L45:O45"/>
    <mergeCell ref="L147:O147"/>
    <mergeCell ref="K79:K81"/>
    <mergeCell ref="L57:O57"/>
    <mergeCell ref="I67:I69"/>
    <mergeCell ref="K45:K47"/>
    <mergeCell ref="I56:I58"/>
    <mergeCell ref="J56:J58"/>
    <mergeCell ref="K56:K58"/>
    <mergeCell ref="J101:J103"/>
    <mergeCell ref="K101:K103"/>
    <mergeCell ref="I90:I92"/>
    <mergeCell ref="I45:I47"/>
    <mergeCell ref="J45:J47"/>
    <mergeCell ref="L113:O113"/>
    <mergeCell ref="L172:O172"/>
    <mergeCell ref="L124:O124"/>
    <mergeCell ref="J123:J125"/>
    <mergeCell ref="K160:K162"/>
    <mergeCell ref="G112:G114"/>
    <mergeCell ref="G134:G136"/>
    <mergeCell ref="K147:K149"/>
    <mergeCell ref="I160:I162"/>
    <mergeCell ref="H160:H162"/>
    <mergeCell ref="I112:I114"/>
    <mergeCell ref="J160:J162"/>
    <mergeCell ref="B1:I1"/>
    <mergeCell ref="G32:G34"/>
    <mergeCell ref="B32:B34"/>
    <mergeCell ref="E32:E34"/>
    <mergeCell ref="C32:C34"/>
    <mergeCell ref="G101:G103"/>
    <mergeCell ref="I101:I103"/>
    <mergeCell ref="I79:I81"/>
    <mergeCell ref="G79:G81"/>
    <mergeCell ref="H32:H34"/>
    <mergeCell ref="H67:H69"/>
    <mergeCell ref="H15:H17"/>
    <mergeCell ref="I15:I17"/>
    <mergeCell ref="B56:B58"/>
    <mergeCell ref="C56:C58"/>
    <mergeCell ref="D56:D58"/>
    <mergeCell ref="E56:E58"/>
    <mergeCell ref="F56:F58"/>
    <mergeCell ref="F67:F69"/>
    <mergeCell ref="E45:E47"/>
    <mergeCell ref="H45:H47"/>
    <mergeCell ref="F45:F47"/>
    <mergeCell ref="B45:B47"/>
    <mergeCell ref="C45:C47"/>
    <mergeCell ref="D32:D34"/>
    <mergeCell ref="B3:I3"/>
    <mergeCell ref="B5:I5"/>
    <mergeCell ref="L33:O33"/>
    <mergeCell ref="J112:J114"/>
    <mergeCell ref="K112:K114"/>
    <mergeCell ref="L112:O112"/>
    <mergeCell ref="L102:O102"/>
    <mergeCell ref="J15:J17"/>
    <mergeCell ref="J79:J81"/>
    <mergeCell ref="K15:K17"/>
    <mergeCell ref="D45:D47"/>
    <mergeCell ref="G45:G47"/>
    <mergeCell ref="F79:F81"/>
    <mergeCell ref="F90:F92"/>
    <mergeCell ref="E101:E103"/>
    <mergeCell ref="F101:F103"/>
    <mergeCell ref="K224:K226"/>
    <mergeCell ref="L224:O224"/>
    <mergeCell ref="A224:A226"/>
    <mergeCell ref="B224:B226"/>
    <mergeCell ref="C224:C226"/>
    <mergeCell ref="D224:D226"/>
    <mergeCell ref="E224:E226"/>
    <mergeCell ref="F224:F226"/>
    <mergeCell ref="L225:O225"/>
    <mergeCell ref="G272:G274"/>
    <mergeCell ref="H272:H274"/>
    <mergeCell ref="I272:I274"/>
    <mergeCell ref="J272:J274"/>
    <mergeCell ref="K272:K274"/>
    <mergeCell ref="L272:O272"/>
    <mergeCell ref="A272:A274"/>
    <mergeCell ref="B272:B274"/>
    <mergeCell ref="C272:C274"/>
    <mergeCell ref="D272:D274"/>
    <mergeCell ref="E272:E274"/>
    <mergeCell ref="F272:F274"/>
    <mergeCell ref="P272:S272"/>
    <mergeCell ref="T272:T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G282:G284"/>
    <mergeCell ref="H282:H284"/>
    <mergeCell ref="I282:I284"/>
    <mergeCell ref="J282:J284"/>
    <mergeCell ref="K282:K284"/>
    <mergeCell ref="L282:O282"/>
    <mergeCell ref="A282:A284"/>
    <mergeCell ref="B282:B284"/>
    <mergeCell ref="C282:C284"/>
    <mergeCell ref="D282:D284"/>
    <mergeCell ref="E282:E284"/>
    <mergeCell ref="F282:F284"/>
    <mergeCell ref="P282:S282"/>
    <mergeCell ref="T282:T284"/>
    <mergeCell ref="L283:L284"/>
    <mergeCell ref="M283:M284"/>
    <mergeCell ref="N283:N284"/>
    <mergeCell ref="O283:O284"/>
    <mergeCell ref="P283:P284"/>
    <mergeCell ref="Q283:Q284"/>
    <mergeCell ref="R283:R284"/>
    <mergeCell ref="S283:S284"/>
  </mergeCells>
  <pageMargins left="0.7" right="0.7" top="0.75" bottom="0.75" header="0.3" footer="0.3"/>
  <pageSetup paperSize="9" orientation="portrait" r:id="rId1"/>
  <ignoredErrors>
    <ignoredError sqref="O1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zoomScale="80" zoomScaleNormal="80" workbookViewId="0">
      <selection activeCell="L30" sqref="L30"/>
    </sheetView>
  </sheetViews>
  <sheetFormatPr defaultRowHeight="14.25"/>
  <cols>
    <col min="1" max="1" width="11.625" customWidth="1"/>
    <col min="2" max="3" width="14.375" customWidth="1"/>
    <col min="4" max="4" width="14.125" customWidth="1"/>
    <col min="5" max="5" width="10.875" customWidth="1"/>
    <col min="7" max="7" width="18.625" customWidth="1"/>
    <col min="8" max="8" width="28.25" customWidth="1"/>
    <col min="9" max="9" width="18.875" customWidth="1"/>
    <col min="10" max="10" width="12.5" customWidth="1"/>
    <col min="11" max="11" width="11" customWidth="1"/>
    <col min="12" max="12" width="15.875" customWidth="1"/>
    <col min="13" max="13" width="16.625" customWidth="1"/>
    <col min="14" max="14" width="17.5" customWidth="1"/>
    <col min="15" max="15" width="16.125" customWidth="1"/>
    <col min="16" max="16" width="16.875" customWidth="1"/>
    <col min="17" max="19" width="18.125" customWidth="1"/>
    <col min="20" max="21" width="28" customWidth="1"/>
  </cols>
  <sheetData>
    <row r="1" spans="1:15" s="1" customFormat="1" ht="18">
      <c r="B1" s="1691" t="s">
        <v>1174</v>
      </c>
      <c r="C1" s="1691"/>
      <c r="D1" s="1691"/>
      <c r="E1" s="1691"/>
      <c r="F1" s="1691"/>
      <c r="G1" s="1691"/>
      <c r="H1" s="1691"/>
      <c r="I1" s="1691"/>
      <c r="J1" s="56"/>
      <c r="K1" s="58"/>
      <c r="L1" s="59"/>
      <c r="M1" s="59"/>
      <c r="N1" s="59"/>
      <c r="O1" s="59"/>
    </row>
    <row r="2" spans="1:15" s="1" customFormat="1" ht="15">
      <c r="B2" s="471"/>
      <c r="C2" s="471"/>
      <c r="D2" s="471"/>
      <c r="E2" s="471"/>
      <c r="F2" s="471"/>
      <c r="G2" s="471"/>
      <c r="H2" s="472"/>
      <c r="I2" s="471"/>
      <c r="J2" s="56"/>
      <c r="K2" s="58"/>
      <c r="L2" s="59"/>
      <c r="M2" s="59"/>
      <c r="N2" s="59"/>
      <c r="O2" s="59"/>
    </row>
    <row r="3" spans="1:15" s="1" customFormat="1" ht="28.5" customHeight="1">
      <c r="B3" s="1727" t="s">
        <v>0</v>
      </c>
      <c r="C3" s="1728"/>
      <c r="D3" s="1728"/>
      <c r="E3" s="1728"/>
      <c r="F3" s="1728"/>
      <c r="G3" s="1728"/>
      <c r="H3" s="1728"/>
      <c r="I3" s="1729"/>
      <c r="J3" s="56"/>
      <c r="K3" s="58"/>
      <c r="L3" s="59"/>
      <c r="M3" s="59"/>
      <c r="N3" s="59"/>
      <c r="O3" s="59"/>
    </row>
    <row r="4" spans="1:15" s="1" customFormat="1" ht="15">
      <c r="B4" s="469"/>
      <c r="C4" s="469"/>
      <c r="D4" s="469"/>
      <c r="E4" s="469"/>
      <c r="F4" s="469"/>
      <c r="G4" s="469"/>
      <c r="H4" s="469"/>
      <c r="I4" s="469"/>
      <c r="J4" s="56"/>
      <c r="K4" s="58"/>
      <c r="L4" s="59"/>
      <c r="M4" s="59"/>
      <c r="N4" s="59"/>
      <c r="O4" s="59"/>
    </row>
    <row r="5" spans="1:15" s="1" customFormat="1" ht="15">
      <c r="B5" s="1687" t="s">
        <v>1052</v>
      </c>
      <c r="C5" s="1687"/>
      <c r="D5" s="1687"/>
      <c r="E5" s="1687"/>
      <c r="F5" s="1687"/>
      <c r="G5" s="1687"/>
      <c r="H5" s="1687"/>
      <c r="I5" s="1687"/>
      <c r="J5" s="56"/>
      <c r="K5" s="58"/>
      <c r="L5" s="59"/>
      <c r="M5" s="59"/>
      <c r="N5" s="59"/>
      <c r="O5" s="59"/>
    </row>
    <row r="6" spans="1:15" s="1" customFormat="1" ht="15">
      <c r="B6" s="469"/>
      <c r="C6" s="469"/>
      <c r="D6" s="469"/>
      <c r="E6" s="469"/>
      <c r="F6" s="469"/>
      <c r="G6" s="469"/>
      <c r="H6" s="472"/>
      <c r="I6" s="471"/>
      <c r="J6" s="56"/>
      <c r="K6" s="58"/>
      <c r="L6" s="59"/>
      <c r="M6" s="59"/>
      <c r="N6" s="59"/>
      <c r="O6" s="59"/>
    </row>
    <row r="7" spans="1:15" s="1" customFormat="1" ht="15.75">
      <c r="B7" s="470" t="s">
        <v>1</v>
      </c>
      <c r="C7" s="471"/>
      <c r="D7" s="469"/>
      <c r="E7" s="469"/>
      <c r="F7" s="469"/>
      <c r="G7" s="471"/>
      <c r="H7" s="472"/>
      <c r="I7" s="471"/>
      <c r="J7" s="56"/>
      <c r="K7" s="58"/>
      <c r="L7" s="59"/>
      <c r="M7" s="59"/>
      <c r="N7" s="59"/>
      <c r="O7" s="59"/>
    </row>
    <row r="8" spans="1:15" ht="23.25" customHeight="1">
      <c r="A8" s="1"/>
      <c r="B8" s="1307" t="s">
        <v>1921</v>
      </c>
      <c r="C8" s="471"/>
      <c r="D8" s="469"/>
      <c r="E8" s="469"/>
      <c r="F8" s="469"/>
      <c r="G8" s="471"/>
      <c r="H8" s="472"/>
      <c r="I8" s="471"/>
      <c r="J8" s="56"/>
      <c r="K8" s="58"/>
      <c r="L8" s="59"/>
      <c r="M8" s="59"/>
      <c r="N8" s="59"/>
      <c r="O8" s="59"/>
    </row>
    <row r="9" spans="1:15" ht="20.25">
      <c r="A9" s="1"/>
      <c r="B9" s="473" t="s">
        <v>1872</v>
      </c>
      <c r="C9" s="471"/>
      <c r="D9" s="474"/>
      <c r="E9" s="469"/>
      <c r="F9" s="469"/>
      <c r="G9" s="471"/>
      <c r="H9" s="472"/>
      <c r="I9" s="471"/>
      <c r="J9" s="60"/>
      <c r="K9" s="57"/>
      <c r="L9" s="57"/>
      <c r="M9" s="57"/>
      <c r="N9" s="57"/>
      <c r="O9" s="57"/>
    </row>
    <row r="10" spans="1:15" ht="20.25">
      <c r="A10" s="1"/>
      <c r="B10" s="473" t="s">
        <v>1045</v>
      </c>
      <c r="C10" s="471"/>
      <c r="D10" s="474"/>
      <c r="E10" s="469"/>
      <c r="F10" s="469"/>
      <c r="G10" s="471"/>
      <c r="H10" s="472"/>
      <c r="I10" s="471"/>
      <c r="J10" s="60"/>
      <c r="K10" s="57"/>
      <c r="L10" s="57"/>
      <c r="M10" s="57"/>
      <c r="N10" s="57"/>
      <c r="O10" s="57"/>
    </row>
    <row r="11" spans="1:15" ht="20.25">
      <c r="A11" s="1"/>
      <c r="B11" s="471" t="s">
        <v>1044</v>
      </c>
      <c r="C11" s="471"/>
      <c r="D11" s="471"/>
      <c r="E11" s="471"/>
      <c r="F11" s="471"/>
      <c r="G11" s="471"/>
      <c r="H11" s="472"/>
      <c r="I11" s="471"/>
      <c r="J11" s="60"/>
      <c r="K11" s="57"/>
      <c r="L11" s="57"/>
      <c r="M11" s="57"/>
      <c r="N11" s="57"/>
      <c r="O11" s="57"/>
    </row>
    <row r="12" spans="1:15" ht="15.75">
      <c r="A12" s="1"/>
      <c r="B12" s="475"/>
      <c r="C12" s="476"/>
      <c r="D12" s="474"/>
      <c r="E12" s="474"/>
      <c r="F12" s="474"/>
      <c r="G12" s="474"/>
      <c r="H12" s="471"/>
      <c r="I12" s="471"/>
      <c r="J12" s="57"/>
      <c r="K12" s="57"/>
      <c r="L12" s="57"/>
      <c r="M12" s="57"/>
      <c r="N12" s="57"/>
      <c r="O12" s="57"/>
    </row>
    <row r="13" spans="1:15" ht="15.75">
      <c r="A13" s="1"/>
      <c r="B13" s="475" t="s">
        <v>4</v>
      </c>
      <c r="C13" s="470" t="s">
        <v>5</v>
      </c>
      <c r="D13" s="474"/>
      <c r="E13" s="474"/>
      <c r="F13" s="474"/>
      <c r="G13" s="474"/>
      <c r="H13" s="1553"/>
      <c r="I13" s="471"/>
      <c r="J13" s="57"/>
      <c r="K13" s="57"/>
      <c r="L13" s="57"/>
      <c r="M13" s="57"/>
      <c r="N13" s="57"/>
      <c r="O13" s="57"/>
    </row>
    <row r="14" spans="1:15" s="1" customFormat="1" ht="15.75" thickBot="1">
      <c r="B14" s="36"/>
      <c r="C14" s="43"/>
      <c r="D14" s="53"/>
      <c r="E14" s="54"/>
      <c r="F14" s="54"/>
      <c r="G14" s="54"/>
    </row>
    <row r="15" spans="1:15" s="1" customFormat="1" ht="44.25" customHeight="1">
      <c r="A15" s="1670" t="s">
        <v>6</v>
      </c>
      <c r="B15" s="1673" t="s">
        <v>633</v>
      </c>
      <c r="C15" s="1676" t="s">
        <v>8</v>
      </c>
      <c r="D15" s="1676" t="s">
        <v>9</v>
      </c>
      <c r="E15" s="1656" t="s">
        <v>634</v>
      </c>
      <c r="F15" s="1656" t="s">
        <v>11</v>
      </c>
      <c r="G15" s="1676" t="s">
        <v>12</v>
      </c>
      <c r="H15" s="1656" t="s">
        <v>13</v>
      </c>
      <c r="I15" s="1656" t="s">
        <v>269</v>
      </c>
      <c r="J15" s="1656" t="s">
        <v>59</v>
      </c>
      <c r="K15" s="1665" t="s">
        <v>635</v>
      </c>
      <c r="L15" s="1725" t="s">
        <v>636</v>
      </c>
      <c r="M15" s="1719"/>
      <c r="N15" s="1719"/>
      <c r="O15" s="1726"/>
    </row>
    <row r="16" spans="1:15" s="1" customFormat="1" ht="39" customHeight="1">
      <c r="A16" s="1671"/>
      <c r="B16" s="1674"/>
      <c r="C16" s="1677"/>
      <c r="D16" s="1677"/>
      <c r="E16" s="1657"/>
      <c r="F16" s="1657"/>
      <c r="G16" s="1677"/>
      <c r="H16" s="1657"/>
      <c r="I16" s="1698"/>
      <c r="J16" s="1657"/>
      <c r="K16" s="1666"/>
      <c r="L16" s="1679" t="s">
        <v>637</v>
      </c>
      <c r="M16" s="1654"/>
      <c r="N16" s="1654"/>
      <c r="O16" s="1680"/>
    </row>
    <row r="17" spans="1:15" s="1" customFormat="1" ht="30" customHeight="1" thickBot="1">
      <c r="A17" s="1672"/>
      <c r="B17" s="1675"/>
      <c r="C17" s="1678"/>
      <c r="D17" s="1678"/>
      <c r="E17" s="1658"/>
      <c r="F17" s="1658"/>
      <c r="G17" s="1678"/>
      <c r="H17" s="1658"/>
      <c r="I17" s="1699"/>
      <c r="J17" s="1658"/>
      <c r="K17" s="1667"/>
      <c r="L17" s="548" t="s">
        <v>638</v>
      </c>
      <c r="M17" s="549" t="s">
        <v>639</v>
      </c>
      <c r="N17" s="549" t="s">
        <v>640</v>
      </c>
      <c r="O17" s="547" t="s">
        <v>16</v>
      </c>
    </row>
    <row r="18" spans="1:15" s="1" customFormat="1" ht="30" thickBot="1">
      <c r="A18" s="595" t="s">
        <v>26</v>
      </c>
      <c r="B18" s="179"/>
      <c r="C18" s="1091" t="s">
        <v>18</v>
      </c>
      <c r="D18" s="1092" t="s">
        <v>19</v>
      </c>
      <c r="E18" s="1068">
        <v>4</v>
      </c>
      <c r="F18" s="1093" t="s">
        <v>20</v>
      </c>
      <c r="G18" s="1098" t="s">
        <v>18</v>
      </c>
      <c r="H18" s="1089" t="s">
        <v>1059</v>
      </c>
      <c r="I18" s="360">
        <v>4143434</v>
      </c>
      <c r="J18" s="1099" t="s">
        <v>21</v>
      </c>
      <c r="K18" s="47">
        <v>50</v>
      </c>
      <c r="L18" s="268">
        <f>(6387.96-2788.11)*30</f>
        <v>107995.5</v>
      </c>
      <c r="M18" s="269"/>
      <c r="N18" s="269"/>
      <c r="O18" s="268">
        <f>L18</f>
        <v>107995.5</v>
      </c>
    </row>
    <row r="19" spans="1:15" s="1" customFormat="1" ht="30">
      <c r="B19" s="10" t="s">
        <v>22</v>
      </c>
      <c r="C19" s="11" t="s">
        <v>805</v>
      </c>
      <c r="D19" s="42"/>
      <c r="E19" s="431"/>
      <c r="F19" s="431"/>
      <c r="G19" s="1622" t="s">
        <v>1920</v>
      </c>
      <c r="H19" s="11" t="s">
        <v>804</v>
      </c>
      <c r="I19" s="11"/>
      <c r="J19" s="12"/>
      <c r="L19" s="31"/>
      <c r="M19" s="31"/>
      <c r="N19" s="208" t="s">
        <v>23</v>
      </c>
      <c r="O19" s="596">
        <f>SUM(O16:O18)</f>
        <v>107995.5</v>
      </c>
    </row>
    <row r="20" spans="1:15" s="1" customFormat="1" ht="15">
      <c r="B20" s="13"/>
      <c r="C20" s="14" t="s">
        <v>33</v>
      </c>
      <c r="D20" s="40"/>
      <c r="E20" s="431"/>
      <c r="F20" s="431"/>
      <c r="G20" s="16"/>
      <c r="H20" s="43" t="s">
        <v>24</v>
      </c>
      <c r="I20" s="14"/>
      <c r="J20" s="15"/>
    </row>
    <row r="21" spans="1:15" s="1" customFormat="1" ht="15">
      <c r="B21" s="13"/>
      <c r="C21" s="14" t="s">
        <v>25</v>
      </c>
      <c r="D21" s="40"/>
      <c r="E21" s="54"/>
      <c r="F21" s="54"/>
      <c r="G21" s="16"/>
      <c r="H21" s="43" t="s">
        <v>25</v>
      </c>
      <c r="I21" s="14"/>
      <c r="J21" s="15"/>
    </row>
    <row r="22" spans="1:15" s="1" customFormat="1" ht="15.75" thickBot="1">
      <c r="B22" s="553" t="s">
        <v>160</v>
      </c>
      <c r="C22" s="582">
        <v>8222342426</v>
      </c>
      <c r="D22" s="40"/>
      <c r="E22" s="54"/>
      <c r="F22" s="54"/>
      <c r="G22" s="433"/>
      <c r="H22" s="442"/>
      <c r="I22" s="17"/>
      <c r="J22" s="18"/>
    </row>
    <row r="23" spans="1:15" s="1" customFormat="1" ht="15.75" thickBot="1">
      <c r="B23" s="433" t="s">
        <v>1061</v>
      </c>
      <c r="C23" s="97" t="s">
        <v>1807</v>
      </c>
      <c r="D23" s="41"/>
      <c r="E23" s="54"/>
      <c r="F23" s="54"/>
      <c r="G23" s="594"/>
      <c r="H23" s="68"/>
    </row>
    <row r="24" spans="1:15" s="1" customFormat="1">
      <c r="B24" s="54"/>
      <c r="C24" s="53"/>
      <c r="D24" s="53"/>
      <c r="E24" s="54"/>
      <c r="F24" s="54"/>
      <c r="G24" s="54"/>
    </row>
    <row r="25" spans="1:15" ht="15" thickBot="1">
      <c r="A25" s="5"/>
      <c r="B25" s="1"/>
      <c r="C25" s="53"/>
      <c r="D25" s="53"/>
      <c r="E25" s="54"/>
      <c r="F25" s="1"/>
      <c r="G25" s="2"/>
      <c r="H25" s="1"/>
      <c r="I25" s="1"/>
      <c r="J25" s="5"/>
      <c r="K25" s="7"/>
      <c r="L25" s="31"/>
      <c r="M25" s="31"/>
      <c r="N25" s="31"/>
      <c r="O25" s="31"/>
    </row>
    <row r="26" spans="1:15" ht="45" customHeight="1">
      <c r="A26" s="1670" t="s">
        <v>6</v>
      </c>
      <c r="B26" s="1673" t="s">
        <v>633</v>
      </c>
      <c r="C26" s="1676" t="s">
        <v>8</v>
      </c>
      <c r="D26" s="1676" t="s">
        <v>9</v>
      </c>
      <c r="E26" s="1656" t="s">
        <v>634</v>
      </c>
      <c r="F26" s="1656" t="s">
        <v>11</v>
      </c>
      <c r="G26" s="1676" t="s">
        <v>12</v>
      </c>
      <c r="H26" s="1656" t="s">
        <v>13</v>
      </c>
      <c r="I26" s="1656" t="s">
        <v>269</v>
      </c>
      <c r="J26" s="1656" t="s">
        <v>59</v>
      </c>
      <c r="K26" s="1665" t="s">
        <v>635</v>
      </c>
      <c r="L26" s="1725" t="s">
        <v>636</v>
      </c>
      <c r="M26" s="1719"/>
      <c r="N26" s="1719"/>
      <c r="O26" s="1726"/>
    </row>
    <row r="27" spans="1:15" ht="33" customHeight="1">
      <c r="A27" s="1671"/>
      <c r="B27" s="1674"/>
      <c r="C27" s="1677"/>
      <c r="D27" s="1677"/>
      <c r="E27" s="1657"/>
      <c r="F27" s="1657"/>
      <c r="G27" s="1677"/>
      <c r="H27" s="1657"/>
      <c r="I27" s="1698"/>
      <c r="J27" s="1657"/>
      <c r="K27" s="1666"/>
      <c r="L27" s="1679" t="s">
        <v>637</v>
      </c>
      <c r="M27" s="1654"/>
      <c r="N27" s="1654"/>
      <c r="O27" s="1680"/>
    </row>
    <row r="28" spans="1:15" ht="28.5" customHeight="1" thickBot="1">
      <c r="A28" s="1672"/>
      <c r="B28" s="1675"/>
      <c r="C28" s="1678"/>
      <c r="D28" s="1678"/>
      <c r="E28" s="1658"/>
      <c r="F28" s="1658"/>
      <c r="G28" s="1678"/>
      <c r="H28" s="1658"/>
      <c r="I28" s="1699"/>
      <c r="J28" s="1658"/>
      <c r="K28" s="1667"/>
      <c r="L28" s="263" t="s">
        <v>638</v>
      </c>
      <c r="M28" s="264" t="s">
        <v>639</v>
      </c>
      <c r="N28" s="264" t="s">
        <v>640</v>
      </c>
      <c r="O28" s="265" t="s">
        <v>16</v>
      </c>
    </row>
    <row r="29" spans="1:15" ht="29.25">
      <c r="A29" s="552" t="s">
        <v>26</v>
      </c>
      <c r="B29" s="4"/>
      <c r="C29" s="3" t="s">
        <v>18</v>
      </c>
      <c r="D29" s="3" t="s">
        <v>29</v>
      </c>
      <c r="E29" s="4">
        <v>3</v>
      </c>
      <c r="F29" s="4" t="s">
        <v>20</v>
      </c>
      <c r="G29" s="3" t="s">
        <v>18</v>
      </c>
      <c r="H29" s="695" t="s">
        <v>30</v>
      </c>
      <c r="I29" s="22">
        <v>234584</v>
      </c>
      <c r="J29" s="386" t="s">
        <v>28</v>
      </c>
      <c r="K29" s="8">
        <v>21</v>
      </c>
      <c r="L29" s="816">
        <f>(551997-395135)+3138</f>
        <v>160000</v>
      </c>
      <c r="M29" s="33"/>
      <c r="N29" s="33"/>
      <c r="O29" s="32">
        <f>L29</f>
        <v>160000</v>
      </c>
    </row>
    <row r="30" spans="1:15" ht="30" thickBot="1">
      <c r="A30" s="552" t="s">
        <v>26</v>
      </c>
      <c r="B30" s="6"/>
      <c r="C30" s="9" t="s">
        <v>18</v>
      </c>
      <c r="D30" s="9" t="s">
        <v>31</v>
      </c>
      <c r="E30" s="4">
        <v>16</v>
      </c>
      <c r="F30" s="4" t="s">
        <v>20</v>
      </c>
      <c r="G30" s="9" t="s">
        <v>18</v>
      </c>
      <c r="H30" s="771" t="s">
        <v>32</v>
      </c>
      <c r="I30" s="22">
        <v>4142950</v>
      </c>
      <c r="J30" s="386" t="s">
        <v>28</v>
      </c>
      <c r="K30" s="8">
        <v>26</v>
      </c>
      <c r="L30" s="816">
        <v>50000</v>
      </c>
      <c r="M30" s="33"/>
      <c r="N30" s="33"/>
      <c r="O30" s="32">
        <f>L30</f>
        <v>50000</v>
      </c>
    </row>
    <row r="31" spans="1:15" ht="30">
      <c r="A31" s="1"/>
      <c r="B31" s="10" t="s">
        <v>22</v>
      </c>
      <c r="C31" s="11" t="s">
        <v>805</v>
      </c>
      <c r="D31" s="42"/>
      <c r="E31" s="19"/>
      <c r="F31" s="14"/>
      <c r="G31" s="1622" t="s">
        <v>1920</v>
      </c>
      <c r="H31" s="12" t="s">
        <v>1647</v>
      </c>
      <c r="I31" s="1"/>
      <c r="J31" s="1"/>
      <c r="K31" s="1"/>
      <c r="L31" s="31"/>
      <c r="M31" s="31"/>
      <c r="N31" s="32" t="s">
        <v>23</v>
      </c>
      <c r="O31" s="556">
        <f>SUM(O29:O30)</f>
        <v>210000</v>
      </c>
    </row>
    <row r="32" spans="1:15" ht="15">
      <c r="A32" s="1"/>
      <c r="B32" s="13"/>
      <c r="C32" s="14" t="s">
        <v>33</v>
      </c>
      <c r="D32" s="40"/>
      <c r="E32" s="19"/>
      <c r="F32" s="14"/>
      <c r="G32" s="13"/>
      <c r="H32" s="15" t="s">
        <v>33</v>
      </c>
      <c r="I32" s="1"/>
      <c r="J32" s="1"/>
      <c r="K32" s="1"/>
      <c r="L32" s="31"/>
      <c r="M32" s="31"/>
      <c r="N32" s="31"/>
      <c r="O32" s="31"/>
    </row>
    <row r="33" spans="1:16" ht="15">
      <c r="A33" s="1"/>
      <c r="B33" s="13"/>
      <c r="C33" s="14" t="s">
        <v>25</v>
      </c>
      <c r="D33" s="40"/>
      <c r="E33" s="19"/>
      <c r="F33" s="14"/>
      <c r="G33" s="13"/>
      <c r="H33" s="15" t="s">
        <v>25</v>
      </c>
      <c r="I33" s="1"/>
      <c r="J33" s="1"/>
      <c r="K33" s="1"/>
      <c r="L33" s="31"/>
      <c r="M33" s="1"/>
      <c r="N33" s="1"/>
      <c r="O33" s="1"/>
    </row>
    <row r="34" spans="1:16" ht="15.75" thickBot="1">
      <c r="A34" s="1"/>
      <c r="B34" s="553" t="s">
        <v>160</v>
      </c>
      <c r="C34" s="582">
        <v>8222342426</v>
      </c>
      <c r="D34" s="40"/>
      <c r="E34" s="19"/>
      <c r="F34" s="14"/>
      <c r="G34" s="433"/>
      <c r="H34" s="1087"/>
      <c r="I34" s="1"/>
      <c r="J34" s="1"/>
      <c r="K34" s="1"/>
      <c r="L34" s="1"/>
      <c r="M34" s="1"/>
      <c r="N34" s="1"/>
      <c r="O34" s="1"/>
    </row>
    <row r="35" spans="1:16" s="1" customFormat="1" ht="15.75" thickBot="1">
      <c r="B35" s="433" t="s">
        <v>1061</v>
      </c>
      <c r="C35" s="97" t="s">
        <v>1807</v>
      </c>
      <c r="D35" s="41"/>
      <c r="E35" s="14"/>
      <c r="F35" s="54"/>
      <c r="G35" s="577"/>
      <c r="H35" s="68"/>
    </row>
    <row r="36" spans="1:16" ht="15" thickBot="1"/>
    <row r="37" spans="1:16" ht="41.25" customHeight="1">
      <c r="A37" s="1670" t="s">
        <v>6</v>
      </c>
      <c r="B37" s="1673" t="s">
        <v>633</v>
      </c>
      <c r="C37" s="1676" t="s">
        <v>8</v>
      </c>
      <c r="D37" s="1676" t="s">
        <v>9</v>
      </c>
      <c r="E37" s="1656" t="s">
        <v>634</v>
      </c>
      <c r="F37" s="1656" t="s">
        <v>11</v>
      </c>
      <c r="G37" s="1676" t="s">
        <v>12</v>
      </c>
      <c r="H37" s="1656" t="s">
        <v>13</v>
      </c>
      <c r="I37" s="1656" t="s">
        <v>269</v>
      </c>
      <c r="J37" s="1656" t="s">
        <v>59</v>
      </c>
      <c r="K37" s="1665" t="s">
        <v>635</v>
      </c>
      <c r="L37" s="1725" t="s">
        <v>636</v>
      </c>
      <c r="M37" s="1719"/>
      <c r="N37" s="1719"/>
      <c r="O37" s="1726"/>
    </row>
    <row r="38" spans="1:16" ht="36.75" customHeight="1">
      <c r="A38" s="1671"/>
      <c r="B38" s="1674"/>
      <c r="C38" s="1677"/>
      <c r="D38" s="1677"/>
      <c r="E38" s="1657"/>
      <c r="F38" s="1657"/>
      <c r="G38" s="1677"/>
      <c r="H38" s="1657"/>
      <c r="I38" s="1698"/>
      <c r="J38" s="1657"/>
      <c r="K38" s="1666"/>
      <c r="L38" s="1679" t="s">
        <v>637</v>
      </c>
      <c r="M38" s="1654"/>
      <c r="N38" s="1654"/>
      <c r="O38" s="1680"/>
    </row>
    <row r="39" spans="1:16" ht="28.5" customHeight="1" thickBot="1">
      <c r="A39" s="1672"/>
      <c r="B39" s="1675"/>
      <c r="C39" s="1678"/>
      <c r="D39" s="1678"/>
      <c r="E39" s="1658"/>
      <c r="F39" s="1658"/>
      <c r="G39" s="1678"/>
      <c r="H39" s="1658"/>
      <c r="I39" s="1699"/>
      <c r="J39" s="1658"/>
      <c r="K39" s="1667"/>
      <c r="L39" s="263" t="s">
        <v>638</v>
      </c>
      <c r="M39" s="264" t="s">
        <v>639</v>
      </c>
      <c r="N39" s="264" t="s">
        <v>640</v>
      </c>
      <c r="O39" s="265" t="s">
        <v>16</v>
      </c>
    </row>
    <row r="40" spans="1:16" ht="29.25">
      <c r="A40" s="552" t="s">
        <v>26</v>
      </c>
      <c r="B40" s="4"/>
      <c r="C40" s="3" t="s">
        <v>18</v>
      </c>
      <c r="D40" s="3" t="s">
        <v>34</v>
      </c>
      <c r="E40" s="4" t="s">
        <v>35</v>
      </c>
      <c r="F40" s="4" t="s">
        <v>20</v>
      </c>
      <c r="G40" s="3" t="s">
        <v>18</v>
      </c>
      <c r="H40" s="695" t="s">
        <v>36</v>
      </c>
      <c r="I40" s="22">
        <v>3516118</v>
      </c>
      <c r="J40" s="386" t="s">
        <v>28</v>
      </c>
      <c r="K40" s="8">
        <v>16</v>
      </c>
      <c r="L40" s="34">
        <v>51200</v>
      </c>
      <c r="M40" s="33"/>
      <c r="N40" s="33"/>
      <c r="O40" s="32">
        <f>L40</f>
        <v>51200</v>
      </c>
    </row>
    <row r="41" spans="1:16" ht="30" thickBot="1">
      <c r="A41" s="552" t="s">
        <v>26</v>
      </c>
      <c r="B41" s="4"/>
      <c r="C41" s="3" t="s">
        <v>18</v>
      </c>
      <c r="D41" s="3" t="s">
        <v>34</v>
      </c>
      <c r="E41" s="4" t="s">
        <v>35</v>
      </c>
      <c r="F41" s="4" t="s">
        <v>37</v>
      </c>
      <c r="G41" s="9" t="s">
        <v>18</v>
      </c>
      <c r="H41" s="771" t="s">
        <v>38</v>
      </c>
      <c r="I41" s="1100">
        <v>234587</v>
      </c>
      <c r="J41" s="1101" t="s">
        <v>28</v>
      </c>
      <c r="K41" s="817">
        <v>40</v>
      </c>
      <c r="L41" s="816">
        <v>56200</v>
      </c>
      <c r="M41" s="33"/>
      <c r="N41" s="33"/>
      <c r="O41" s="34">
        <f>L41</f>
        <v>56200</v>
      </c>
      <c r="P41" s="2"/>
    </row>
    <row r="42" spans="1:16" ht="30">
      <c r="A42" s="1"/>
      <c r="B42" s="10" t="s">
        <v>22</v>
      </c>
      <c r="C42" s="11" t="s">
        <v>805</v>
      </c>
      <c r="D42" s="42"/>
      <c r="E42" s="19"/>
      <c r="F42" s="14"/>
      <c r="G42" s="1622" t="s">
        <v>1920</v>
      </c>
      <c r="H42" s="11" t="s">
        <v>809</v>
      </c>
      <c r="I42" s="11"/>
      <c r="J42" s="12"/>
      <c r="K42" s="1"/>
      <c r="L42" s="31"/>
      <c r="M42" s="31"/>
      <c r="N42" s="32" t="s">
        <v>23</v>
      </c>
      <c r="O42" s="556">
        <f>SUM(O40:O41)</f>
        <v>107400</v>
      </c>
    </row>
    <row r="43" spans="1:16" ht="15">
      <c r="A43" s="1"/>
      <c r="B43" s="13"/>
      <c r="C43" s="14" t="s">
        <v>33</v>
      </c>
      <c r="D43" s="40"/>
      <c r="E43" s="19"/>
      <c r="F43" s="14"/>
      <c r="G43" s="13"/>
      <c r="H43" s="14" t="s">
        <v>39</v>
      </c>
      <c r="I43" s="14"/>
      <c r="J43" s="15"/>
      <c r="K43" s="1"/>
      <c r="L43" s="31"/>
      <c r="M43" s="31"/>
      <c r="N43" s="31"/>
      <c r="O43" s="31"/>
    </row>
    <row r="44" spans="1:16" ht="15">
      <c r="A44" s="1"/>
      <c r="B44" s="13"/>
      <c r="C44" s="14" t="s">
        <v>25</v>
      </c>
      <c r="D44" s="40"/>
      <c r="E44" s="19"/>
      <c r="F44" s="14"/>
      <c r="G44" s="13"/>
      <c r="H44" s="14" t="s">
        <v>40</v>
      </c>
      <c r="I44" s="14"/>
      <c r="J44" s="15"/>
      <c r="K44" s="1"/>
      <c r="L44" s="1"/>
      <c r="M44" s="1"/>
      <c r="N44" s="1"/>
      <c r="O44" s="1"/>
    </row>
    <row r="45" spans="1:16" ht="15">
      <c r="A45" s="1"/>
      <c r="B45" s="553" t="s">
        <v>160</v>
      </c>
      <c r="C45" s="582">
        <v>8222342426</v>
      </c>
      <c r="D45" s="40"/>
      <c r="E45" s="19"/>
      <c r="F45" s="14"/>
      <c r="G45" s="13"/>
      <c r="H45" s="43" t="s">
        <v>25</v>
      </c>
      <c r="I45" s="14"/>
      <c r="J45" s="15"/>
      <c r="K45" s="1"/>
      <c r="L45" s="1"/>
      <c r="M45" s="1"/>
      <c r="N45" s="1"/>
      <c r="O45" s="1"/>
    </row>
    <row r="46" spans="1:16" ht="15.75" thickBot="1">
      <c r="A46" s="1"/>
      <c r="B46" s="433" t="s">
        <v>1061</v>
      </c>
      <c r="C46" s="97" t="s">
        <v>1807</v>
      </c>
      <c r="D46" s="41"/>
      <c r="E46" s="19"/>
      <c r="F46" s="14"/>
      <c r="G46" s="433"/>
      <c r="H46" s="442"/>
      <c r="I46" s="17"/>
      <c r="J46" s="18"/>
      <c r="K46" s="1"/>
      <c r="L46" s="1"/>
      <c r="M46" s="1"/>
      <c r="N46" s="1"/>
      <c r="O46" s="1"/>
    </row>
    <row r="47" spans="1:16" ht="15">
      <c r="D47" s="54"/>
      <c r="E47" s="54"/>
      <c r="F47" s="54"/>
      <c r="G47" s="577"/>
      <c r="H47" s="14"/>
    </row>
    <row r="48" spans="1:16" ht="15" thickBot="1"/>
    <row r="49" spans="1:16" ht="43.5" customHeight="1">
      <c r="A49" s="1670" t="s">
        <v>6</v>
      </c>
      <c r="B49" s="1673" t="s">
        <v>633</v>
      </c>
      <c r="C49" s="1676" t="s">
        <v>8</v>
      </c>
      <c r="D49" s="1676" t="s">
        <v>9</v>
      </c>
      <c r="E49" s="1656" t="s">
        <v>634</v>
      </c>
      <c r="F49" s="1656" t="s">
        <v>11</v>
      </c>
      <c r="G49" s="1676" t="s">
        <v>12</v>
      </c>
      <c r="H49" s="1656" t="s">
        <v>13</v>
      </c>
      <c r="I49" s="1656" t="s">
        <v>269</v>
      </c>
      <c r="J49" s="1656" t="s">
        <v>59</v>
      </c>
      <c r="K49" s="1665" t="s">
        <v>635</v>
      </c>
      <c r="L49" s="1725" t="s">
        <v>636</v>
      </c>
      <c r="M49" s="1719"/>
      <c r="N49" s="1719"/>
      <c r="O49" s="1726"/>
    </row>
    <row r="50" spans="1:16" ht="33" customHeight="1">
      <c r="A50" s="1671"/>
      <c r="B50" s="1674"/>
      <c r="C50" s="1677"/>
      <c r="D50" s="1677"/>
      <c r="E50" s="1657"/>
      <c r="F50" s="1657"/>
      <c r="G50" s="1677"/>
      <c r="H50" s="1657"/>
      <c r="I50" s="1698"/>
      <c r="J50" s="1657"/>
      <c r="K50" s="1666"/>
      <c r="L50" s="1679" t="s">
        <v>637</v>
      </c>
      <c r="M50" s="1654"/>
      <c r="N50" s="1654"/>
      <c r="O50" s="1680"/>
    </row>
    <row r="51" spans="1:16" ht="28.5" customHeight="1" thickBot="1">
      <c r="A51" s="1672"/>
      <c r="B51" s="1675"/>
      <c r="C51" s="1678"/>
      <c r="D51" s="1678"/>
      <c r="E51" s="1658"/>
      <c r="F51" s="1658"/>
      <c r="G51" s="1678"/>
      <c r="H51" s="1658"/>
      <c r="I51" s="1699"/>
      <c r="J51" s="1658"/>
      <c r="K51" s="1667"/>
      <c r="L51" s="263" t="s">
        <v>638</v>
      </c>
      <c r="M51" s="264" t="s">
        <v>639</v>
      </c>
      <c r="N51" s="264" t="s">
        <v>640</v>
      </c>
      <c r="O51" s="265" t="s">
        <v>16</v>
      </c>
    </row>
    <row r="52" spans="1:16" ht="30" thickBot="1">
      <c r="A52" s="552" t="s">
        <v>26</v>
      </c>
      <c r="B52" s="1068"/>
      <c r="C52" s="1092" t="s">
        <v>18</v>
      </c>
      <c r="D52" s="1092" t="s">
        <v>19</v>
      </c>
      <c r="E52" s="1068">
        <v>4</v>
      </c>
      <c r="F52" s="1068" t="s">
        <v>20</v>
      </c>
      <c r="G52" s="776" t="s">
        <v>18</v>
      </c>
      <c r="H52" s="771" t="s">
        <v>41</v>
      </c>
      <c r="I52" s="20">
        <v>909071</v>
      </c>
      <c r="J52" s="377" t="s">
        <v>21</v>
      </c>
      <c r="K52" s="8">
        <v>200</v>
      </c>
      <c r="L52" s="34">
        <v>240109</v>
      </c>
      <c r="M52" s="33"/>
      <c r="N52" s="33"/>
      <c r="O52" s="32">
        <f>L52</f>
        <v>240109</v>
      </c>
      <c r="P52" s="2"/>
    </row>
    <row r="53" spans="1:16" ht="30">
      <c r="A53" s="1"/>
      <c r="B53" s="10" t="s">
        <v>22</v>
      </c>
      <c r="C53" s="11" t="s">
        <v>805</v>
      </c>
      <c r="D53" s="42"/>
      <c r="E53" s="19"/>
      <c r="F53" s="14"/>
      <c r="G53" s="1622" t="s">
        <v>1920</v>
      </c>
      <c r="H53" s="11" t="s">
        <v>810</v>
      </c>
      <c r="I53" s="12"/>
      <c r="J53" s="1"/>
      <c r="K53" s="1"/>
      <c r="L53" s="31"/>
      <c r="M53" s="31"/>
      <c r="N53" s="32" t="s">
        <v>23</v>
      </c>
      <c r="O53" s="556">
        <f>SUM(O52)</f>
        <v>240109</v>
      </c>
    </row>
    <row r="54" spans="1:16" ht="15">
      <c r="A54" s="1"/>
      <c r="B54" s="13"/>
      <c r="C54" s="14" t="s">
        <v>33</v>
      </c>
      <c r="D54" s="40"/>
      <c r="E54" s="19"/>
      <c r="F54" s="14"/>
      <c r="G54" s="13"/>
      <c r="H54" s="14" t="s">
        <v>42</v>
      </c>
      <c r="I54" s="15"/>
      <c r="J54" s="1"/>
      <c r="K54" s="1"/>
      <c r="L54" s="31"/>
      <c r="M54" s="31"/>
      <c r="N54" s="31"/>
      <c r="O54" s="31"/>
    </row>
    <row r="55" spans="1:16" ht="15">
      <c r="A55" s="1"/>
      <c r="B55" s="13"/>
      <c r="C55" s="14" t="s">
        <v>25</v>
      </c>
      <c r="D55" s="40"/>
      <c r="E55" s="19"/>
      <c r="F55" s="14"/>
      <c r="G55" s="13"/>
      <c r="H55" s="14" t="s">
        <v>24</v>
      </c>
      <c r="I55" s="15"/>
      <c r="J55" s="1"/>
      <c r="K55" s="1"/>
      <c r="L55" s="1"/>
      <c r="M55" s="1"/>
      <c r="N55" s="1"/>
      <c r="O55" s="1"/>
    </row>
    <row r="56" spans="1:16" ht="15">
      <c r="A56" s="1"/>
      <c r="B56" s="553" t="s">
        <v>160</v>
      </c>
      <c r="C56" s="582">
        <v>8222342426</v>
      </c>
      <c r="D56" s="40"/>
      <c r="E56" s="19"/>
      <c r="F56" s="14"/>
      <c r="G56" s="13"/>
      <c r="H56" s="43" t="s">
        <v>25</v>
      </c>
      <c r="I56" s="15"/>
      <c r="J56" s="1"/>
      <c r="K56" s="1"/>
      <c r="L56" s="1"/>
      <c r="M56" s="1"/>
      <c r="N56" s="1"/>
      <c r="O56" s="1"/>
    </row>
    <row r="57" spans="1:16" ht="15.75" thickBot="1">
      <c r="A57" s="1"/>
      <c r="B57" s="433" t="s">
        <v>1061</v>
      </c>
      <c r="C57" s="97" t="s">
        <v>1807</v>
      </c>
      <c r="D57" s="41"/>
      <c r="E57" s="19"/>
      <c r="F57" s="14"/>
      <c r="G57" s="433"/>
      <c r="H57" s="442"/>
      <c r="I57" s="18"/>
      <c r="J57" s="1"/>
      <c r="K57" s="1"/>
      <c r="L57" s="1"/>
      <c r="M57" s="1"/>
      <c r="N57" s="1"/>
      <c r="O57" s="1"/>
    </row>
    <row r="58" spans="1:16" ht="15">
      <c r="D58" s="54"/>
      <c r="E58" s="54"/>
      <c r="F58" s="54"/>
      <c r="G58" s="594"/>
      <c r="H58" s="14"/>
    </row>
    <row r="59" spans="1:16" ht="15" thickBot="1"/>
    <row r="60" spans="1:16" ht="39.75" customHeight="1">
      <c r="A60" s="1670" t="s">
        <v>6</v>
      </c>
      <c r="B60" s="1673" t="s">
        <v>633</v>
      </c>
      <c r="C60" s="1676" t="s">
        <v>8</v>
      </c>
      <c r="D60" s="1676" t="s">
        <v>9</v>
      </c>
      <c r="E60" s="1656" t="s">
        <v>634</v>
      </c>
      <c r="F60" s="1656" t="s">
        <v>11</v>
      </c>
      <c r="G60" s="1676" t="s">
        <v>12</v>
      </c>
      <c r="H60" s="1656" t="s">
        <v>13</v>
      </c>
      <c r="I60" s="1656" t="s">
        <v>269</v>
      </c>
      <c r="J60" s="1656" t="s">
        <v>59</v>
      </c>
      <c r="K60" s="1665" t="s">
        <v>635</v>
      </c>
      <c r="L60" s="1725" t="s">
        <v>636</v>
      </c>
      <c r="M60" s="1719"/>
      <c r="N60" s="1719"/>
      <c r="O60" s="1726"/>
    </row>
    <row r="61" spans="1:16" ht="33" customHeight="1">
      <c r="A61" s="1671"/>
      <c r="B61" s="1674"/>
      <c r="C61" s="1677"/>
      <c r="D61" s="1677"/>
      <c r="E61" s="1657"/>
      <c r="F61" s="1657"/>
      <c r="G61" s="1677"/>
      <c r="H61" s="1657"/>
      <c r="I61" s="1698"/>
      <c r="J61" s="1657"/>
      <c r="K61" s="1666"/>
      <c r="L61" s="1679" t="s">
        <v>637</v>
      </c>
      <c r="M61" s="1654"/>
      <c r="N61" s="1654"/>
      <c r="O61" s="1680"/>
    </row>
    <row r="62" spans="1:16" ht="28.5" customHeight="1" thickBot="1">
      <c r="A62" s="1672"/>
      <c r="B62" s="1675"/>
      <c r="C62" s="1678"/>
      <c r="D62" s="1678"/>
      <c r="E62" s="1658"/>
      <c r="F62" s="1658"/>
      <c r="G62" s="1678"/>
      <c r="H62" s="1658"/>
      <c r="I62" s="1699"/>
      <c r="J62" s="1658"/>
      <c r="K62" s="1667"/>
      <c r="L62" s="263" t="s">
        <v>638</v>
      </c>
      <c r="M62" s="264" t="s">
        <v>639</v>
      </c>
      <c r="N62" s="264" t="s">
        <v>640</v>
      </c>
      <c r="O62" s="265" t="s">
        <v>16</v>
      </c>
    </row>
    <row r="63" spans="1:16" ht="29.25">
      <c r="A63" s="552" t="s">
        <v>26</v>
      </c>
      <c r="B63" s="4"/>
      <c r="C63" s="3" t="s">
        <v>18</v>
      </c>
      <c r="D63" s="3" t="s">
        <v>43</v>
      </c>
      <c r="E63" s="4">
        <v>1</v>
      </c>
      <c r="F63" s="4" t="s">
        <v>20</v>
      </c>
      <c r="G63" s="3" t="s">
        <v>18</v>
      </c>
      <c r="H63" s="695" t="s">
        <v>44</v>
      </c>
      <c r="I63" s="819">
        <v>4099747</v>
      </c>
      <c r="J63" s="377" t="s">
        <v>21</v>
      </c>
      <c r="K63" s="8">
        <v>60</v>
      </c>
      <c r="L63" s="818">
        <v>51810</v>
      </c>
      <c r="M63" s="33"/>
      <c r="N63" s="33"/>
      <c r="O63" s="32">
        <f>L63</f>
        <v>51810</v>
      </c>
    </row>
    <row r="64" spans="1:16" ht="29.25">
      <c r="A64" s="552" t="s">
        <v>26</v>
      </c>
      <c r="B64" s="4"/>
      <c r="C64" s="3" t="s">
        <v>18</v>
      </c>
      <c r="D64" s="3" t="s">
        <v>43</v>
      </c>
      <c r="E64" s="4">
        <v>1</v>
      </c>
      <c r="F64" s="4" t="s">
        <v>20</v>
      </c>
      <c r="G64" s="3" t="s">
        <v>18</v>
      </c>
      <c r="H64" s="695" t="s">
        <v>45</v>
      </c>
      <c r="I64" s="22">
        <v>1494923</v>
      </c>
      <c r="J64" s="386" t="s">
        <v>28</v>
      </c>
      <c r="K64" s="8">
        <v>3</v>
      </c>
      <c r="L64" s="818">
        <f>803-558</f>
        <v>245</v>
      </c>
      <c r="M64" s="33"/>
      <c r="N64" s="33"/>
      <c r="O64" s="32">
        <f>L64</f>
        <v>245</v>
      </c>
    </row>
    <row r="65" spans="1:15" ht="30" thickBot="1">
      <c r="A65" s="552" t="s">
        <v>26</v>
      </c>
      <c r="B65" s="22"/>
      <c r="C65" s="23" t="s">
        <v>18</v>
      </c>
      <c r="D65" s="23" t="s">
        <v>43</v>
      </c>
      <c r="E65" s="22">
        <v>1</v>
      </c>
      <c r="F65" s="22" t="s">
        <v>20</v>
      </c>
      <c r="G65" s="21" t="s">
        <v>18</v>
      </c>
      <c r="H65" s="771" t="s">
        <v>46</v>
      </c>
      <c r="I65" s="20">
        <v>907602</v>
      </c>
      <c r="J65" s="1322" t="s">
        <v>28</v>
      </c>
      <c r="K65" s="642">
        <v>20</v>
      </c>
      <c r="L65" s="818">
        <v>29230</v>
      </c>
      <c r="M65" s="33"/>
      <c r="N65" s="33"/>
      <c r="O65" s="32">
        <f>L65</f>
        <v>29230</v>
      </c>
    </row>
    <row r="66" spans="1:15" ht="30">
      <c r="A66" s="1"/>
      <c r="B66" s="10" t="s">
        <v>22</v>
      </c>
      <c r="C66" s="11" t="s">
        <v>805</v>
      </c>
      <c r="D66" s="42"/>
      <c r="E66" s="19"/>
      <c r="F66" s="14"/>
      <c r="G66" s="1622" t="s">
        <v>1920</v>
      </c>
      <c r="H66" s="11" t="s">
        <v>1808</v>
      </c>
      <c r="I66" s="11"/>
      <c r="J66" s="261"/>
      <c r="K66" s="26"/>
      <c r="L66" s="31"/>
      <c r="M66" s="31"/>
      <c r="N66" s="32" t="s">
        <v>23</v>
      </c>
      <c r="O66" s="556">
        <f>SUM(O63:O65)</f>
        <v>81285</v>
      </c>
    </row>
    <row r="67" spans="1:15" ht="15">
      <c r="A67" s="1"/>
      <c r="B67" s="13"/>
      <c r="C67" s="14" t="s">
        <v>33</v>
      </c>
      <c r="D67" s="40"/>
      <c r="E67" s="19"/>
      <c r="F67" s="14"/>
      <c r="G67" s="13"/>
      <c r="H67" s="14" t="s">
        <v>47</v>
      </c>
      <c r="I67" s="14"/>
      <c r="J67" s="54"/>
      <c r="K67" s="27"/>
      <c r="L67" s="31"/>
      <c r="M67" s="31"/>
      <c r="N67" s="31"/>
      <c r="O67" s="31"/>
    </row>
    <row r="68" spans="1:15" ht="15">
      <c r="A68" s="1"/>
      <c r="B68" s="13"/>
      <c r="C68" s="14" t="s">
        <v>25</v>
      </c>
      <c r="D68" s="40"/>
      <c r="E68" s="19"/>
      <c r="F68" s="14"/>
      <c r="G68" s="13"/>
      <c r="H68" s="14" t="s">
        <v>25</v>
      </c>
      <c r="I68" s="14"/>
      <c r="J68" s="54"/>
      <c r="K68" s="27"/>
      <c r="L68" s="1"/>
      <c r="M68" s="1"/>
      <c r="N68" s="1"/>
      <c r="O68" s="1"/>
    </row>
    <row r="69" spans="1:15" ht="15.75" thickBot="1">
      <c r="A69" s="1"/>
      <c r="B69" s="553" t="s">
        <v>160</v>
      </c>
      <c r="C69" s="582">
        <v>8222342426</v>
      </c>
      <c r="D69" s="40"/>
      <c r="E69" s="19"/>
      <c r="F69" s="14"/>
      <c r="G69" s="433"/>
      <c r="H69" s="442"/>
      <c r="I69" s="17"/>
      <c r="J69" s="226"/>
      <c r="K69" s="28"/>
      <c r="L69" s="1"/>
      <c r="M69" s="1"/>
      <c r="N69" s="1"/>
      <c r="O69" s="1"/>
    </row>
    <row r="70" spans="1:15" ht="15.75" thickBot="1">
      <c r="B70" s="433" t="s">
        <v>1061</v>
      </c>
      <c r="C70" s="97" t="s">
        <v>1807</v>
      </c>
      <c r="D70" s="41"/>
      <c r="E70" s="54"/>
      <c r="F70" s="54"/>
      <c r="G70" s="594"/>
      <c r="H70" s="14"/>
    </row>
    <row r="71" spans="1:15" ht="15" thickBot="1"/>
    <row r="72" spans="1:15" ht="42.75" customHeight="1">
      <c r="A72" s="1670" t="s">
        <v>6</v>
      </c>
      <c r="B72" s="1673" t="s">
        <v>633</v>
      </c>
      <c r="C72" s="1676" t="s">
        <v>8</v>
      </c>
      <c r="D72" s="1676" t="s">
        <v>9</v>
      </c>
      <c r="E72" s="1656" t="s">
        <v>634</v>
      </c>
      <c r="F72" s="1656" t="s">
        <v>11</v>
      </c>
      <c r="G72" s="1676" t="s">
        <v>12</v>
      </c>
      <c r="H72" s="1656" t="s">
        <v>13</v>
      </c>
      <c r="I72" s="1656" t="s">
        <v>269</v>
      </c>
      <c r="J72" s="1656" t="s">
        <v>59</v>
      </c>
      <c r="K72" s="1665" t="s">
        <v>635</v>
      </c>
      <c r="L72" s="1725" t="s">
        <v>636</v>
      </c>
      <c r="M72" s="1719"/>
      <c r="N72" s="1719"/>
      <c r="O72" s="1726"/>
    </row>
    <row r="73" spans="1:15" ht="35.25" customHeight="1">
      <c r="A73" s="1671"/>
      <c r="B73" s="1674"/>
      <c r="C73" s="1677"/>
      <c r="D73" s="1677"/>
      <c r="E73" s="1657"/>
      <c r="F73" s="1657"/>
      <c r="G73" s="1677"/>
      <c r="H73" s="1657"/>
      <c r="I73" s="1698"/>
      <c r="J73" s="1657"/>
      <c r="K73" s="1666"/>
      <c r="L73" s="1679" t="s">
        <v>637</v>
      </c>
      <c r="M73" s="1654"/>
      <c r="N73" s="1654"/>
      <c r="O73" s="1680"/>
    </row>
    <row r="74" spans="1:15" ht="28.5" customHeight="1" thickBot="1">
      <c r="A74" s="1672"/>
      <c r="B74" s="1675"/>
      <c r="C74" s="1678"/>
      <c r="D74" s="1678"/>
      <c r="E74" s="1658"/>
      <c r="F74" s="1658"/>
      <c r="G74" s="1678"/>
      <c r="H74" s="1658"/>
      <c r="I74" s="1699"/>
      <c r="J74" s="1658"/>
      <c r="K74" s="1667"/>
      <c r="L74" s="263" t="s">
        <v>638</v>
      </c>
      <c r="M74" s="264" t="s">
        <v>639</v>
      </c>
      <c r="N74" s="264" t="s">
        <v>640</v>
      </c>
      <c r="O74" s="265" t="s">
        <v>16</v>
      </c>
    </row>
    <row r="75" spans="1:15" ht="30" thickBot="1">
      <c r="A75" s="552" t="s">
        <v>26</v>
      </c>
      <c r="B75" s="1068"/>
      <c r="C75" s="1092" t="s">
        <v>18</v>
      </c>
      <c r="D75" s="1092" t="s">
        <v>48</v>
      </c>
      <c r="E75" s="1068">
        <v>18</v>
      </c>
      <c r="F75" s="1068" t="s">
        <v>20</v>
      </c>
      <c r="G75" s="9" t="s">
        <v>18</v>
      </c>
      <c r="H75" s="771" t="s">
        <v>49</v>
      </c>
      <c r="I75" s="20">
        <v>1100449</v>
      </c>
      <c r="J75" s="1102" t="s">
        <v>21</v>
      </c>
      <c r="K75" s="8">
        <v>100</v>
      </c>
      <c r="L75" s="34">
        <f>(6838.69-4636.95)*60</f>
        <v>132104.4</v>
      </c>
      <c r="M75" s="33"/>
      <c r="N75" s="33"/>
      <c r="O75" s="32">
        <f>L75</f>
        <v>132104.4</v>
      </c>
    </row>
    <row r="76" spans="1:15" ht="30">
      <c r="A76" s="1"/>
      <c r="B76" s="10" t="s">
        <v>22</v>
      </c>
      <c r="C76" s="11" t="s">
        <v>805</v>
      </c>
      <c r="D76" s="42"/>
      <c r="E76" s="19"/>
      <c r="F76" s="54"/>
      <c r="G76" s="1622" t="s">
        <v>1920</v>
      </c>
      <c r="H76" s="11" t="s">
        <v>806</v>
      </c>
      <c r="I76" s="261"/>
      <c r="J76" s="26"/>
      <c r="K76" s="1"/>
      <c r="L76" s="31"/>
      <c r="M76" s="31"/>
      <c r="N76" s="32" t="s">
        <v>23</v>
      </c>
      <c r="O76" s="556">
        <f>SUM(O75)</f>
        <v>132104.4</v>
      </c>
    </row>
    <row r="77" spans="1:15" ht="15">
      <c r="A77" s="1"/>
      <c r="B77" s="13"/>
      <c r="C77" s="14" t="s">
        <v>33</v>
      </c>
      <c r="D77" s="40"/>
      <c r="E77" s="19"/>
      <c r="F77" s="54"/>
      <c r="G77" s="13"/>
      <c r="H77" s="14" t="s">
        <v>50</v>
      </c>
      <c r="I77" s="54"/>
      <c r="J77" s="27"/>
      <c r="K77" s="1"/>
      <c r="L77" s="31"/>
      <c r="M77" s="31"/>
      <c r="N77" s="31"/>
      <c r="O77" s="31"/>
    </row>
    <row r="78" spans="1:15" ht="15">
      <c r="A78" s="1"/>
      <c r="B78" s="13"/>
      <c r="C78" s="14" t="s">
        <v>25</v>
      </c>
      <c r="D78" s="40"/>
      <c r="E78" s="19"/>
      <c r="F78" s="54"/>
      <c r="G78" s="13"/>
      <c r="H78" s="43" t="s">
        <v>25</v>
      </c>
      <c r="I78" s="54"/>
      <c r="J78" s="27"/>
      <c r="K78" s="1"/>
      <c r="L78" s="31"/>
      <c r="M78" s="31"/>
      <c r="N78" s="31"/>
      <c r="O78" s="31"/>
    </row>
    <row r="79" spans="1:15" ht="15.75" thickBot="1">
      <c r="A79" s="1"/>
      <c r="B79" s="553" t="s">
        <v>160</v>
      </c>
      <c r="C79" s="582">
        <v>8222342426</v>
      </c>
      <c r="D79" s="40"/>
      <c r="E79" s="19"/>
      <c r="F79" s="54"/>
      <c r="G79" s="433"/>
      <c r="H79" s="442"/>
      <c r="I79" s="226"/>
      <c r="J79" s="28"/>
      <c r="K79" s="1"/>
      <c r="L79" s="1"/>
      <c r="M79" s="1"/>
      <c r="N79" s="1"/>
      <c r="O79" s="1"/>
    </row>
    <row r="80" spans="1:15" ht="15.75" thickBot="1">
      <c r="A80" s="1"/>
      <c r="B80" s="433" t="s">
        <v>1061</v>
      </c>
      <c r="C80" s="97" t="s">
        <v>1807</v>
      </c>
      <c r="D80" s="41"/>
      <c r="E80" s="54"/>
      <c r="F80" s="54"/>
      <c r="G80" s="594"/>
      <c r="H80" s="14"/>
      <c r="I80" s="1"/>
      <c r="J80" s="1"/>
      <c r="K80" s="1"/>
      <c r="L80" s="1"/>
      <c r="M80" s="1"/>
      <c r="N80" s="1"/>
      <c r="O80" s="1"/>
    </row>
    <row r="81" spans="1:15" ht="15" thickBo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42.75" customHeight="1">
      <c r="A82" s="1670" t="s">
        <v>6</v>
      </c>
      <c r="B82" s="1673" t="s">
        <v>633</v>
      </c>
      <c r="C82" s="1676" t="s">
        <v>8</v>
      </c>
      <c r="D82" s="1676" t="s">
        <v>9</v>
      </c>
      <c r="E82" s="1656" t="s">
        <v>634</v>
      </c>
      <c r="F82" s="1656" t="s">
        <v>11</v>
      </c>
      <c r="G82" s="1676" t="s">
        <v>12</v>
      </c>
      <c r="H82" s="1656" t="s">
        <v>13</v>
      </c>
      <c r="I82" s="1656" t="s">
        <v>269</v>
      </c>
      <c r="J82" s="1656" t="s">
        <v>59</v>
      </c>
      <c r="K82" s="1665" t="s">
        <v>635</v>
      </c>
      <c r="L82" s="1725" t="s">
        <v>636</v>
      </c>
      <c r="M82" s="1719"/>
      <c r="N82" s="1719"/>
      <c r="O82" s="1726"/>
    </row>
    <row r="83" spans="1:15" ht="32.25" customHeight="1">
      <c r="A83" s="1671"/>
      <c r="B83" s="1674"/>
      <c r="C83" s="1677"/>
      <c r="D83" s="1677"/>
      <c r="E83" s="1657"/>
      <c r="F83" s="1657"/>
      <c r="G83" s="1677"/>
      <c r="H83" s="1657"/>
      <c r="I83" s="1698"/>
      <c r="J83" s="1657"/>
      <c r="K83" s="1666"/>
      <c r="L83" s="1679" t="s">
        <v>637</v>
      </c>
      <c r="M83" s="1654"/>
      <c r="N83" s="1654"/>
      <c r="O83" s="1680"/>
    </row>
    <row r="84" spans="1:15" ht="28.5" customHeight="1" thickBot="1">
      <c r="A84" s="1672"/>
      <c r="B84" s="1675"/>
      <c r="C84" s="1678"/>
      <c r="D84" s="1678"/>
      <c r="E84" s="1658"/>
      <c r="F84" s="1658"/>
      <c r="G84" s="1678"/>
      <c r="H84" s="1658"/>
      <c r="I84" s="1699"/>
      <c r="J84" s="1658"/>
      <c r="K84" s="1667"/>
      <c r="L84" s="263" t="s">
        <v>638</v>
      </c>
      <c r="M84" s="270" t="s">
        <v>639</v>
      </c>
      <c r="N84" s="270" t="s">
        <v>640</v>
      </c>
      <c r="O84" s="265" t="s">
        <v>16</v>
      </c>
    </row>
    <row r="85" spans="1:15" ht="18.75" thickBot="1">
      <c r="A85" s="595" t="s">
        <v>26</v>
      </c>
      <c r="B85" s="1068"/>
      <c r="C85" s="1092" t="s">
        <v>51</v>
      </c>
      <c r="D85" s="1092"/>
      <c r="E85" s="1068">
        <v>8</v>
      </c>
      <c r="F85" s="1068" t="s">
        <v>20</v>
      </c>
      <c r="G85" s="776" t="s">
        <v>18</v>
      </c>
      <c r="H85" s="1089" t="s">
        <v>52</v>
      </c>
      <c r="I85" s="103">
        <v>871533</v>
      </c>
      <c r="J85" s="538" t="s">
        <v>21</v>
      </c>
      <c r="K85" s="267">
        <v>40</v>
      </c>
      <c r="L85" s="434">
        <v>74780</v>
      </c>
      <c r="M85" s="269"/>
      <c r="N85" s="269"/>
      <c r="O85" s="268">
        <f>L85</f>
        <v>74780</v>
      </c>
    </row>
    <row r="86" spans="1:15" ht="30">
      <c r="A86" s="1"/>
      <c r="B86" s="10" t="s">
        <v>22</v>
      </c>
      <c r="C86" s="11" t="s">
        <v>805</v>
      </c>
      <c r="D86" s="42"/>
      <c r="E86" s="19"/>
      <c r="F86" s="14"/>
      <c r="G86" s="1622" t="s">
        <v>1920</v>
      </c>
      <c r="H86" s="11" t="s">
        <v>808</v>
      </c>
      <c r="I86" s="12"/>
      <c r="J86" s="1"/>
      <c r="K86" s="1"/>
      <c r="L86" s="1"/>
      <c r="M86" s="1"/>
      <c r="N86" s="268" t="s">
        <v>23</v>
      </c>
      <c r="O86" s="567">
        <f>SUM(O85)</f>
        <v>74780</v>
      </c>
    </row>
    <row r="87" spans="1:15" ht="15">
      <c r="A87" s="5"/>
      <c r="B87" s="13"/>
      <c r="C87" s="14" t="s">
        <v>33</v>
      </c>
      <c r="D87" s="40"/>
      <c r="E87" s="19"/>
      <c r="F87" s="14"/>
      <c r="G87" s="13"/>
      <c r="H87" s="14" t="s">
        <v>53</v>
      </c>
      <c r="I87" s="15"/>
      <c r="J87" s="5"/>
      <c r="K87" s="7"/>
      <c r="L87" s="31"/>
      <c r="M87" s="31"/>
      <c r="N87" s="31"/>
      <c r="O87" s="31"/>
    </row>
    <row r="88" spans="1:15" ht="15">
      <c r="A88" s="5"/>
      <c r="B88" s="13"/>
      <c r="C88" s="14" t="s">
        <v>25</v>
      </c>
      <c r="D88" s="40"/>
      <c r="E88" s="19"/>
      <c r="F88" s="14"/>
      <c r="G88" s="13"/>
      <c r="H88" s="14" t="s">
        <v>1026</v>
      </c>
      <c r="I88" s="15"/>
      <c r="J88" s="5"/>
      <c r="K88" s="7"/>
      <c r="L88" s="31"/>
      <c r="M88" s="31"/>
      <c r="N88" s="31"/>
      <c r="O88" s="31"/>
    </row>
    <row r="89" spans="1:15" s="1" customFormat="1" ht="15">
      <c r="A89" s="287"/>
      <c r="B89" s="553" t="s">
        <v>160</v>
      </c>
      <c r="C89" s="582">
        <v>8222342426</v>
      </c>
      <c r="D89" s="40"/>
      <c r="E89" s="19"/>
      <c r="F89" s="14"/>
      <c r="G89" s="13"/>
      <c r="H89" s="14" t="s">
        <v>25</v>
      </c>
      <c r="I89" s="15"/>
      <c r="J89" s="287"/>
      <c r="K89" s="7"/>
      <c r="L89" s="31"/>
      <c r="M89" s="31"/>
      <c r="N89" s="31"/>
      <c r="O89" s="31"/>
    </row>
    <row r="90" spans="1:15" ht="15.75" thickBot="1">
      <c r="A90" s="5"/>
      <c r="B90" s="433"/>
      <c r="C90" s="97"/>
      <c r="D90" s="41"/>
      <c r="E90" s="19"/>
      <c r="F90" s="14"/>
      <c r="G90" s="433"/>
      <c r="H90" s="442"/>
      <c r="I90" s="18"/>
      <c r="J90" s="5"/>
      <c r="K90" s="7"/>
      <c r="L90" s="31"/>
      <c r="M90" s="31"/>
      <c r="N90" s="31"/>
      <c r="O90" s="31"/>
    </row>
    <row r="91" spans="1:15">
      <c r="D91" s="54"/>
      <c r="E91" s="54"/>
      <c r="F91" s="54"/>
      <c r="G91" s="594"/>
      <c r="H91" s="54"/>
    </row>
    <row r="92" spans="1:15" ht="15" thickBot="1"/>
    <row r="93" spans="1:15" ht="35.25" customHeight="1">
      <c r="A93" s="1670" t="s">
        <v>6</v>
      </c>
      <c r="B93" s="1673" t="s">
        <v>633</v>
      </c>
      <c r="C93" s="1676" t="s">
        <v>8</v>
      </c>
      <c r="D93" s="1676" t="s">
        <v>9</v>
      </c>
      <c r="E93" s="1656" t="s">
        <v>634</v>
      </c>
      <c r="F93" s="1656" t="s">
        <v>11</v>
      </c>
      <c r="G93" s="1676" t="s">
        <v>12</v>
      </c>
      <c r="H93" s="1656" t="s">
        <v>13</v>
      </c>
      <c r="I93" s="1656" t="s">
        <v>269</v>
      </c>
      <c r="J93" s="1656" t="s">
        <v>59</v>
      </c>
      <c r="K93" s="1665" t="s">
        <v>635</v>
      </c>
      <c r="L93" s="1725" t="s">
        <v>636</v>
      </c>
      <c r="M93" s="1719"/>
      <c r="N93" s="1719"/>
      <c r="O93" s="1726"/>
    </row>
    <row r="94" spans="1:15" ht="33.75" customHeight="1">
      <c r="A94" s="1671"/>
      <c r="B94" s="1674"/>
      <c r="C94" s="1677"/>
      <c r="D94" s="1677"/>
      <c r="E94" s="1657"/>
      <c r="F94" s="1657"/>
      <c r="G94" s="1677"/>
      <c r="H94" s="1657"/>
      <c r="I94" s="1698"/>
      <c r="J94" s="1657"/>
      <c r="K94" s="1666"/>
      <c r="L94" s="1679" t="s">
        <v>637</v>
      </c>
      <c r="M94" s="1654"/>
      <c r="N94" s="1654"/>
      <c r="O94" s="1680"/>
    </row>
    <row r="95" spans="1:15" ht="28.5" customHeight="1" thickBot="1">
      <c r="A95" s="1672"/>
      <c r="B95" s="1675"/>
      <c r="C95" s="1678"/>
      <c r="D95" s="1678"/>
      <c r="E95" s="1658"/>
      <c r="F95" s="1658"/>
      <c r="G95" s="1678"/>
      <c r="H95" s="1658"/>
      <c r="I95" s="1699"/>
      <c r="J95" s="1658"/>
      <c r="K95" s="1667"/>
      <c r="L95" s="263" t="s">
        <v>638</v>
      </c>
      <c r="M95" s="264" t="s">
        <v>639</v>
      </c>
      <c r="N95" s="264" t="s">
        <v>640</v>
      </c>
      <c r="O95" s="265" t="s">
        <v>16</v>
      </c>
    </row>
    <row r="96" spans="1:15" ht="29.25">
      <c r="A96" s="552" t="s">
        <v>26</v>
      </c>
      <c r="B96" s="4"/>
      <c r="C96" s="3" t="s">
        <v>18</v>
      </c>
      <c r="D96" s="3" t="s">
        <v>54</v>
      </c>
      <c r="E96" s="4">
        <v>219</v>
      </c>
      <c r="F96" s="4" t="s">
        <v>20</v>
      </c>
      <c r="G96" s="3" t="s">
        <v>18</v>
      </c>
      <c r="H96" s="695" t="s">
        <v>55</v>
      </c>
      <c r="I96" s="22">
        <v>70529858</v>
      </c>
      <c r="J96" s="386" t="s">
        <v>28</v>
      </c>
      <c r="K96" s="8">
        <v>39</v>
      </c>
      <c r="L96" s="816">
        <v>22500</v>
      </c>
      <c r="M96" s="33"/>
      <c r="N96" s="33"/>
      <c r="O96" s="32">
        <f>L96</f>
        <v>22500</v>
      </c>
    </row>
    <row r="97" spans="1:15" ht="29.25">
      <c r="A97" s="552" t="s">
        <v>26</v>
      </c>
      <c r="B97" s="4"/>
      <c r="C97" s="23" t="s">
        <v>18</v>
      </c>
      <c r="D97" s="23" t="s">
        <v>54</v>
      </c>
      <c r="E97" s="4">
        <v>14</v>
      </c>
      <c r="F97" s="4" t="s">
        <v>20</v>
      </c>
      <c r="G97" s="3" t="s">
        <v>18</v>
      </c>
      <c r="H97" s="695" t="s">
        <v>56</v>
      </c>
      <c r="I97" s="22">
        <v>70907947</v>
      </c>
      <c r="J97" s="386" t="s">
        <v>28</v>
      </c>
      <c r="K97" s="8">
        <v>2.5</v>
      </c>
      <c r="L97" s="816">
        <v>1000</v>
      </c>
      <c r="M97" s="33"/>
      <c r="N97" s="33"/>
      <c r="O97" s="32">
        <f>L97</f>
        <v>1000</v>
      </c>
    </row>
    <row r="98" spans="1:15" ht="30" thickBot="1">
      <c r="A98" s="552" t="s">
        <v>26</v>
      </c>
      <c r="B98" s="4"/>
      <c r="C98" s="23" t="s">
        <v>18</v>
      </c>
      <c r="D98" s="23" t="s">
        <v>54</v>
      </c>
      <c r="E98" s="4">
        <v>217</v>
      </c>
      <c r="F98" s="4" t="s">
        <v>20</v>
      </c>
      <c r="G98" s="9" t="s">
        <v>18</v>
      </c>
      <c r="H98" s="771" t="s">
        <v>57</v>
      </c>
      <c r="I98" s="20">
        <v>27262</v>
      </c>
      <c r="J98" s="386" t="s">
        <v>28</v>
      </c>
      <c r="K98" s="8">
        <v>3</v>
      </c>
      <c r="L98" s="1560">
        <v>3200</v>
      </c>
      <c r="M98" s="33"/>
      <c r="N98" s="33"/>
      <c r="O98" s="32">
        <f>L98</f>
        <v>3200</v>
      </c>
    </row>
    <row r="99" spans="1:15" ht="30">
      <c r="A99" s="1"/>
      <c r="B99" s="10" t="s">
        <v>22</v>
      </c>
      <c r="C99" s="11" t="s">
        <v>805</v>
      </c>
      <c r="D99" s="42"/>
      <c r="G99" s="1622" t="s">
        <v>1920</v>
      </c>
      <c r="H99" s="11" t="s">
        <v>807</v>
      </c>
      <c r="I99" s="42"/>
      <c r="J99" s="19"/>
      <c r="K99" s="14"/>
      <c r="L99" s="54"/>
      <c r="M99" s="31"/>
      <c r="N99" s="32" t="s">
        <v>23</v>
      </c>
      <c r="O99" s="556">
        <f>SUM(O96:O98)</f>
        <v>26700</v>
      </c>
    </row>
    <row r="100" spans="1:15" ht="15">
      <c r="A100" s="1"/>
      <c r="B100" s="13"/>
      <c r="C100" s="14" t="s">
        <v>33</v>
      </c>
      <c r="D100" s="40"/>
      <c r="G100" s="13"/>
      <c r="H100" s="14" t="s">
        <v>58</v>
      </c>
      <c r="I100" s="40"/>
      <c r="J100" s="19"/>
      <c r="K100" s="14"/>
      <c r="L100" s="54"/>
      <c r="M100" s="1"/>
      <c r="N100" s="1"/>
      <c r="O100" s="1"/>
    </row>
    <row r="101" spans="1:15" ht="15">
      <c r="A101" s="1"/>
      <c r="B101" s="13"/>
      <c r="C101" s="14" t="s">
        <v>25</v>
      </c>
      <c r="D101" s="40"/>
      <c r="G101" s="13"/>
      <c r="H101" s="14" t="s">
        <v>25</v>
      </c>
      <c r="I101" s="40"/>
      <c r="J101" s="19"/>
      <c r="K101" s="14"/>
      <c r="L101" s="54"/>
      <c r="M101" s="1"/>
      <c r="N101" s="1"/>
      <c r="O101" s="1"/>
    </row>
    <row r="102" spans="1:15" ht="15.75" thickBot="1">
      <c r="A102" s="1"/>
      <c r="B102" s="553" t="s">
        <v>160</v>
      </c>
      <c r="C102" s="582">
        <v>8222342426</v>
      </c>
      <c r="D102" s="40"/>
      <c r="G102" s="433"/>
      <c r="H102" s="442"/>
      <c r="I102" s="41"/>
      <c r="J102" s="19"/>
      <c r="K102" s="14"/>
      <c r="L102" s="54"/>
      <c r="M102" s="31"/>
      <c r="N102" s="1"/>
      <c r="O102" s="1"/>
    </row>
    <row r="103" spans="1:15" ht="15.75" thickBot="1">
      <c r="A103" s="1"/>
      <c r="B103" s="433" t="s">
        <v>1061</v>
      </c>
      <c r="C103" s="97" t="s">
        <v>1807</v>
      </c>
      <c r="D103" s="41"/>
      <c r="G103" s="594"/>
      <c r="H103" s="14"/>
      <c r="I103" s="54"/>
      <c r="J103" s="54"/>
      <c r="K103" s="54"/>
      <c r="L103" s="54"/>
      <c r="M103" s="1"/>
      <c r="N103" s="1"/>
      <c r="O103" s="1"/>
    </row>
    <row r="104" spans="1:15" s="1" customFormat="1" ht="15.75" thickBot="1">
      <c r="B104" s="594"/>
      <c r="C104" s="14"/>
      <c r="D104" s="54"/>
      <c r="E104" s="54"/>
      <c r="F104" s="54"/>
      <c r="G104" s="54"/>
    </row>
    <row r="105" spans="1:15" s="1" customFormat="1" ht="42.75" customHeight="1">
      <c r="A105" s="1662" t="s">
        <v>6</v>
      </c>
      <c r="B105" s="1656" t="s">
        <v>7</v>
      </c>
      <c r="C105" s="1656" t="s">
        <v>8</v>
      </c>
      <c r="D105" s="1656" t="s">
        <v>9</v>
      </c>
      <c r="E105" s="1656" t="s">
        <v>10</v>
      </c>
      <c r="F105" s="1656" t="s">
        <v>11</v>
      </c>
      <c r="G105" s="1656" t="s">
        <v>12</v>
      </c>
      <c r="H105" s="1656" t="s">
        <v>13</v>
      </c>
      <c r="I105" s="1656" t="s">
        <v>269</v>
      </c>
      <c r="J105" s="1656" t="s">
        <v>59</v>
      </c>
      <c r="K105" s="1722" t="s">
        <v>15</v>
      </c>
      <c r="L105" s="1725" t="s">
        <v>636</v>
      </c>
      <c r="M105" s="1719"/>
      <c r="N105" s="1719"/>
      <c r="O105" s="1726"/>
    </row>
    <row r="106" spans="1:15" s="1" customFormat="1" ht="42.75" customHeight="1">
      <c r="A106" s="1663"/>
      <c r="B106" s="1657"/>
      <c r="C106" s="1657"/>
      <c r="D106" s="1657"/>
      <c r="E106" s="1657"/>
      <c r="F106" s="1657"/>
      <c r="G106" s="1657"/>
      <c r="H106" s="1657"/>
      <c r="I106" s="1657"/>
      <c r="J106" s="1657"/>
      <c r="K106" s="1723"/>
      <c r="L106" s="1679" t="s">
        <v>637</v>
      </c>
      <c r="M106" s="1654"/>
      <c r="N106" s="1654"/>
      <c r="O106" s="1680"/>
    </row>
    <row r="107" spans="1:15" s="1" customFormat="1" ht="42.75" customHeight="1" thickBot="1">
      <c r="A107" s="1664"/>
      <c r="B107" s="1658"/>
      <c r="C107" s="1658"/>
      <c r="D107" s="1658"/>
      <c r="E107" s="1658"/>
      <c r="F107" s="1658"/>
      <c r="G107" s="1658"/>
      <c r="H107" s="1658"/>
      <c r="I107" s="1658"/>
      <c r="J107" s="1658"/>
      <c r="K107" s="1724"/>
      <c r="L107" s="571" t="s">
        <v>638</v>
      </c>
      <c r="M107" s="929" t="s">
        <v>639</v>
      </c>
      <c r="N107" s="929" t="s">
        <v>640</v>
      </c>
      <c r="O107" s="930" t="s">
        <v>16</v>
      </c>
    </row>
    <row r="108" spans="1:15" s="1" customFormat="1" ht="51" customHeight="1" thickBot="1">
      <c r="A108" s="601" t="s">
        <v>26</v>
      </c>
      <c r="B108" s="1094" t="s">
        <v>1325</v>
      </c>
      <c r="C108" s="1095" t="s">
        <v>1326</v>
      </c>
      <c r="D108" s="1068"/>
      <c r="E108" s="1068"/>
      <c r="F108" s="182" t="s">
        <v>253</v>
      </c>
      <c r="G108" s="360" t="s">
        <v>254</v>
      </c>
      <c r="H108" s="1089" t="s">
        <v>1450</v>
      </c>
      <c r="I108" s="777">
        <v>50436111</v>
      </c>
      <c r="J108" s="1103" t="s">
        <v>1099</v>
      </c>
      <c r="K108" s="829">
        <v>5</v>
      </c>
      <c r="L108" s="269"/>
      <c r="M108" s="932">
        <f>(8903.1-5928)*80</f>
        <v>238008.00000000003</v>
      </c>
      <c r="N108" s="933">
        <f>(3394.9-2237.3)*80</f>
        <v>92608</v>
      </c>
      <c r="O108" s="268">
        <f>SUM(M108:N108)</f>
        <v>330616</v>
      </c>
    </row>
    <row r="109" spans="1:15" s="1" customFormat="1" ht="30">
      <c r="B109" s="10" t="s">
        <v>22</v>
      </c>
      <c r="C109" s="11" t="s">
        <v>805</v>
      </c>
      <c r="D109" s="42"/>
      <c r="F109" s="54"/>
      <c r="G109" s="1622" t="s">
        <v>1920</v>
      </c>
      <c r="H109" s="11" t="s">
        <v>1325</v>
      </c>
      <c r="I109" s="12"/>
      <c r="J109" s="14"/>
      <c r="M109" s="789"/>
      <c r="N109" s="32" t="s">
        <v>23</v>
      </c>
      <c r="O109" s="556">
        <f>SUM(O106:O108)</f>
        <v>330616</v>
      </c>
    </row>
    <row r="110" spans="1:15" s="1" customFormat="1" ht="15">
      <c r="B110" s="13"/>
      <c r="C110" s="14" t="s">
        <v>33</v>
      </c>
      <c r="D110" s="40"/>
      <c r="F110" s="54"/>
      <c r="G110" s="553"/>
      <c r="H110" s="14" t="s">
        <v>1448</v>
      </c>
      <c r="I110" s="15"/>
      <c r="J110" s="14"/>
      <c r="M110" s="789"/>
      <c r="N110" s="789"/>
      <c r="O110" s="790"/>
    </row>
    <row r="111" spans="1:15" s="1" customFormat="1" ht="15">
      <c r="B111" s="13"/>
      <c r="C111" s="14" t="s">
        <v>25</v>
      </c>
      <c r="D111" s="40"/>
      <c r="F111" s="54"/>
      <c r="G111" s="553"/>
      <c r="H111" s="14" t="s">
        <v>512</v>
      </c>
      <c r="I111" s="15"/>
      <c r="J111" s="14"/>
    </row>
    <row r="112" spans="1:15" s="1" customFormat="1" ht="15.75" thickBot="1">
      <c r="B112" s="553" t="s">
        <v>160</v>
      </c>
      <c r="C112" s="582">
        <v>8222342426</v>
      </c>
      <c r="D112" s="40"/>
      <c r="F112" s="54"/>
      <c r="G112" s="433"/>
      <c r="H112" s="702"/>
      <c r="I112" s="18"/>
      <c r="J112" s="14"/>
    </row>
    <row r="113" spans="1:15" s="1" customFormat="1" ht="15.75" thickBot="1">
      <c r="B113" s="433" t="s">
        <v>1061</v>
      </c>
      <c r="C113" s="97" t="s">
        <v>1807</v>
      </c>
      <c r="D113" s="41"/>
      <c r="F113" s="54"/>
      <c r="G113" s="577"/>
      <c r="H113" s="14"/>
      <c r="I113" s="14"/>
      <c r="J113" s="14"/>
    </row>
    <row r="114" spans="1:15" s="1" customFormat="1" ht="15.75" thickBot="1">
      <c r="B114" s="594"/>
      <c r="C114" s="14"/>
      <c r="D114" s="54"/>
      <c r="E114" s="54"/>
      <c r="F114" s="54"/>
      <c r="G114" s="54"/>
    </row>
    <row r="115" spans="1:15" s="1" customFormat="1" ht="47.25" customHeight="1">
      <c r="A115" s="1662" t="s">
        <v>6</v>
      </c>
      <c r="B115" s="1656" t="s">
        <v>7</v>
      </c>
      <c r="C115" s="1656" t="s">
        <v>8</v>
      </c>
      <c r="D115" s="1656" t="s">
        <v>9</v>
      </c>
      <c r="E115" s="1656" t="s">
        <v>10</v>
      </c>
      <c r="F115" s="1656" t="s">
        <v>11</v>
      </c>
      <c r="G115" s="1656" t="s">
        <v>12</v>
      </c>
      <c r="H115" s="1656" t="s">
        <v>13</v>
      </c>
      <c r="I115" s="1656" t="s">
        <v>269</v>
      </c>
      <c r="J115" s="1656" t="s">
        <v>59</v>
      </c>
      <c r="K115" s="1722" t="s">
        <v>15</v>
      </c>
      <c r="L115" s="1725" t="s">
        <v>636</v>
      </c>
      <c r="M115" s="1719"/>
      <c r="N115" s="1719"/>
      <c r="O115" s="1726"/>
    </row>
    <row r="116" spans="1:15" s="1" customFormat="1" ht="47.25" customHeight="1">
      <c r="A116" s="1663"/>
      <c r="B116" s="1657"/>
      <c r="C116" s="1657"/>
      <c r="D116" s="1657"/>
      <c r="E116" s="1657"/>
      <c r="F116" s="1657"/>
      <c r="G116" s="1657"/>
      <c r="H116" s="1657"/>
      <c r="I116" s="1657"/>
      <c r="J116" s="1657"/>
      <c r="K116" s="1723"/>
      <c r="L116" s="1679" t="s">
        <v>637</v>
      </c>
      <c r="M116" s="1654"/>
      <c r="N116" s="1654"/>
      <c r="O116" s="1680"/>
    </row>
    <row r="117" spans="1:15" s="1" customFormat="1" ht="47.25" customHeight="1" thickBot="1">
      <c r="A117" s="1664"/>
      <c r="B117" s="1658"/>
      <c r="C117" s="1658"/>
      <c r="D117" s="1658"/>
      <c r="E117" s="1658"/>
      <c r="F117" s="1658"/>
      <c r="G117" s="1658"/>
      <c r="H117" s="1658"/>
      <c r="I117" s="1658"/>
      <c r="J117" s="1658"/>
      <c r="K117" s="1724"/>
      <c r="L117" s="571" t="s">
        <v>638</v>
      </c>
      <c r="M117" s="929" t="s">
        <v>639</v>
      </c>
      <c r="N117" s="929" t="s">
        <v>640</v>
      </c>
      <c r="O117" s="930" t="s">
        <v>16</v>
      </c>
    </row>
    <row r="118" spans="1:15" s="1" customFormat="1" ht="53.25" customHeight="1" thickBot="1">
      <c r="A118" s="601" t="s">
        <v>26</v>
      </c>
      <c r="B118" s="1094" t="s">
        <v>1327</v>
      </c>
      <c r="C118" s="1096" t="s">
        <v>1329</v>
      </c>
      <c r="D118" s="1068"/>
      <c r="E118" s="1068">
        <v>22</v>
      </c>
      <c r="F118" s="182" t="s">
        <v>367</v>
      </c>
      <c r="G118" s="182" t="s">
        <v>365</v>
      </c>
      <c r="H118" s="710" t="s">
        <v>1449</v>
      </c>
      <c r="I118" s="182">
        <v>556994</v>
      </c>
      <c r="J118" s="483" t="s">
        <v>716</v>
      </c>
      <c r="K118" s="829">
        <v>80</v>
      </c>
      <c r="L118" s="268">
        <v>102000</v>
      </c>
      <c r="M118" s="269"/>
      <c r="N118" s="269"/>
      <c r="O118" s="268">
        <f>L118</f>
        <v>102000</v>
      </c>
    </row>
    <row r="119" spans="1:15" s="1" customFormat="1" ht="30">
      <c r="B119" s="10" t="s">
        <v>22</v>
      </c>
      <c r="C119" s="11" t="s">
        <v>805</v>
      </c>
      <c r="D119" s="42"/>
      <c r="F119" s="54"/>
      <c r="G119" s="1622" t="s">
        <v>1920</v>
      </c>
      <c r="H119" s="11" t="s">
        <v>1327</v>
      </c>
      <c r="I119" s="11"/>
      <c r="J119" s="12"/>
      <c r="N119" s="32" t="s">
        <v>23</v>
      </c>
      <c r="O119" s="556">
        <f>SUM(O116:O118)</f>
        <v>102000</v>
      </c>
    </row>
    <row r="120" spans="1:15" s="1" customFormat="1" ht="15">
      <c r="B120" s="13"/>
      <c r="C120" s="14" t="s">
        <v>33</v>
      </c>
      <c r="D120" s="40"/>
      <c r="F120" s="54"/>
      <c r="G120" s="553"/>
      <c r="H120" s="14" t="s">
        <v>1328</v>
      </c>
      <c r="I120" s="14"/>
      <c r="J120" s="15"/>
    </row>
    <row r="121" spans="1:15" s="1" customFormat="1" ht="15">
      <c r="B121" s="13"/>
      <c r="C121" s="14" t="s">
        <v>25</v>
      </c>
      <c r="D121" s="40"/>
      <c r="F121" s="54"/>
      <c r="G121" s="553"/>
      <c r="H121" s="14" t="s">
        <v>406</v>
      </c>
      <c r="I121" s="14"/>
      <c r="J121" s="15"/>
    </row>
    <row r="122" spans="1:15" s="1" customFormat="1" ht="15.75" thickBot="1">
      <c r="B122" s="553" t="s">
        <v>160</v>
      </c>
      <c r="C122" s="582">
        <v>8222342426</v>
      </c>
      <c r="D122" s="40"/>
      <c r="F122" s="54"/>
      <c r="G122" s="433"/>
      <c r="H122" s="702"/>
      <c r="I122" s="17"/>
      <c r="J122" s="18"/>
    </row>
    <row r="123" spans="1:15" s="1" customFormat="1" ht="15.75" thickBot="1">
      <c r="B123" s="433" t="s">
        <v>1061</v>
      </c>
      <c r="C123" s="97" t="s">
        <v>1807</v>
      </c>
      <c r="D123" s="41"/>
      <c r="F123" s="54"/>
      <c r="G123" s="577"/>
      <c r="H123" s="14"/>
      <c r="I123" s="14"/>
      <c r="J123" s="14"/>
    </row>
    <row r="124" spans="1:15" s="1" customFormat="1" ht="15.75" thickBot="1">
      <c r="B124" s="594"/>
      <c r="C124" s="14"/>
      <c r="D124" s="54"/>
      <c r="E124" s="54"/>
      <c r="F124" s="54"/>
      <c r="G124" s="54"/>
    </row>
    <row r="125" spans="1:15" s="1" customFormat="1" ht="47.25" customHeight="1">
      <c r="A125" s="1662" t="s">
        <v>6</v>
      </c>
      <c r="B125" s="1656" t="s">
        <v>7</v>
      </c>
      <c r="C125" s="1656" t="s">
        <v>8</v>
      </c>
      <c r="D125" s="1656" t="s">
        <v>9</v>
      </c>
      <c r="E125" s="1656" t="s">
        <v>10</v>
      </c>
      <c r="F125" s="1656" t="s">
        <v>11</v>
      </c>
      <c r="G125" s="1656" t="s">
        <v>12</v>
      </c>
      <c r="H125" s="1656" t="s">
        <v>13</v>
      </c>
      <c r="I125" s="1656" t="s">
        <v>269</v>
      </c>
      <c r="J125" s="1656" t="s">
        <v>59</v>
      </c>
      <c r="K125" s="1722" t="s">
        <v>15</v>
      </c>
      <c r="L125" s="1725" t="s">
        <v>636</v>
      </c>
      <c r="M125" s="1719"/>
      <c r="N125" s="1719"/>
      <c r="O125" s="1726"/>
    </row>
    <row r="126" spans="1:15" s="1" customFormat="1" ht="47.25" customHeight="1">
      <c r="A126" s="1663"/>
      <c r="B126" s="1657"/>
      <c r="C126" s="1657"/>
      <c r="D126" s="1657"/>
      <c r="E126" s="1657"/>
      <c r="F126" s="1657"/>
      <c r="G126" s="1657"/>
      <c r="H126" s="1657"/>
      <c r="I126" s="1657"/>
      <c r="J126" s="1657"/>
      <c r="K126" s="1723"/>
      <c r="L126" s="1679" t="s">
        <v>637</v>
      </c>
      <c r="M126" s="1654"/>
      <c r="N126" s="1654"/>
      <c r="O126" s="1680"/>
    </row>
    <row r="127" spans="1:15" s="1" customFormat="1" ht="47.25" customHeight="1" thickBot="1">
      <c r="A127" s="1664"/>
      <c r="B127" s="1658"/>
      <c r="C127" s="1658"/>
      <c r="D127" s="1658"/>
      <c r="E127" s="1658"/>
      <c r="F127" s="1658"/>
      <c r="G127" s="1658"/>
      <c r="H127" s="1658"/>
      <c r="I127" s="1658"/>
      <c r="J127" s="1658"/>
      <c r="K127" s="1724"/>
      <c r="L127" s="571" t="s">
        <v>638</v>
      </c>
      <c r="M127" s="929" t="s">
        <v>639</v>
      </c>
      <c r="N127" s="929" t="s">
        <v>640</v>
      </c>
      <c r="O127" s="930" t="s">
        <v>16</v>
      </c>
    </row>
    <row r="128" spans="1:15" s="1" customFormat="1" ht="53.25" customHeight="1" thickBot="1">
      <c r="A128" s="601" t="s">
        <v>26</v>
      </c>
      <c r="B128" s="1094" t="s">
        <v>1330</v>
      </c>
      <c r="C128" s="1095" t="s">
        <v>1326</v>
      </c>
      <c r="D128" s="1068"/>
      <c r="E128" s="1068">
        <v>300</v>
      </c>
      <c r="F128" s="182" t="s">
        <v>253</v>
      </c>
      <c r="G128" s="777" t="s">
        <v>254</v>
      </c>
      <c r="H128" s="1104" t="s">
        <v>1452</v>
      </c>
      <c r="I128" s="777">
        <v>1073050</v>
      </c>
      <c r="J128" s="1103" t="s">
        <v>1331</v>
      </c>
      <c r="K128" s="829">
        <v>131</v>
      </c>
      <c r="L128" s="269"/>
      <c r="M128" s="932">
        <f>(4629.04-3275.17)*60</f>
        <v>81232.2</v>
      </c>
      <c r="N128" s="932">
        <f>(4074.65-2888-0.5)*60</f>
        <v>71169</v>
      </c>
      <c r="O128" s="932">
        <f>SUM(M128:N128)</f>
        <v>152401.20000000001</v>
      </c>
    </row>
    <row r="129" spans="1:19" s="1" customFormat="1" ht="30">
      <c r="B129" s="10" t="s">
        <v>22</v>
      </c>
      <c r="C129" s="11" t="s">
        <v>805</v>
      </c>
      <c r="D129" s="42"/>
      <c r="F129" s="54"/>
      <c r="G129" s="1622" t="s">
        <v>1920</v>
      </c>
      <c r="H129" s="11" t="s">
        <v>1330</v>
      </c>
      <c r="I129" s="12"/>
      <c r="J129" s="14"/>
      <c r="N129" s="32" t="s">
        <v>23</v>
      </c>
      <c r="O129" s="556">
        <f>SUM(O126:O128)</f>
        <v>152401.20000000001</v>
      </c>
    </row>
    <row r="130" spans="1:19" s="1" customFormat="1" ht="15">
      <c r="B130" s="13"/>
      <c r="C130" s="14" t="s">
        <v>33</v>
      </c>
      <c r="D130" s="40"/>
      <c r="F130" s="54"/>
      <c r="G130" s="553"/>
      <c r="H130" s="14" t="s">
        <v>1451</v>
      </c>
      <c r="I130" s="15"/>
      <c r="J130" s="14"/>
    </row>
    <row r="131" spans="1:19" s="1" customFormat="1" ht="15">
      <c r="B131" s="13"/>
      <c r="C131" s="14" t="s">
        <v>25</v>
      </c>
      <c r="D131" s="40"/>
      <c r="F131" s="54"/>
      <c r="G131" s="553"/>
      <c r="H131" s="14" t="s">
        <v>512</v>
      </c>
      <c r="I131" s="15"/>
      <c r="J131" s="14"/>
    </row>
    <row r="132" spans="1:19" s="1" customFormat="1" ht="15.75" thickBot="1">
      <c r="B132" s="553" t="s">
        <v>160</v>
      </c>
      <c r="C132" s="582">
        <v>8222342426</v>
      </c>
      <c r="D132" s="40"/>
      <c r="F132" s="54"/>
      <c r="G132" s="433"/>
      <c r="H132" s="702"/>
      <c r="I132" s="18"/>
      <c r="J132" s="14"/>
    </row>
    <row r="133" spans="1:19" s="1" customFormat="1" ht="15.75" thickBot="1">
      <c r="B133" s="433" t="s">
        <v>1061</v>
      </c>
      <c r="C133" s="97" t="s">
        <v>1807</v>
      </c>
      <c r="D133" s="41"/>
      <c r="F133" s="54"/>
      <c r="G133" s="577"/>
      <c r="H133" s="14"/>
      <c r="I133" s="14"/>
      <c r="J133" s="14"/>
    </row>
    <row r="134" spans="1:19" s="1" customFormat="1" ht="15.75" thickBot="1">
      <c r="B134" s="594"/>
      <c r="C134" s="14"/>
      <c r="D134" s="54"/>
      <c r="E134" s="54"/>
      <c r="F134" s="54"/>
      <c r="G134" s="54"/>
    </row>
    <row r="135" spans="1:19" s="1" customFormat="1" ht="44.25" customHeight="1">
      <c r="A135" s="1662" t="s">
        <v>6</v>
      </c>
      <c r="B135" s="1656" t="s">
        <v>7</v>
      </c>
      <c r="C135" s="1656" t="s">
        <v>8</v>
      </c>
      <c r="D135" s="1656" t="s">
        <v>9</v>
      </c>
      <c r="E135" s="1656" t="s">
        <v>10</v>
      </c>
      <c r="F135" s="1656" t="s">
        <v>11</v>
      </c>
      <c r="G135" s="1656" t="s">
        <v>12</v>
      </c>
      <c r="H135" s="1656" t="s">
        <v>13</v>
      </c>
      <c r="I135" s="1656" t="s">
        <v>269</v>
      </c>
      <c r="J135" s="1656" t="s">
        <v>59</v>
      </c>
      <c r="K135" s="1722" t="s">
        <v>15</v>
      </c>
      <c r="L135" s="1725" t="s">
        <v>636</v>
      </c>
      <c r="M135" s="1719"/>
      <c r="N135" s="1719"/>
      <c r="O135" s="1726"/>
    </row>
    <row r="136" spans="1:19" s="1" customFormat="1" ht="30" customHeight="1">
      <c r="A136" s="1663"/>
      <c r="B136" s="1657"/>
      <c r="C136" s="1657"/>
      <c r="D136" s="1657"/>
      <c r="E136" s="1657"/>
      <c r="F136" s="1657"/>
      <c r="G136" s="1657"/>
      <c r="H136" s="1657"/>
      <c r="I136" s="1657"/>
      <c r="J136" s="1657"/>
      <c r="K136" s="1723"/>
      <c r="L136" s="1679" t="s">
        <v>637</v>
      </c>
      <c r="M136" s="1654"/>
      <c r="N136" s="1654"/>
      <c r="O136" s="1680"/>
    </row>
    <row r="137" spans="1:19" s="1" customFormat="1" ht="27.75" customHeight="1" thickBot="1">
      <c r="A137" s="1664"/>
      <c r="B137" s="1658"/>
      <c r="C137" s="1658"/>
      <c r="D137" s="1658"/>
      <c r="E137" s="1658"/>
      <c r="F137" s="1658"/>
      <c r="G137" s="1658"/>
      <c r="H137" s="1658"/>
      <c r="I137" s="1658"/>
      <c r="J137" s="1658"/>
      <c r="K137" s="1724"/>
      <c r="L137" s="571" t="s">
        <v>638</v>
      </c>
      <c r="M137" s="929" t="s">
        <v>639</v>
      </c>
      <c r="N137" s="929" t="s">
        <v>640</v>
      </c>
      <c r="O137" s="930" t="s">
        <v>16</v>
      </c>
    </row>
    <row r="138" spans="1:19" s="1" customFormat="1" ht="52.5" customHeight="1">
      <c r="A138" s="601" t="s">
        <v>26</v>
      </c>
      <c r="B138" s="669" t="s">
        <v>1363</v>
      </c>
      <c r="C138" s="934" t="s">
        <v>674</v>
      </c>
      <c r="D138" s="360"/>
      <c r="E138" s="360">
        <v>33</v>
      </c>
      <c r="F138" s="182" t="s">
        <v>662</v>
      </c>
      <c r="G138" s="182" t="s">
        <v>661</v>
      </c>
      <c r="H138" s="710" t="s">
        <v>1453</v>
      </c>
      <c r="I138" s="182">
        <v>26219561</v>
      </c>
      <c r="J138" s="483" t="s">
        <v>716</v>
      </c>
      <c r="K138" s="829">
        <v>4</v>
      </c>
      <c r="L138" s="268">
        <f>6736-4935</f>
        <v>1801</v>
      </c>
      <c r="M138" s="269"/>
      <c r="N138" s="269"/>
      <c r="O138" s="268">
        <f>L138</f>
        <v>1801</v>
      </c>
    </row>
    <row r="139" spans="1:19" s="1" customFormat="1" ht="52.5" customHeight="1">
      <c r="A139" s="601" t="s">
        <v>26</v>
      </c>
      <c r="B139" s="46" t="s">
        <v>1363</v>
      </c>
      <c r="C139" s="820" t="s">
        <v>674</v>
      </c>
      <c r="D139" s="6"/>
      <c r="E139" s="6">
        <v>33</v>
      </c>
      <c r="F139" s="4" t="s">
        <v>662</v>
      </c>
      <c r="G139" s="4" t="s">
        <v>661</v>
      </c>
      <c r="H139" s="695" t="s">
        <v>1455</v>
      </c>
      <c r="I139" s="4">
        <v>78241703</v>
      </c>
      <c r="J139" s="29" t="s">
        <v>716</v>
      </c>
      <c r="K139" s="86">
        <v>20</v>
      </c>
      <c r="L139" s="32">
        <f>406807-375959</f>
        <v>30848</v>
      </c>
      <c r="M139" s="33"/>
      <c r="N139" s="33"/>
      <c r="O139" s="32">
        <f>L139</f>
        <v>30848</v>
      </c>
    </row>
    <row r="140" spans="1:19" s="1" customFormat="1" ht="52.5" customHeight="1" thickBot="1">
      <c r="A140" s="601" t="s">
        <v>26</v>
      </c>
      <c r="B140" s="1097" t="s">
        <v>1363</v>
      </c>
      <c r="C140" s="227" t="s">
        <v>674</v>
      </c>
      <c r="D140" s="4"/>
      <c r="E140" s="4"/>
      <c r="F140" s="4" t="s">
        <v>662</v>
      </c>
      <c r="G140" s="6" t="s">
        <v>661</v>
      </c>
      <c r="H140" s="771" t="s">
        <v>1454</v>
      </c>
      <c r="I140" s="4">
        <v>44960</v>
      </c>
      <c r="J140" s="29" t="s">
        <v>716</v>
      </c>
      <c r="K140" s="86">
        <v>4</v>
      </c>
      <c r="L140" s="32">
        <f>5768-4699</f>
        <v>1069</v>
      </c>
      <c r="M140" s="33"/>
      <c r="N140" s="33"/>
      <c r="O140" s="32">
        <f>L140</f>
        <v>1069</v>
      </c>
    </row>
    <row r="141" spans="1:19" s="1" customFormat="1" ht="30">
      <c r="A141" s="821"/>
      <c r="B141" s="10" t="s">
        <v>22</v>
      </c>
      <c r="C141" s="11" t="s">
        <v>805</v>
      </c>
      <c r="D141" s="42"/>
      <c r="E141" s="54"/>
      <c r="F141" s="54"/>
      <c r="G141" s="1622" t="s">
        <v>1920</v>
      </c>
      <c r="H141" s="12" t="s">
        <v>1363</v>
      </c>
      <c r="I141" s="14"/>
      <c r="L141" s="31"/>
      <c r="M141" s="31"/>
      <c r="N141" s="32" t="s">
        <v>23</v>
      </c>
      <c r="O141" s="556">
        <f>SUM(O138:O140)</f>
        <v>33718</v>
      </c>
    </row>
    <row r="142" spans="1:19" s="1" customFormat="1" ht="15">
      <c r="B142" s="13"/>
      <c r="C142" s="14" t="s">
        <v>33</v>
      </c>
      <c r="D142" s="40"/>
      <c r="E142" s="54"/>
      <c r="F142" s="54"/>
      <c r="G142" s="553"/>
      <c r="H142" s="15" t="s">
        <v>1364</v>
      </c>
      <c r="I142" s="14"/>
      <c r="L142" s="31"/>
    </row>
    <row r="143" spans="1:19" s="1" customFormat="1" ht="15">
      <c r="B143" s="13"/>
      <c r="C143" s="14" t="s">
        <v>25</v>
      </c>
      <c r="D143" s="40"/>
      <c r="E143" s="54"/>
      <c r="F143" s="54"/>
      <c r="G143" s="553"/>
      <c r="H143" s="15" t="s">
        <v>665</v>
      </c>
      <c r="I143" s="14"/>
      <c r="L143" s="70"/>
    </row>
    <row r="144" spans="1:19" s="1" customFormat="1" ht="15.75" thickBot="1">
      <c r="B144" s="553" t="s">
        <v>160</v>
      </c>
      <c r="C144" s="582">
        <v>8222342426</v>
      </c>
      <c r="D144" s="40"/>
      <c r="E144" s="54"/>
      <c r="F144" s="54"/>
      <c r="G144" s="433"/>
      <c r="H144" s="1105"/>
      <c r="I144" s="14"/>
      <c r="L144" s="70"/>
      <c r="R144" s="31"/>
      <c r="S144" s="31"/>
    </row>
    <row r="145" spans="1:19" s="1" customFormat="1" ht="15.75" thickBot="1">
      <c r="B145" s="433" t="s">
        <v>1061</v>
      </c>
      <c r="C145" s="97" t="s">
        <v>1807</v>
      </c>
      <c r="D145" s="41"/>
      <c r="E145" s="54"/>
      <c r="F145" s="54"/>
      <c r="G145" s="577"/>
      <c r="H145" s="700"/>
      <c r="I145" s="14"/>
      <c r="R145" s="31"/>
      <c r="S145" s="31"/>
    </row>
    <row r="146" spans="1:19" s="1" customFormat="1" ht="15">
      <c r="B146" s="594"/>
      <c r="C146" s="14"/>
      <c r="D146" s="54"/>
      <c r="E146" s="54"/>
      <c r="F146" s="54"/>
      <c r="G146" s="54"/>
      <c r="L146" s="36" t="s">
        <v>62</v>
      </c>
      <c r="M146" s="31">
        <f>O19+O31+O42+O53+O66+O76+O86+O99+O109+O119+O129+O141</f>
        <v>1599109.0999999999</v>
      </c>
    </row>
    <row r="147" spans="1:19" s="1" customFormat="1" ht="15.75" thickBot="1">
      <c r="B147" s="594"/>
      <c r="C147" s="14"/>
      <c r="D147" s="54"/>
      <c r="E147" s="54"/>
      <c r="F147" s="54"/>
      <c r="G147" s="54"/>
    </row>
    <row r="148" spans="1:19" ht="43.5" customHeight="1">
      <c r="A148" s="1"/>
      <c r="B148" s="1"/>
      <c r="C148" s="1"/>
      <c r="D148" s="1"/>
      <c r="E148" s="1"/>
      <c r="K148" s="1706" t="s">
        <v>59</v>
      </c>
      <c r="L148" s="1708" t="s">
        <v>644</v>
      </c>
      <c r="M148" s="1709"/>
      <c r="N148" s="1710"/>
      <c r="O148" s="1711" t="s">
        <v>60</v>
      </c>
    </row>
    <row r="149" spans="1:19" ht="30.75" customHeight="1" thickBot="1">
      <c r="A149" s="1"/>
      <c r="B149" s="1"/>
      <c r="C149" s="1"/>
      <c r="D149" s="1"/>
      <c r="E149" s="1"/>
      <c r="K149" s="1707"/>
      <c r="L149" s="274" t="s">
        <v>61</v>
      </c>
      <c r="M149" s="274" t="s">
        <v>639</v>
      </c>
      <c r="N149" s="274" t="s">
        <v>640</v>
      </c>
      <c r="O149" s="1712"/>
    </row>
    <row r="150" spans="1:19" ht="24.75" customHeight="1">
      <c r="A150" s="5"/>
      <c r="B150" s="1"/>
      <c r="C150" s="2"/>
      <c r="D150" s="2"/>
      <c r="E150" s="1"/>
      <c r="K150" s="406" t="s">
        <v>28</v>
      </c>
      <c r="L150" s="978">
        <f>O29+O30+O40+O41+O64+O65+O96+O97+O98</f>
        <v>373575</v>
      </c>
      <c r="M150" s="938"/>
      <c r="N150" s="939"/>
      <c r="O150" s="793">
        <v>9</v>
      </c>
    </row>
    <row r="151" spans="1:19" s="1" customFormat="1" ht="24.75" customHeight="1">
      <c r="A151" s="791"/>
      <c r="C151" s="2"/>
      <c r="D151" s="2"/>
      <c r="K151" s="977" t="s">
        <v>716</v>
      </c>
      <c r="L151" s="1051">
        <f>O118+O138+O139+O140</f>
        <v>135718</v>
      </c>
      <c r="M151" s="797"/>
      <c r="N151" s="940"/>
      <c r="O151" s="794">
        <v>4</v>
      </c>
    </row>
    <row r="152" spans="1:19" s="1" customFormat="1" ht="24.75" customHeight="1">
      <c r="A152" s="791"/>
      <c r="C152" s="2"/>
      <c r="D152" s="2"/>
      <c r="K152" s="977" t="s">
        <v>1099</v>
      </c>
      <c r="L152" s="1052"/>
      <c r="M152" s="214">
        <f>M108</f>
        <v>238008.00000000003</v>
      </c>
      <c r="N152" s="941">
        <f>N108</f>
        <v>92608</v>
      </c>
      <c r="O152" s="794">
        <v>1</v>
      </c>
    </row>
    <row r="153" spans="1:19" s="1" customFormat="1" ht="24.75" customHeight="1">
      <c r="A153" s="791"/>
      <c r="C153" s="2"/>
      <c r="D153" s="2"/>
      <c r="K153" s="977" t="s">
        <v>1331</v>
      </c>
      <c r="L153" s="1052"/>
      <c r="M153" s="214">
        <f>M128</f>
        <v>81232.2</v>
      </c>
      <c r="N153" s="941">
        <f>N128</f>
        <v>71169</v>
      </c>
      <c r="O153" s="794">
        <v>1</v>
      </c>
    </row>
    <row r="154" spans="1:19" ht="24.75" customHeight="1" thickBot="1">
      <c r="A154" s="1"/>
      <c r="B154" s="1"/>
      <c r="C154" s="1"/>
      <c r="D154" s="1"/>
      <c r="E154" s="1"/>
      <c r="K154" s="795" t="s">
        <v>21</v>
      </c>
      <c r="L154" s="1053">
        <f>O18+O52+O63+O75+O85</f>
        <v>606798.9</v>
      </c>
      <c r="M154" s="942"/>
      <c r="N154" s="943"/>
      <c r="O154" s="795">
        <v>5</v>
      </c>
    </row>
    <row r="155" spans="1:19" ht="24.75" customHeight="1" thickBot="1">
      <c r="A155" s="1"/>
      <c r="B155" s="1"/>
      <c r="C155" s="1"/>
      <c r="D155" s="1"/>
      <c r="E155" s="1"/>
      <c r="K155" s="341" t="s">
        <v>62</v>
      </c>
      <c r="L155" s="935">
        <f>SUM(L150:L154)</f>
        <v>1116091.8999999999</v>
      </c>
      <c r="M155" s="936">
        <f>SUM(M150:M154)</f>
        <v>319240.2</v>
      </c>
      <c r="N155" s="937">
        <f>SUM(N150:N154)</f>
        <v>163777</v>
      </c>
      <c r="O155" s="663">
        <f>SUM(O150:O154)</f>
        <v>20</v>
      </c>
    </row>
    <row r="156" spans="1:19" ht="24.75" customHeight="1" thickBot="1">
      <c r="A156" s="1"/>
      <c r="B156" s="1"/>
      <c r="C156" s="1"/>
      <c r="D156" s="1"/>
      <c r="E156" s="1"/>
      <c r="K156" s="1"/>
      <c r="L156" s="36" t="s">
        <v>63</v>
      </c>
      <c r="M156" s="659">
        <f>SUM(L155:N155)</f>
        <v>1599109.0999999999</v>
      </c>
      <c r="N156" s="1"/>
      <c r="O156" s="1"/>
    </row>
    <row r="158" spans="1:19">
      <c r="H158" s="38"/>
    </row>
    <row r="159" spans="1:19">
      <c r="A159" s="1"/>
      <c r="B159" s="1"/>
      <c r="C159" s="1"/>
      <c r="D159" s="1"/>
      <c r="E159" s="1"/>
      <c r="F159" s="1"/>
      <c r="G159" s="1"/>
      <c r="I159" s="1"/>
      <c r="J159" s="1"/>
      <c r="K159" s="1"/>
      <c r="L159" s="1"/>
      <c r="M159" s="1"/>
      <c r="N159" s="1"/>
      <c r="O159" s="1"/>
    </row>
    <row r="160" spans="1:19">
      <c r="H160" s="39"/>
    </row>
    <row r="161" spans="1:15">
      <c r="A161" s="1"/>
      <c r="B161" s="1"/>
      <c r="C161" s="1"/>
      <c r="D161" s="1"/>
      <c r="E161" s="1"/>
      <c r="F161" s="1"/>
      <c r="G161" s="1"/>
      <c r="I161" s="1"/>
      <c r="J161" s="1"/>
      <c r="K161" s="1"/>
      <c r="L161" s="1"/>
      <c r="M161" s="1"/>
      <c r="N161" s="1"/>
      <c r="O161" s="1"/>
    </row>
    <row r="162" spans="1:15">
      <c r="H162" s="1"/>
    </row>
    <row r="163" spans="1:15">
      <c r="A163" s="1"/>
      <c r="B163" s="1"/>
      <c r="C163" s="1"/>
      <c r="D163" s="1"/>
      <c r="E163" s="1"/>
      <c r="F163" s="1"/>
      <c r="G163" s="1"/>
      <c r="I163" s="1"/>
      <c r="J163" s="1"/>
      <c r="K163" s="1"/>
      <c r="L163" s="1"/>
      <c r="M163" s="1"/>
      <c r="N163" s="1"/>
      <c r="O163" s="1"/>
    </row>
    <row r="164" spans="1:15">
      <c r="H164" s="39"/>
    </row>
  </sheetData>
  <mergeCells count="162">
    <mergeCell ref="A125:A127"/>
    <mergeCell ref="B125:B127"/>
    <mergeCell ref="C125:C127"/>
    <mergeCell ref="D125:D127"/>
    <mergeCell ref="E125:E127"/>
    <mergeCell ref="F125:F127"/>
    <mergeCell ref="L106:O106"/>
    <mergeCell ref="L126:O126"/>
    <mergeCell ref="L136:O136"/>
    <mergeCell ref="G125:G127"/>
    <mergeCell ref="H125:H127"/>
    <mergeCell ref="I125:I127"/>
    <mergeCell ref="J125:J127"/>
    <mergeCell ref="K125:K127"/>
    <mergeCell ref="L125:O125"/>
    <mergeCell ref="L116:O116"/>
    <mergeCell ref="A105:A107"/>
    <mergeCell ref="B105:B107"/>
    <mergeCell ref="C105:C107"/>
    <mergeCell ref="D105:D107"/>
    <mergeCell ref="E105:E107"/>
    <mergeCell ref="F105:F107"/>
    <mergeCell ref="G115:G117"/>
    <mergeCell ref="H115:H117"/>
    <mergeCell ref="I115:I117"/>
    <mergeCell ref="G105:G107"/>
    <mergeCell ref="H105:H107"/>
    <mergeCell ref="I105:I107"/>
    <mergeCell ref="A115:A117"/>
    <mergeCell ref="B115:B117"/>
    <mergeCell ref="C115:C117"/>
    <mergeCell ref="D115:D117"/>
    <mergeCell ref="E115:E117"/>
    <mergeCell ref="F115:F117"/>
    <mergeCell ref="A15:A17"/>
    <mergeCell ref="B15:B17"/>
    <mergeCell ref="C15:C17"/>
    <mergeCell ref="D15:D17"/>
    <mergeCell ref="E15:E17"/>
    <mergeCell ref="H82:H84"/>
    <mergeCell ref="B26:B28"/>
    <mergeCell ref="C26:C28"/>
    <mergeCell ref="F15:F17"/>
    <mergeCell ref="C82:C84"/>
    <mergeCell ref="L148:N148"/>
    <mergeCell ref="O148:O149"/>
    <mergeCell ref="I82:I84"/>
    <mergeCell ref="J82:J84"/>
    <mergeCell ref="K148:K149"/>
    <mergeCell ref="L93:O93"/>
    <mergeCell ref="J115:J117"/>
    <mergeCell ref="K105:K107"/>
    <mergeCell ref="L105:O105"/>
    <mergeCell ref="K115:K117"/>
    <mergeCell ref="J105:J107"/>
    <mergeCell ref="L115:O115"/>
    <mergeCell ref="I93:I95"/>
    <mergeCell ref="L73:O73"/>
    <mergeCell ref="I72:I74"/>
    <mergeCell ref="J72:J74"/>
    <mergeCell ref="L82:O82"/>
    <mergeCell ref="K93:K95"/>
    <mergeCell ref="J93:J95"/>
    <mergeCell ref="L72:O72"/>
    <mergeCell ref="K82:K84"/>
    <mergeCell ref="G82:G84"/>
    <mergeCell ref="D60:D62"/>
    <mergeCell ref="K72:K74"/>
    <mergeCell ref="A93:A95"/>
    <mergeCell ref="A82:A84"/>
    <mergeCell ref="B93:B95"/>
    <mergeCell ref="C93:C95"/>
    <mergeCell ref="D93:D95"/>
    <mergeCell ref="F72:F74"/>
    <mergeCell ref="F82:F84"/>
    <mergeCell ref="B82:B84"/>
    <mergeCell ref="E72:E74"/>
    <mergeCell ref="E93:E95"/>
    <mergeCell ref="G93:G95"/>
    <mergeCell ref="F93:F95"/>
    <mergeCell ref="A72:A74"/>
    <mergeCell ref="B72:B74"/>
    <mergeCell ref="C72:C74"/>
    <mergeCell ref="D72:D74"/>
    <mergeCell ref="A49:A51"/>
    <mergeCell ref="B49:B51"/>
    <mergeCell ref="I60:I62"/>
    <mergeCell ref="H60:H62"/>
    <mergeCell ref="B37:B39"/>
    <mergeCell ref="C37:C39"/>
    <mergeCell ref="A37:A39"/>
    <mergeCell ref="A60:A62"/>
    <mergeCell ref="H72:H74"/>
    <mergeCell ref="A26:A28"/>
    <mergeCell ref="D26:D28"/>
    <mergeCell ref="G49:G51"/>
    <mergeCell ref="I49:I51"/>
    <mergeCell ref="F49:F51"/>
    <mergeCell ref="E37:E39"/>
    <mergeCell ref="L38:O38"/>
    <mergeCell ref="J37:J39"/>
    <mergeCell ref="H26:H28"/>
    <mergeCell ref="J26:J28"/>
    <mergeCell ref="L27:O27"/>
    <mergeCell ref="F26:F28"/>
    <mergeCell ref="H37:H39"/>
    <mergeCell ref="I37:I39"/>
    <mergeCell ref="G26:G28"/>
    <mergeCell ref="G37:G39"/>
    <mergeCell ref="F37:F39"/>
    <mergeCell ref="D37:D39"/>
    <mergeCell ref="C49:C51"/>
    <mergeCell ref="D49:D51"/>
    <mergeCell ref="E49:E51"/>
    <mergeCell ref="E26:E28"/>
    <mergeCell ref="J49:J51"/>
    <mergeCell ref="B1:I1"/>
    <mergeCell ref="B60:B62"/>
    <mergeCell ref="C60:C62"/>
    <mergeCell ref="I26:I28"/>
    <mergeCell ref="L94:O94"/>
    <mergeCell ref="L83:O83"/>
    <mergeCell ref="K49:K51"/>
    <mergeCell ref="L26:O26"/>
    <mergeCell ref="L37:O37"/>
    <mergeCell ref="L50:O50"/>
    <mergeCell ref="L61:O61"/>
    <mergeCell ref="L49:O49"/>
    <mergeCell ref="L60:O60"/>
    <mergeCell ref="K37:K39"/>
    <mergeCell ref="K15:K17"/>
    <mergeCell ref="L15:O15"/>
    <mergeCell ref="L16:O16"/>
    <mergeCell ref="J15:J17"/>
    <mergeCell ref="G72:G74"/>
    <mergeCell ref="E60:E62"/>
    <mergeCell ref="F60:F62"/>
    <mergeCell ref="H93:H95"/>
    <mergeCell ref="D82:D84"/>
    <mergeCell ref="E82:E84"/>
    <mergeCell ref="B3:I3"/>
    <mergeCell ref="B5:I5"/>
    <mergeCell ref="G15:G17"/>
    <mergeCell ref="I15:I17"/>
    <mergeCell ref="H15:H17"/>
    <mergeCell ref="K60:K62"/>
    <mergeCell ref="H49:H51"/>
    <mergeCell ref="G60:G62"/>
    <mergeCell ref="J60:J62"/>
    <mergeCell ref="K26:K28"/>
    <mergeCell ref="G135:G137"/>
    <mergeCell ref="H135:H137"/>
    <mergeCell ref="I135:I137"/>
    <mergeCell ref="J135:J137"/>
    <mergeCell ref="K135:K137"/>
    <mergeCell ref="L135:O135"/>
    <mergeCell ref="A135:A137"/>
    <mergeCell ref="B135:B137"/>
    <mergeCell ref="C135:C137"/>
    <mergeCell ref="D135:D137"/>
    <mergeCell ref="E135:E137"/>
    <mergeCell ref="F135:F1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opLeftCell="D179" zoomScale="80" zoomScaleNormal="80" workbookViewId="0">
      <selection activeCell="O202" sqref="O202"/>
    </sheetView>
  </sheetViews>
  <sheetFormatPr defaultRowHeight="14.25"/>
  <cols>
    <col min="1" max="1" width="11.375" style="5" customWidth="1"/>
    <col min="2" max="2" width="20.375" style="1" customWidth="1"/>
    <col min="3" max="3" width="17.875" style="1" customWidth="1"/>
    <col min="4" max="4" width="15.875" style="1" customWidth="1"/>
    <col min="5" max="5" width="11.625" style="1" customWidth="1"/>
    <col min="6" max="6" width="10.25" style="1" customWidth="1"/>
    <col min="7" max="7" width="12.125" style="1" customWidth="1"/>
    <col min="8" max="8" width="16.875" style="1" customWidth="1"/>
    <col min="9" max="9" width="28.625" style="1" customWidth="1"/>
    <col min="10" max="10" width="13.75" style="5" customWidth="1"/>
    <col min="11" max="11" width="12.375" style="7" customWidth="1"/>
    <col min="12" max="12" width="14.875" style="31" customWidth="1"/>
    <col min="13" max="13" width="16.625" style="31" customWidth="1"/>
    <col min="14" max="14" width="17.125" style="31" customWidth="1"/>
    <col min="15" max="15" width="20.125" style="31" customWidth="1"/>
    <col min="16" max="16384" width="9" style="1"/>
  </cols>
  <sheetData>
    <row r="1" spans="1:15" ht="18">
      <c r="A1" s="287"/>
      <c r="B1" s="1691" t="s">
        <v>1174</v>
      </c>
      <c r="C1" s="1691"/>
      <c r="D1" s="1691"/>
      <c r="E1" s="1691"/>
      <c r="F1" s="1691"/>
      <c r="G1" s="1691"/>
      <c r="H1" s="1691"/>
      <c r="I1" s="1691"/>
      <c r="J1" s="287"/>
    </row>
    <row r="2" spans="1:15" ht="15">
      <c r="A2" s="287"/>
      <c r="B2" s="471"/>
      <c r="C2" s="471"/>
      <c r="D2" s="471"/>
      <c r="E2" s="471"/>
      <c r="F2" s="471"/>
      <c r="G2" s="471"/>
      <c r="H2" s="471"/>
      <c r="I2" s="471"/>
      <c r="J2" s="287"/>
    </row>
    <row r="3" spans="1:15" ht="30.75" customHeight="1">
      <c r="A3" s="287"/>
      <c r="B3" s="1727" t="s">
        <v>646</v>
      </c>
      <c r="C3" s="1728"/>
      <c r="D3" s="1728"/>
      <c r="E3" s="1728"/>
      <c r="F3" s="1728"/>
      <c r="G3" s="1728"/>
      <c r="H3" s="1728"/>
      <c r="I3" s="1729"/>
      <c r="J3" s="287"/>
    </row>
    <row r="4" spans="1:15" ht="15">
      <c r="A4" s="287"/>
      <c r="B4" s="469"/>
      <c r="C4" s="469"/>
      <c r="D4" s="469"/>
      <c r="E4" s="469"/>
      <c r="F4" s="469"/>
      <c r="G4" s="469"/>
      <c r="H4" s="469"/>
      <c r="I4" s="469"/>
      <c r="J4" s="287"/>
    </row>
    <row r="5" spans="1:15" ht="15">
      <c r="A5" s="1"/>
      <c r="B5" s="1687" t="s">
        <v>1052</v>
      </c>
      <c r="C5" s="1687"/>
      <c r="D5" s="1687"/>
      <c r="E5" s="1687"/>
      <c r="F5" s="1687"/>
      <c r="G5" s="1687"/>
      <c r="H5" s="1687"/>
      <c r="I5" s="1687"/>
      <c r="J5" s="287"/>
    </row>
    <row r="6" spans="1:15" ht="15">
      <c r="A6" s="1"/>
      <c r="B6" s="469"/>
      <c r="C6" s="469"/>
      <c r="D6" s="469"/>
      <c r="E6" s="469"/>
      <c r="F6" s="469"/>
      <c r="G6" s="469"/>
      <c r="H6" s="469"/>
      <c r="I6" s="472"/>
      <c r="J6" s="287"/>
      <c r="K6" s="1057"/>
    </row>
    <row r="7" spans="1:15" ht="15.75">
      <c r="A7" s="1"/>
      <c r="B7" s="470" t="s">
        <v>1</v>
      </c>
      <c r="C7" s="471"/>
      <c r="D7" s="469"/>
      <c r="E7" s="469"/>
      <c r="F7" s="469"/>
      <c r="G7" s="471"/>
      <c r="H7" s="469"/>
      <c r="I7" s="472"/>
      <c r="J7" s="287"/>
    </row>
    <row r="8" spans="1:15" ht="15.75">
      <c r="A8" s="1"/>
      <c r="B8" s="1307" t="s">
        <v>1921</v>
      </c>
      <c r="C8" s="471"/>
      <c r="D8" s="469"/>
      <c r="E8" s="469"/>
      <c r="F8" s="469"/>
      <c r="G8" s="471"/>
      <c r="H8" s="469"/>
      <c r="I8" s="472"/>
    </row>
    <row r="9" spans="1:15" ht="15.75">
      <c r="A9" s="1"/>
      <c r="B9" s="473" t="s">
        <v>1872</v>
      </c>
      <c r="C9" s="471"/>
      <c r="D9" s="474"/>
      <c r="E9" s="469"/>
      <c r="F9" s="469"/>
      <c r="G9" s="471"/>
      <c r="H9" s="469"/>
      <c r="I9" s="472"/>
    </row>
    <row r="10" spans="1:15" ht="15.75">
      <c r="A10" s="1"/>
      <c r="B10" s="473" t="s">
        <v>1045</v>
      </c>
      <c r="C10" s="471"/>
      <c r="D10" s="474"/>
      <c r="E10" s="469"/>
      <c r="F10" s="469"/>
      <c r="G10" s="471"/>
      <c r="H10" s="469"/>
      <c r="I10" s="472"/>
    </row>
    <row r="11" spans="1:15" s="198" customFormat="1" ht="15">
      <c r="B11" s="1504" t="s">
        <v>696</v>
      </c>
      <c r="C11" s="1504"/>
      <c r="D11" s="1504"/>
      <c r="E11" s="1504"/>
      <c r="F11" s="1504"/>
      <c r="G11" s="1504"/>
      <c r="H11" s="469"/>
      <c r="I11" s="472"/>
      <c r="J11" s="1290"/>
      <c r="K11" s="7"/>
      <c r="L11" s="1505"/>
      <c r="M11" s="1505"/>
      <c r="N11" s="1505"/>
      <c r="O11" s="1505"/>
    </row>
    <row r="12" spans="1:15" ht="15.75">
      <c r="A12" s="1"/>
      <c r="B12" s="475"/>
      <c r="C12" s="476"/>
      <c r="D12" s="474"/>
      <c r="E12" s="474"/>
      <c r="F12" s="474"/>
      <c r="G12" s="474"/>
      <c r="H12" s="477"/>
      <c r="I12" s="471"/>
    </row>
    <row r="13" spans="1:15" ht="15.75">
      <c r="A13" s="1"/>
      <c r="B13" s="475" t="s">
        <v>4</v>
      </c>
      <c r="C13" s="470" t="s">
        <v>5</v>
      </c>
      <c r="D13" s="474"/>
      <c r="E13" s="474"/>
      <c r="F13" s="474"/>
      <c r="G13" s="474"/>
      <c r="H13" s="477"/>
      <c r="I13" s="157"/>
    </row>
    <row r="14" spans="1:15" ht="15" thickBot="1">
      <c r="I14" s="25"/>
    </row>
    <row r="15" spans="1:15" ht="43.5" customHeight="1">
      <c r="A15" s="1670" t="s">
        <v>6</v>
      </c>
      <c r="B15" s="1673" t="s">
        <v>633</v>
      </c>
      <c r="C15" s="1676" t="s">
        <v>8</v>
      </c>
      <c r="D15" s="1676" t="s">
        <v>9</v>
      </c>
      <c r="E15" s="1656" t="s">
        <v>812</v>
      </c>
      <c r="F15" s="1656" t="s">
        <v>11</v>
      </c>
      <c r="G15" s="1676" t="s">
        <v>12</v>
      </c>
      <c r="H15" s="1656" t="s">
        <v>269</v>
      </c>
      <c r="I15" s="1656" t="s">
        <v>13</v>
      </c>
      <c r="J15" s="1656" t="s">
        <v>59</v>
      </c>
      <c r="K15" s="1665" t="s">
        <v>635</v>
      </c>
      <c r="L15" s="1725" t="s">
        <v>636</v>
      </c>
      <c r="M15" s="1719"/>
      <c r="N15" s="1719"/>
      <c r="O15" s="1726"/>
    </row>
    <row r="16" spans="1:15" ht="43.5" customHeight="1">
      <c r="A16" s="1671"/>
      <c r="B16" s="1674"/>
      <c r="C16" s="1677"/>
      <c r="D16" s="1677"/>
      <c r="E16" s="1657"/>
      <c r="F16" s="1657"/>
      <c r="G16" s="1677"/>
      <c r="H16" s="1657"/>
      <c r="I16" s="1657"/>
      <c r="J16" s="1657"/>
      <c r="K16" s="1666"/>
      <c r="L16" s="1679" t="s">
        <v>637</v>
      </c>
      <c r="M16" s="1654"/>
      <c r="N16" s="1654"/>
      <c r="O16" s="1680"/>
    </row>
    <row r="17" spans="1:15" ht="24.75" customHeight="1" thickBot="1">
      <c r="A17" s="1672"/>
      <c r="B17" s="1675"/>
      <c r="C17" s="1678"/>
      <c r="D17" s="1678"/>
      <c r="E17" s="1658"/>
      <c r="F17" s="1658"/>
      <c r="G17" s="1678"/>
      <c r="H17" s="1658"/>
      <c r="I17" s="1658"/>
      <c r="J17" s="1658"/>
      <c r="K17" s="1667"/>
      <c r="L17" s="571" t="s">
        <v>638</v>
      </c>
      <c r="M17" s="1291" t="s">
        <v>639</v>
      </c>
      <c r="N17" s="1291" t="s">
        <v>640</v>
      </c>
      <c r="O17" s="1292" t="s">
        <v>16</v>
      </c>
    </row>
    <row r="18" spans="1:15" ht="18">
      <c r="A18" s="601" t="s">
        <v>26</v>
      </c>
      <c r="B18" s="1067"/>
      <c r="C18" s="551" t="s">
        <v>155</v>
      </c>
      <c r="D18" s="551" t="s">
        <v>1011</v>
      </c>
      <c r="E18" s="550">
        <v>61</v>
      </c>
      <c r="F18" s="182" t="s">
        <v>157</v>
      </c>
      <c r="G18" s="182" t="s">
        <v>156</v>
      </c>
      <c r="H18" s="104">
        <v>83995630</v>
      </c>
      <c r="I18" s="710" t="s">
        <v>1012</v>
      </c>
      <c r="J18" s="483" t="s">
        <v>65</v>
      </c>
      <c r="K18" s="267">
        <v>4</v>
      </c>
      <c r="L18" s="269"/>
      <c r="M18" s="268">
        <f>5907-5169</f>
        <v>738</v>
      </c>
      <c r="N18" s="268">
        <f>10229-8778</f>
        <v>1451</v>
      </c>
      <c r="O18" s="315">
        <f>SUM(M18:N18)</f>
        <v>2189</v>
      </c>
    </row>
    <row r="19" spans="1:15" ht="18.75" thickBot="1">
      <c r="A19" s="575" t="s">
        <v>26</v>
      </c>
      <c r="B19" s="3"/>
      <c r="C19" s="3" t="s">
        <v>155</v>
      </c>
      <c r="D19" s="3"/>
      <c r="E19" s="3">
        <v>52</v>
      </c>
      <c r="F19" s="4" t="s">
        <v>157</v>
      </c>
      <c r="G19" s="4" t="s">
        <v>156</v>
      </c>
      <c r="H19" s="21">
        <v>90137641</v>
      </c>
      <c r="I19" s="771" t="s">
        <v>999</v>
      </c>
      <c r="J19" s="1315" t="s">
        <v>28</v>
      </c>
      <c r="K19" s="117">
        <v>6.6</v>
      </c>
      <c r="L19" s="32">
        <f>47622-28762</f>
        <v>18860</v>
      </c>
      <c r="M19" s="33"/>
      <c r="N19" s="33"/>
      <c r="O19" s="32">
        <f>L19</f>
        <v>18860</v>
      </c>
    </row>
    <row r="20" spans="1:15" ht="30">
      <c r="A20" s="287"/>
      <c r="B20" s="1308" t="s">
        <v>22</v>
      </c>
      <c r="C20" s="121" t="s">
        <v>1050</v>
      </c>
      <c r="D20" s="12"/>
      <c r="E20" s="14"/>
      <c r="H20" s="1622" t="s">
        <v>1920</v>
      </c>
      <c r="I20" s="80" t="s">
        <v>1013</v>
      </c>
      <c r="J20" s="1316"/>
      <c r="N20" s="32" t="s">
        <v>23</v>
      </c>
      <c r="O20" s="556">
        <f>SUM(O18:O19)</f>
        <v>21049</v>
      </c>
    </row>
    <row r="21" spans="1:15" ht="15">
      <c r="A21" s="287"/>
      <c r="B21" s="52"/>
      <c r="C21" s="43" t="s">
        <v>1051</v>
      </c>
      <c r="D21" s="15"/>
      <c r="E21" s="14"/>
      <c r="H21" s="185"/>
      <c r="I21" s="68" t="s">
        <v>1385</v>
      </c>
      <c r="J21" s="1317"/>
    </row>
    <row r="22" spans="1:15" ht="15">
      <c r="A22" s="287"/>
      <c r="B22" s="52"/>
      <c r="C22" s="43" t="s">
        <v>159</v>
      </c>
      <c r="D22" s="15"/>
      <c r="E22" s="14"/>
      <c r="H22" s="185"/>
      <c r="I22" s="19" t="s">
        <v>159</v>
      </c>
      <c r="J22" s="1317"/>
    </row>
    <row r="23" spans="1:15" ht="15.75" thickBot="1">
      <c r="A23" s="287"/>
      <c r="B23" s="67" t="s">
        <v>160</v>
      </c>
      <c r="C23" s="43">
        <v>8222160292</v>
      </c>
      <c r="D23" s="15"/>
      <c r="E23" s="14"/>
      <c r="H23" s="188"/>
      <c r="I23" s="97"/>
      <c r="J23" s="649"/>
    </row>
    <row r="24" spans="1:15" ht="15.75" thickBot="1">
      <c r="A24" s="287"/>
      <c r="B24" s="441" t="s">
        <v>1061</v>
      </c>
      <c r="C24" s="113" t="s">
        <v>1184</v>
      </c>
      <c r="D24" s="18"/>
      <c r="E24" s="14"/>
      <c r="J24" s="287"/>
    </row>
    <row r="25" spans="1:15" ht="15" thickBot="1"/>
    <row r="26" spans="1:15" ht="39" customHeight="1">
      <c r="A26" s="1670" t="s">
        <v>6</v>
      </c>
      <c r="B26" s="1673" t="s">
        <v>633</v>
      </c>
      <c r="C26" s="1676" t="s">
        <v>8</v>
      </c>
      <c r="D26" s="1676" t="s">
        <v>9</v>
      </c>
      <c r="E26" s="1656" t="s">
        <v>812</v>
      </c>
      <c r="F26" s="1656" t="s">
        <v>11</v>
      </c>
      <c r="G26" s="1676" t="s">
        <v>12</v>
      </c>
      <c r="H26" s="1656" t="s">
        <v>269</v>
      </c>
      <c r="I26" s="1656" t="s">
        <v>13</v>
      </c>
      <c r="J26" s="1656" t="s">
        <v>59</v>
      </c>
      <c r="K26" s="1665" t="s">
        <v>635</v>
      </c>
      <c r="L26" s="1725" t="s">
        <v>636</v>
      </c>
      <c r="M26" s="1719"/>
      <c r="N26" s="1719"/>
      <c r="O26" s="1726"/>
    </row>
    <row r="27" spans="1:15" ht="33.75" customHeight="1">
      <c r="A27" s="1671"/>
      <c r="B27" s="1674"/>
      <c r="C27" s="1677"/>
      <c r="D27" s="1677"/>
      <c r="E27" s="1657"/>
      <c r="F27" s="1657"/>
      <c r="G27" s="1677"/>
      <c r="H27" s="1657"/>
      <c r="I27" s="1657"/>
      <c r="J27" s="1657"/>
      <c r="K27" s="1666"/>
      <c r="L27" s="1679" t="s">
        <v>637</v>
      </c>
      <c r="M27" s="1654"/>
      <c r="N27" s="1654"/>
      <c r="O27" s="1680"/>
    </row>
    <row r="28" spans="1:15" ht="28.5" customHeight="1" thickBot="1">
      <c r="A28" s="1672"/>
      <c r="B28" s="1675"/>
      <c r="C28" s="1678"/>
      <c r="D28" s="1678"/>
      <c r="E28" s="1658"/>
      <c r="F28" s="1658"/>
      <c r="G28" s="1678"/>
      <c r="H28" s="1658"/>
      <c r="I28" s="1658"/>
      <c r="J28" s="1658"/>
      <c r="K28" s="1667"/>
      <c r="L28" s="263" t="s">
        <v>638</v>
      </c>
      <c r="M28" s="270" t="s">
        <v>639</v>
      </c>
      <c r="N28" s="270" t="s">
        <v>640</v>
      </c>
      <c r="O28" s="265" t="s">
        <v>16</v>
      </c>
    </row>
    <row r="29" spans="1:15" ht="18">
      <c r="A29" s="575" t="s">
        <v>26</v>
      </c>
      <c r="B29" s="776" t="s">
        <v>154</v>
      </c>
      <c r="C29" s="776" t="s">
        <v>161</v>
      </c>
      <c r="D29" s="776" t="s">
        <v>162</v>
      </c>
      <c r="E29" s="776">
        <v>4</v>
      </c>
      <c r="F29" s="1092" t="s">
        <v>163</v>
      </c>
      <c r="G29" s="1092" t="s">
        <v>161</v>
      </c>
      <c r="H29" s="20">
        <v>91067098</v>
      </c>
      <c r="I29" s="771" t="s">
        <v>1004</v>
      </c>
      <c r="J29" s="1315" t="s">
        <v>28</v>
      </c>
      <c r="K29" s="1318">
        <v>14</v>
      </c>
      <c r="L29" s="32">
        <f>(1635+2289+2684+3229+2774+2587)*2</f>
        <v>30396</v>
      </c>
      <c r="M29" s="33"/>
      <c r="N29" s="33"/>
      <c r="O29" s="32">
        <f>L29</f>
        <v>30396</v>
      </c>
    </row>
    <row r="30" spans="1:15" ht="18">
      <c r="A30" s="575" t="s">
        <v>26</v>
      </c>
      <c r="B30" s="3" t="s">
        <v>504</v>
      </c>
      <c r="C30" s="3" t="s">
        <v>161</v>
      </c>
      <c r="D30" s="3" t="s">
        <v>166</v>
      </c>
      <c r="E30" s="3">
        <v>3</v>
      </c>
      <c r="F30" s="3" t="s">
        <v>163</v>
      </c>
      <c r="G30" s="3" t="s">
        <v>161</v>
      </c>
      <c r="H30" s="22">
        <v>90087293</v>
      </c>
      <c r="I30" s="695" t="s">
        <v>1005</v>
      </c>
      <c r="J30" s="404" t="s">
        <v>28</v>
      </c>
      <c r="K30" s="117">
        <v>30</v>
      </c>
      <c r="L30" s="32">
        <f>(8398.02-6338.12)*10</f>
        <v>20599.000000000007</v>
      </c>
      <c r="M30" s="33"/>
      <c r="N30" s="33"/>
      <c r="O30" s="32">
        <f>L30</f>
        <v>20599.000000000007</v>
      </c>
    </row>
    <row r="31" spans="1:15" ht="18.75" thickBot="1">
      <c r="A31" s="575" t="s">
        <v>26</v>
      </c>
      <c r="B31" s="740" t="s">
        <v>154</v>
      </c>
      <c r="C31" s="46" t="s">
        <v>161</v>
      </c>
      <c r="D31" s="46" t="s">
        <v>1373</v>
      </c>
      <c r="E31" s="181" t="s">
        <v>1374</v>
      </c>
      <c r="F31" s="46" t="s">
        <v>163</v>
      </c>
      <c r="G31" s="46" t="s">
        <v>161</v>
      </c>
      <c r="H31" s="4">
        <v>26259892</v>
      </c>
      <c r="I31" s="726" t="s">
        <v>1823</v>
      </c>
      <c r="J31" s="386" t="s">
        <v>28</v>
      </c>
      <c r="K31" s="8">
        <v>4</v>
      </c>
      <c r="L31" s="32">
        <f>11175-10612</f>
        <v>563</v>
      </c>
      <c r="M31" s="33"/>
      <c r="N31" s="33"/>
      <c r="O31" s="32">
        <f>L31</f>
        <v>563</v>
      </c>
    </row>
    <row r="32" spans="1:15" ht="31.5" customHeight="1">
      <c r="B32" s="1308" t="s">
        <v>22</v>
      </c>
      <c r="C32" s="121" t="s">
        <v>1050</v>
      </c>
      <c r="D32" s="12"/>
      <c r="E32" s="19"/>
      <c r="F32" s="14"/>
      <c r="G32" s="14"/>
      <c r="H32" s="1622" t="s">
        <v>1920</v>
      </c>
      <c r="I32" s="118" t="s">
        <v>1819</v>
      </c>
      <c r="J32" s="699"/>
      <c r="K32" s="1319"/>
      <c r="N32" s="32" t="s">
        <v>23</v>
      </c>
      <c r="O32" s="556">
        <f>SUM(O29:O31)</f>
        <v>51558.000000000007</v>
      </c>
    </row>
    <row r="33" spans="1:15" ht="15.75" customHeight="1">
      <c r="B33" s="52"/>
      <c r="C33" s="43" t="s">
        <v>1051</v>
      </c>
      <c r="D33" s="15"/>
      <c r="E33" s="19"/>
      <c r="F33" s="14"/>
      <c r="G33" s="14"/>
      <c r="H33" s="13"/>
      <c r="I33" s="68" t="s">
        <v>164</v>
      </c>
      <c r="J33" s="262"/>
      <c r="K33" s="1320"/>
    </row>
    <row r="34" spans="1:15" ht="15.75" thickBot="1">
      <c r="B34" s="52"/>
      <c r="C34" s="43" t="s">
        <v>159</v>
      </c>
      <c r="D34" s="15"/>
      <c r="E34" s="19"/>
      <c r="F34" s="14"/>
      <c r="G34" s="14"/>
      <c r="H34" s="71"/>
      <c r="I34" s="97" t="s">
        <v>165</v>
      </c>
      <c r="J34" s="703"/>
      <c r="K34" s="1321"/>
    </row>
    <row r="35" spans="1:15" ht="15">
      <c r="B35" s="67" t="s">
        <v>160</v>
      </c>
      <c r="C35" s="43">
        <v>8222160292</v>
      </c>
      <c r="D35" s="15"/>
      <c r="E35" s="19"/>
      <c r="F35" s="14"/>
      <c r="G35" s="14"/>
    </row>
    <row r="36" spans="1:15" ht="15.75" thickBot="1">
      <c r="B36" s="441" t="s">
        <v>1061</v>
      </c>
      <c r="C36" s="113" t="s">
        <v>1184</v>
      </c>
      <c r="D36" s="18"/>
      <c r="E36" s="54"/>
      <c r="F36" s="54"/>
      <c r="G36" s="54"/>
    </row>
    <row r="38" spans="1:15" ht="15">
      <c r="A38" s="273"/>
      <c r="B38" s="453"/>
      <c r="C38" s="14"/>
      <c r="D38" s="14"/>
      <c r="E38" s="14"/>
      <c r="H38" s="57"/>
      <c r="I38" s="66"/>
      <c r="J38" s="272"/>
      <c r="K38" s="119"/>
      <c r="L38" s="59"/>
    </row>
    <row r="39" spans="1:15" ht="15" thickBot="1">
      <c r="H39" s="57"/>
      <c r="I39" s="57"/>
      <c r="J39" s="56"/>
      <c r="K39" s="58"/>
      <c r="L39" s="59"/>
    </row>
    <row r="40" spans="1:15" ht="37.5" customHeight="1">
      <c r="A40" s="1670" t="s">
        <v>6</v>
      </c>
      <c r="B40" s="1673" t="s">
        <v>633</v>
      </c>
      <c r="C40" s="1676" t="s">
        <v>8</v>
      </c>
      <c r="D40" s="1676" t="s">
        <v>9</v>
      </c>
      <c r="E40" s="1656" t="s">
        <v>812</v>
      </c>
      <c r="F40" s="1656" t="s">
        <v>11</v>
      </c>
      <c r="G40" s="1676" t="s">
        <v>12</v>
      </c>
      <c r="H40" s="1656" t="s">
        <v>269</v>
      </c>
      <c r="I40" s="1656" t="s">
        <v>13</v>
      </c>
      <c r="J40" s="1656" t="s">
        <v>59</v>
      </c>
      <c r="K40" s="1665" t="s">
        <v>635</v>
      </c>
      <c r="L40" s="1725" t="s">
        <v>636</v>
      </c>
      <c r="M40" s="1719"/>
      <c r="N40" s="1719"/>
      <c r="O40" s="1726"/>
    </row>
    <row r="41" spans="1:15" ht="28.5" customHeight="1">
      <c r="A41" s="1671"/>
      <c r="B41" s="1674"/>
      <c r="C41" s="1677"/>
      <c r="D41" s="1677"/>
      <c r="E41" s="1657"/>
      <c r="F41" s="1657"/>
      <c r="G41" s="1677"/>
      <c r="H41" s="1657"/>
      <c r="I41" s="1657"/>
      <c r="J41" s="1657"/>
      <c r="K41" s="1666"/>
      <c r="L41" s="1679" t="s">
        <v>637</v>
      </c>
      <c r="M41" s="1654"/>
      <c r="N41" s="1654"/>
      <c r="O41" s="1680"/>
    </row>
    <row r="42" spans="1:15" ht="28.5" customHeight="1" thickBot="1">
      <c r="A42" s="1672"/>
      <c r="B42" s="1675"/>
      <c r="C42" s="1678"/>
      <c r="D42" s="1678"/>
      <c r="E42" s="1658"/>
      <c r="F42" s="1658"/>
      <c r="G42" s="1678"/>
      <c r="H42" s="1658"/>
      <c r="I42" s="1658"/>
      <c r="J42" s="1658"/>
      <c r="K42" s="1667"/>
      <c r="L42" s="263" t="s">
        <v>638</v>
      </c>
      <c r="M42" s="270" t="s">
        <v>639</v>
      </c>
      <c r="N42" s="270" t="s">
        <v>640</v>
      </c>
      <c r="O42" s="265" t="s">
        <v>16</v>
      </c>
    </row>
    <row r="43" spans="1:15" ht="29.25">
      <c r="A43" s="575" t="s">
        <v>26</v>
      </c>
      <c r="B43" s="3" t="s">
        <v>167</v>
      </c>
      <c r="C43" s="4" t="s">
        <v>156</v>
      </c>
      <c r="D43" s="4" t="s">
        <v>168</v>
      </c>
      <c r="E43" s="4">
        <v>8</v>
      </c>
      <c r="F43" s="4" t="s">
        <v>157</v>
      </c>
      <c r="G43" s="4" t="s">
        <v>156</v>
      </c>
      <c r="H43" s="22">
        <v>357599</v>
      </c>
      <c r="I43" s="695" t="s">
        <v>1000</v>
      </c>
      <c r="J43" s="29" t="s">
        <v>65</v>
      </c>
      <c r="K43" s="8">
        <v>16</v>
      </c>
      <c r="L43" s="33"/>
      <c r="M43" s="32">
        <f>10442-10442</f>
        <v>0</v>
      </c>
      <c r="N43" s="34">
        <f>20620-20620</f>
        <v>0</v>
      </c>
      <c r="O43" s="32">
        <f>SUM(M43:N43)</f>
        <v>0</v>
      </c>
    </row>
    <row r="44" spans="1:15" ht="29.25">
      <c r="A44" s="575" t="s">
        <v>26</v>
      </c>
      <c r="B44" s="9" t="s">
        <v>167</v>
      </c>
      <c r="C44" s="6" t="s">
        <v>156</v>
      </c>
      <c r="D44" s="6" t="s">
        <v>168</v>
      </c>
      <c r="E44" s="4">
        <v>8</v>
      </c>
      <c r="F44" s="4" t="s">
        <v>157</v>
      </c>
      <c r="G44" s="4" t="s">
        <v>156</v>
      </c>
      <c r="H44" s="22">
        <v>357607</v>
      </c>
      <c r="I44" s="695" t="s">
        <v>1001</v>
      </c>
      <c r="J44" s="29" t="s">
        <v>65</v>
      </c>
      <c r="K44" s="8">
        <v>10</v>
      </c>
      <c r="L44" s="33"/>
      <c r="M44" s="32">
        <f>233-233</f>
        <v>0</v>
      </c>
      <c r="N44" s="32">
        <f>277-277</f>
        <v>0</v>
      </c>
      <c r="O44" s="32">
        <f>SUM(M44:N44)</f>
        <v>0</v>
      </c>
    </row>
    <row r="45" spans="1:15" ht="34.5" customHeight="1" thickBot="1">
      <c r="A45" s="607" t="s">
        <v>26</v>
      </c>
      <c r="B45" s="809" t="s">
        <v>217</v>
      </c>
      <c r="C45" s="669" t="s">
        <v>156</v>
      </c>
      <c r="D45" s="669" t="s">
        <v>266</v>
      </c>
      <c r="E45" s="182">
        <v>8</v>
      </c>
      <c r="F45" s="266" t="s">
        <v>157</v>
      </c>
      <c r="G45" s="266" t="s">
        <v>156</v>
      </c>
      <c r="H45" s="182">
        <v>90071653</v>
      </c>
      <c r="I45" s="726" t="s">
        <v>1259</v>
      </c>
      <c r="J45" s="483" t="s">
        <v>65</v>
      </c>
      <c r="K45" s="267">
        <v>8</v>
      </c>
      <c r="L45" s="269"/>
      <c r="M45" s="268">
        <f>2268-1429</f>
        <v>839</v>
      </c>
      <c r="N45" s="268">
        <f>5437-3549</f>
        <v>1888</v>
      </c>
      <c r="O45" s="268">
        <f>SUM(M45:N45)</f>
        <v>2727</v>
      </c>
    </row>
    <row r="46" spans="1:15" ht="36" customHeight="1">
      <c r="B46" s="1308" t="s">
        <v>22</v>
      </c>
      <c r="C46" s="121" t="s">
        <v>217</v>
      </c>
      <c r="D46" s="12"/>
      <c r="H46" s="1622" t="s">
        <v>1920</v>
      </c>
      <c r="I46" s="12" t="s">
        <v>217</v>
      </c>
      <c r="N46" s="32" t="s">
        <v>23</v>
      </c>
      <c r="O46" s="556">
        <f>SUM(O43:O45)</f>
        <v>2727</v>
      </c>
    </row>
    <row r="47" spans="1:15" ht="15">
      <c r="B47" s="52"/>
      <c r="C47" s="43" t="s">
        <v>1821</v>
      </c>
      <c r="D47" s="15"/>
      <c r="H47" s="185"/>
      <c r="I47" s="15" t="s">
        <v>171</v>
      </c>
    </row>
    <row r="48" spans="1:15" ht="15.75" thickBot="1">
      <c r="B48" s="52"/>
      <c r="C48" s="43" t="s">
        <v>165</v>
      </c>
      <c r="D48" s="15"/>
      <c r="H48" s="188"/>
      <c r="I48" s="18" t="s">
        <v>165</v>
      </c>
    </row>
    <row r="49" spans="1:15" ht="15">
      <c r="B49" s="67" t="s">
        <v>160</v>
      </c>
      <c r="C49" s="43">
        <v>8222342455</v>
      </c>
      <c r="D49" s="15"/>
    </row>
    <row r="50" spans="1:15" ht="15.75" thickBot="1">
      <c r="A50" s="273"/>
      <c r="B50" s="441" t="s">
        <v>1061</v>
      </c>
      <c r="C50" s="113" t="s">
        <v>1822</v>
      </c>
      <c r="D50" s="18"/>
      <c r="J50" s="273"/>
    </row>
    <row r="51" spans="1:15" ht="15.75" thickBot="1">
      <c r="A51" s="273"/>
      <c r="B51" s="19"/>
      <c r="C51" s="14"/>
      <c r="D51" s="14"/>
      <c r="J51" s="273"/>
    </row>
    <row r="52" spans="1:15" ht="41.25" customHeight="1">
      <c r="A52" s="1670" t="s">
        <v>6</v>
      </c>
      <c r="B52" s="1673" t="s">
        <v>633</v>
      </c>
      <c r="C52" s="1676" t="s">
        <v>8</v>
      </c>
      <c r="D52" s="1676" t="s">
        <v>9</v>
      </c>
      <c r="E52" s="1656" t="s">
        <v>812</v>
      </c>
      <c r="F52" s="1656" t="s">
        <v>11</v>
      </c>
      <c r="G52" s="1676" t="s">
        <v>12</v>
      </c>
      <c r="H52" s="1656" t="s">
        <v>269</v>
      </c>
      <c r="I52" s="1656" t="s">
        <v>13</v>
      </c>
      <c r="J52" s="1656" t="s">
        <v>59</v>
      </c>
      <c r="K52" s="1665" t="s">
        <v>635</v>
      </c>
      <c r="L52" s="1725" t="s">
        <v>636</v>
      </c>
      <c r="M52" s="1719"/>
      <c r="N52" s="1719"/>
      <c r="O52" s="1726"/>
    </row>
    <row r="53" spans="1:15" ht="28.5" customHeight="1">
      <c r="A53" s="1671"/>
      <c r="B53" s="1674"/>
      <c r="C53" s="1677"/>
      <c r="D53" s="1677"/>
      <c r="E53" s="1657"/>
      <c r="F53" s="1657"/>
      <c r="G53" s="1677"/>
      <c r="H53" s="1657"/>
      <c r="I53" s="1657"/>
      <c r="J53" s="1657"/>
      <c r="K53" s="1666"/>
      <c r="L53" s="1679" t="s">
        <v>637</v>
      </c>
      <c r="M53" s="1654"/>
      <c r="N53" s="1654"/>
      <c r="O53" s="1680"/>
    </row>
    <row r="54" spans="1:15" ht="28.5" customHeight="1" thickBot="1">
      <c r="A54" s="1672"/>
      <c r="B54" s="1675"/>
      <c r="C54" s="1678"/>
      <c r="D54" s="1678"/>
      <c r="E54" s="1658"/>
      <c r="F54" s="1658"/>
      <c r="G54" s="1678"/>
      <c r="H54" s="1658"/>
      <c r="I54" s="1658"/>
      <c r="J54" s="1658"/>
      <c r="K54" s="1667"/>
      <c r="L54" s="263" t="s">
        <v>638</v>
      </c>
      <c r="M54" s="270" t="s">
        <v>639</v>
      </c>
      <c r="N54" s="270" t="s">
        <v>640</v>
      </c>
      <c r="O54" s="265" t="s">
        <v>16</v>
      </c>
    </row>
    <row r="55" spans="1:15" ht="18">
      <c r="A55" s="575" t="s">
        <v>26</v>
      </c>
      <c r="B55" s="3"/>
      <c r="C55" s="4" t="s">
        <v>156</v>
      </c>
      <c r="D55" s="4" t="s">
        <v>172</v>
      </c>
      <c r="E55" s="4">
        <v>115</v>
      </c>
      <c r="F55" s="4" t="s">
        <v>157</v>
      </c>
      <c r="G55" s="4" t="s">
        <v>156</v>
      </c>
      <c r="H55" s="22">
        <v>4137416</v>
      </c>
      <c r="I55" s="695" t="s">
        <v>1006</v>
      </c>
      <c r="J55" s="29" t="s">
        <v>65</v>
      </c>
      <c r="K55" s="8">
        <v>31</v>
      </c>
      <c r="L55" s="33"/>
      <c r="M55" s="32">
        <f>7218-3336</f>
        <v>3882</v>
      </c>
      <c r="N55" s="32">
        <f>13589-6251</f>
        <v>7338</v>
      </c>
      <c r="O55" s="896">
        <f>SUM(M55:N55)</f>
        <v>11220</v>
      </c>
    </row>
    <row r="56" spans="1:15" ht="18">
      <c r="A56" s="575" t="s">
        <v>26</v>
      </c>
      <c r="B56" s="3"/>
      <c r="C56" s="4" t="s">
        <v>156</v>
      </c>
      <c r="D56" s="4" t="s">
        <v>172</v>
      </c>
      <c r="E56" s="4">
        <v>115</v>
      </c>
      <c r="F56" s="4" t="s">
        <v>157</v>
      </c>
      <c r="G56" s="4" t="s">
        <v>156</v>
      </c>
      <c r="H56" s="22">
        <v>4098771</v>
      </c>
      <c r="I56" s="695" t="s">
        <v>1007</v>
      </c>
      <c r="J56" s="377" t="s">
        <v>21</v>
      </c>
      <c r="K56" s="8">
        <v>60</v>
      </c>
      <c r="L56" s="788">
        <f>(10560.55-4735.44)*20</f>
        <v>116502.2</v>
      </c>
      <c r="M56" s="33"/>
      <c r="N56" s="33"/>
      <c r="O56" s="896">
        <f>L56</f>
        <v>116502.2</v>
      </c>
    </row>
    <row r="57" spans="1:15" ht="18">
      <c r="A57" s="575" t="s">
        <v>26</v>
      </c>
      <c r="B57" s="3"/>
      <c r="C57" s="4" t="s">
        <v>156</v>
      </c>
      <c r="D57" s="4" t="s">
        <v>172</v>
      </c>
      <c r="E57" s="4">
        <v>115</v>
      </c>
      <c r="F57" s="4" t="s">
        <v>157</v>
      </c>
      <c r="G57" s="4" t="s">
        <v>156</v>
      </c>
      <c r="H57" s="22">
        <v>4137419</v>
      </c>
      <c r="I57" s="695" t="s">
        <v>1008</v>
      </c>
      <c r="J57" s="29" t="s">
        <v>65</v>
      </c>
      <c r="K57" s="8">
        <v>32</v>
      </c>
      <c r="L57" s="33"/>
      <c r="M57" s="32">
        <f>41284-19235</f>
        <v>22049</v>
      </c>
      <c r="N57" s="32">
        <f>55380-25778</f>
        <v>29602</v>
      </c>
      <c r="O57" s="896">
        <f>SUM(M57:N57)</f>
        <v>51651</v>
      </c>
    </row>
    <row r="58" spans="1:15" ht="18.75" thickBot="1">
      <c r="A58" s="575" t="s">
        <v>26</v>
      </c>
      <c r="B58" s="3"/>
      <c r="C58" s="22" t="s">
        <v>156</v>
      </c>
      <c r="D58" s="22" t="s">
        <v>172</v>
      </c>
      <c r="E58" s="22">
        <v>115</v>
      </c>
      <c r="F58" s="4" t="s">
        <v>157</v>
      </c>
      <c r="G58" s="4" t="s">
        <v>156</v>
      </c>
      <c r="H58" s="20">
        <v>4137417</v>
      </c>
      <c r="I58" s="771" t="s">
        <v>1009</v>
      </c>
      <c r="J58" s="1322" t="s">
        <v>28</v>
      </c>
      <c r="K58" s="24">
        <v>39</v>
      </c>
      <c r="L58" s="32">
        <f>25729-24212</f>
        <v>1517</v>
      </c>
      <c r="M58" s="33"/>
      <c r="N58" s="33"/>
      <c r="O58" s="896">
        <f>L58</f>
        <v>1517</v>
      </c>
    </row>
    <row r="59" spans="1:15" ht="31.5" customHeight="1">
      <c r="B59" s="1308" t="s">
        <v>22</v>
      </c>
      <c r="C59" s="121" t="s">
        <v>1050</v>
      </c>
      <c r="D59" s="12"/>
      <c r="E59" s="54"/>
      <c r="H59" s="1622" t="s">
        <v>1920</v>
      </c>
      <c r="I59" s="121" t="s">
        <v>1349</v>
      </c>
      <c r="J59" s="1316"/>
      <c r="N59" s="32" t="s">
        <v>23</v>
      </c>
      <c r="O59" s="556">
        <f>SUM(O55:O58)</f>
        <v>180890.2</v>
      </c>
    </row>
    <row r="60" spans="1:15" ht="15">
      <c r="B60" s="52"/>
      <c r="C60" s="43" t="s">
        <v>1051</v>
      </c>
      <c r="D60" s="15"/>
      <c r="E60" s="54"/>
      <c r="H60" s="185"/>
      <c r="I60" s="43" t="s">
        <v>173</v>
      </c>
      <c r="J60" s="1317"/>
    </row>
    <row r="61" spans="1:15" ht="15.75" thickBot="1">
      <c r="B61" s="52"/>
      <c r="C61" s="43" t="s">
        <v>159</v>
      </c>
      <c r="D61" s="15"/>
      <c r="E61" s="54"/>
      <c r="H61" s="188"/>
      <c r="I61" s="113" t="s">
        <v>159</v>
      </c>
      <c r="J61" s="649"/>
    </row>
    <row r="62" spans="1:15" ht="15">
      <c r="B62" s="67" t="s">
        <v>160</v>
      </c>
      <c r="C62" s="43">
        <v>8222160292</v>
      </c>
      <c r="D62" s="15"/>
      <c r="E62" s="54"/>
    </row>
    <row r="63" spans="1:15" ht="15.75" thickBot="1">
      <c r="A63" s="273"/>
      <c r="B63" s="441" t="s">
        <v>1061</v>
      </c>
      <c r="C63" s="113" t="s">
        <v>1184</v>
      </c>
      <c r="D63" s="18"/>
      <c r="E63" s="54"/>
      <c r="J63" s="273"/>
    </row>
    <row r="64" spans="1:15" ht="15" thickBot="1"/>
    <row r="65" spans="1:15" ht="39.75" customHeight="1">
      <c r="A65" s="1670" t="s">
        <v>6</v>
      </c>
      <c r="B65" s="1673" t="s">
        <v>633</v>
      </c>
      <c r="C65" s="1676" t="s">
        <v>8</v>
      </c>
      <c r="D65" s="1676" t="s">
        <v>9</v>
      </c>
      <c r="E65" s="1656" t="s">
        <v>812</v>
      </c>
      <c r="F65" s="1656" t="s">
        <v>11</v>
      </c>
      <c r="G65" s="1676" t="s">
        <v>12</v>
      </c>
      <c r="H65" s="1656" t="s">
        <v>269</v>
      </c>
      <c r="I65" s="1656" t="s">
        <v>13</v>
      </c>
      <c r="J65" s="1656" t="s">
        <v>59</v>
      </c>
      <c r="K65" s="1665" t="s">
        <v>635</v>
      </c>
      <c r="L65" s="1725" t="s">
        <v>636</v>
      </c>
      <c r="M65" s="1719"/>
      <c r="N65" s="1719"/>
      <c r="O65" s="1726"/>
    </row>
    <row r="66" spans="1:15" ht="28.5" customHeight="1">
      <c r="A66" s="1671"/>
      <c r="B66" s="1674"/>
      <c r="C66" s="1677"/>
      <c r="D66" s="1677"/>
      <c r="E66" s="1657"/>
      <c r="F66" s="1657"/>
      <c r="G66" s="1677"/>
      <c r="H66" s="1657"/>
      <c r="I66" s="1657"/>
      <c r="J66" s="1657"/>
      <c r="K66" s="1666"/>
      <c r="L66" s="1679" t="s">
        <v>637</v>
      </c>
      <c r="M66" s="1654"/>
      <c r="N66" s="1654"/>
      <c r="O66" s="1680"/>
    </row>
    <row r="67" spans="1:15" ht="28.5" customHeight="1" thickBot="1">
      <c r="A67" s="1672"/>
      <c r="B67" s="1675"/>
      <c r="C67" s="1678"/>
      <c r="D67" s="1678"/>
      <c r="E67" s="1658"/>
      <c r="F67" s="1658"/>
      <c r="G67" s="1678"/>
      <c r="H67" s="1658"/>
      <c r="I67" s="1658"/>
      <c r="J67" s="1658"/>
      <c r="K67" s="1667"/>
      <c r="L67" s="571" t="s">
        <v>638</v>
      </c>
      <c r="M67" s="1291" t="s">
        <v>639</v>
      </c>
      <c r="N67" s="1291" t="s">
        <v>640</v>
      </c>
      <c r="O67" s="1292" t="s">
        <v>16</v>
      </c>
    </row>
    <row r="68" spans="1:15" ht="30" thickBot="1">
      <c r="A68" s="601" t="s">
        <v>26</v>
      </c>
      <c r="B68" s="105" t="s">
        <v>174</v>
      </c>
      <c r="C68" s="104" t="s">
        <v>175</v>
      </c>
      <c r="D68" s="182"/>
      <c r="E68" s="104">
        <v>3</v>
      </c>
      <c r="F68" s="104" t="s">
        <v>157</v>
      </c>
      <c r="G68" s="104" t="s">
        <v>156</v>
      </c>
      <c r="H68" s="103">
        <v>289314</v>
      </c>
      <c r="I68" s="1089" t="s">
        <v>1010</v>
      </c>
      <c r="J68" s="1323" t="s">
        <v>28</v>
      </c>
      <c r="K68" s="1314">
        <v>6.6</v>
      </c>
      <c r="L68" s="434">
        <f>88188-69049</f>
        <v>19139</v>
      </c>
      <c r="M68" s="269"/>
      <c r="N68" s="269"/>
      <c r="O68" s="434">
        <f>L68</f>
        <v>19139</v>
      </c>
    </row>
    <row r="69" spans="1:15" ht="30">
      <c r="B69" s="1308" t="s">
        <v>22</v>
      </c>
      <c r="C69" s="121" t="s">
        <v>1050</v>
      </c>
      <c r="D69" s="12"/>
      <c r="E69" s="14"/>
      <c r="F69" s="54"/>
      <c r="H69" s="1622" t="s">
        <v>1920</v>
      </c>
      <c r="I69" s="11" t="s">
        <v>1260</v>
      </c>
      <c r="J69" s="1316"/>
      <c r="N69" s="32" t="s">
        <v>23</v>
      </c>
      <c r="O69" s="556">
        <f>SUM(O68)</f>
        <v>19139</v>
      </c>
    </row>
    <row r="70" spans="1:15" ht="15">
      <c r="B70" s="52"/>
      <c r="C70" s="43" t="s">
        <v>1051</v>
      </c>
      <c r="D70" s="15"/>
      <c r="E70" s="14"/>
      <c r="F70" s="54"/>
      <c r="H70" s="185"/>
      <c r="I70" s="14" t="s">
        <v>176</v>
      </c>
      <c r="J70" s="1317"/>
    </row>
    <row r="71" spans="1:15" ht="15.75" thickBot="1">
      <c r="B71" s="52"/>
      <c r="C71" s="43" t="s">
        <v>159</v>
      </c>
      <c r="D71" s="15"/>
      <c r="E71" s="14"/>
      <c r="F71" s="54"/>
      <c r="H71" s="188"/>
      <c r="I71" s="17" t="s">
        <v>159</v>
      </c>
      <c r="J71" s="649"/>
    </row>
    <row r="72" spans="1:15" ht="15">
      <c r="B72" s="67" t="s">
        <v>160</v>
      </c>
      <c r="C72" s="43">
        <v>8222160292</v>
      </c>
      <c r="D72" s="15"/>
      <c r="E72" s="14"/>
      <c r="F72" s="54"/>
    </row>
    <row r="73" spans="1:15" ht="15.75" thickBot="1">
      <c r="A73" s="273"/>
      <c r="B73" s="441" t="s">
        <v>1061</v>
      </c>
      <c r="C73" s="113" t="s">
        <v>1184</v>
      </c>
      <c r="D73" s="18"/>
      <c r="E73" s="14"/>
      <c r="F73" s="54"/>
      <c r="J73" s="273"/>
    </row>
    <row r="74" spans="1:15" ht="15" thickBot="1">
      <c r="B74" s="53"/>
      <c r="C74" s="54"/>
      <c r="D74" s="54"/>
    </row>
    <row r="75" spans="1:15" ht="41.25" customHeight="1">
      <c r="A75" s="1670" t="s">
        <v>6</v>
      </c>
      <c r="B75" s="1673" t="s">
        <v>633</v>
      </c>
      <c r="C75" s="1676" t="s">
        <v>8</v>
      </c>
      <c r="D75" s="1676" t="s">
        <v>9</v>
      </c>
      <c r="E75" s="1656" t="s">
        <v>812</v>
      </c>
      <c r="F75" s="1656" t="s">
        <v>11</v>
      </c>
      <c r="G75" s="1676" t="s">
        <v>12</v>
      </c>
      <c r="H75" s="1656" t="s">
        <v>269</v>
      </c>
      <c r="I75" s="1656" t="s">
        <v>13</v>
      </c>
      <c r="J75" s="1656" t="s">
        <v>59</v>
      </c>
      <c r="K75" s="1665" t="s">
        <v>635</v>
      </c>
      <c r="L75" s="1725" t="s">
        <v>636</v>
      </c>
      <c r="M75" s="1719"/>
      <c r="N75" s="1719"/>
      <c r="O75" s="1726"/>
    </row>
    <row r="76" spans="1:15" ht="28.5" customHeight="1">
      <c r="A76" s="1671"/>
      <c r="B76" s="1674"/>
      <c r="C76" s="1677"/>
      <c r="D76" s="1677"/>
      <c r="E76" s="1657"/>
      <c r="F76" s="1657"/>
      <c r="G76" s="1677"/>
      <c r="H76" s="1657"/>
      <c r="I76" s="1657"/>
      <c r="J76" s="1657"/>
      <c r="K76" s="1666"/>
      <c r="L76" s="1679" t="s">
        <v>637</v>
      </c>
      <c r="M76" s="1654"/>
      <c r="N76" s="1654"/>
      <c r="O76" s="1680"/>
    </row>
    <row r="77" spans="1:15" ht="28.5" customHeight="1" thickBot="1">
      <c r="A77" s="1672"/>
      <c r="B77" s="1675"/>
      <c r="C77" s="1678"/>
      <c r="D77" s="1678"/>
      <c r="E77" s="1658"/>
      <c r="F77" s="1658"/>
      <c r="G77" s="1678"/>
      <c r="H77" s="1658"/>
      <c r="I77" s="1658"/>
      <c r="J77" s="1658"/>
      <c r="K77" s="1667"/>
      <c r="L77" s="571" t="s">
        <v>638</v>
      </c>
      <c r="M77" s="1291" t="s">
        <v>639</v>
      </c>
      <c r="N77" s="1291" t="s">
        <v>640</v>
      </c>
      <c r="O77" s="1292" t="s">
        <v>16</v>
      </c>
    </row>
    <row r="78" spans="1:15" ht="18.75" thickBot="1">
      <c r="A78" s="601" t="s">
        <v>26</v>
      </c>
      <c r="B78" s="266" t="s">
        <v>154</v>
      </c>
      <c r="C78" s="182" t="s">
        <v>177</v>
      </c>
      <c r="D78" s="182"/>
      <c r="E78" s="182">
        <v>50</v>
      </c>
      <c r="F78" s="182" t="s">
        <v>157</v>
      </c>
      <c r="G78" s="182" t="s">
        <v>156</v>
      </c>
      <c r="H78" s="103">
        <v>94553</v>
      </c>
      <c r="I78" s="1089" t="s">
        <v>1003</v>
      </c>
      <c r="J78" s="1259" t="s">
        <v>28</v>
      </c>
      <c r="K78" s="267">
        <v>12</v>
      </c>
      <c r="L78" s="268">
        <f>98960-86590</f>
        <v>12370</v>
      </c>
      <c r="M78" s="269"/>
      <c r="N78" s="269"/>
      <c r="O78" s="268">
        <f>L78</f>
        <v>12370</v>
      </c>
    </row>
    <row r="79" spans="1:15" ht="32.25" customHeight="1">
      <c r="B79" s="1308" t="s">
        <v>22</v>
      </c>
      <c r="C79" s="121" t="s">
        <v>1050</v>
      </c>
      <c r="D79" s="12"/>
      <c r="E79" s="14"/>
      <c r="H79" s="1622" t="s">
        <v>1920</v>
      </c>
      <c r="I79" s="11" t="s">
        <v>178</v>
      </c>
      <c r="J79" s="1316"/>
      <c r="N79" s="32" t="s">
        <v>23</v>
      </c>
      <c r="O79" s="556">
        <f>SUM(O78)</f>
        <v>12370</v>
      </c>
    </row>
    <row r="80" spans="1:15" ht="15">
      <c r="B80" s="52"/>
      <c r="C80" s="43" t="s">
        <v>1051</v>
      </c>
      <c r="D80" s="15"/>
      <c r="E80" s="14"/>
      <c r="H80" s="185"/>
      <c r="I80" s="14" t="s">
        <v>179</v>
      </c>
      <c r="J80" s="1317"/>
    </row>
    <row r="81" spans="1:15" ht="15.75" thickBot="1">
      <c r="B81" s="52"/>
      <c r="C81" s="43" t="s">
        <v>159</v>
      </c>
      <c r="D81" s="15"/>
      <c r="E81" s="14"/>
      <c r="H81" s="188"/>
      <c r="I81" s="17" t="s">
        <v>159</v>
      </c>
      <c r="J81" s="649"/>
    </row>
    <row r="82" spans="1:15" ht="15">
      <c r="B82" s="67" t="s">
        <v>160</v>
      </c>
      <c r="C82" s="43">
        <v>8222160292</v>
      </c>
      <c r="D82" s="15"/>
      <c r="E82" s="14"/>
    </row>
    <row r="83" spans="1:15" ht="15.75" thickBot="1">
      <c r="A83" s="273"/>
      <c r="B83" s="441" t="s">
        <v>1061</v>
      </c>
      <c r="C83" s="113" t="s">
        <v>1184</v>
      </c>
      <c r="D83" s="18"/>
      <c r="E83" s="14"/>
      <c r="J83" s="273"/>
    </row>
    <row r="84" spans="1:15" ht="15" thickBot="1"/>
    <row r="85" spans="1:15" ht="48.75" customHeight="1">
      <c r="A85" s="1670" t="s">
        <v>6</v>
      </c>
      <c r="B85" s="1673" t="s">
        <v>633</v>
      </c>
      <c r="C85" s="1676" t="s">
        <v>8</v>
      </c>
      <c r="D85" s="1676" t="s">
        <v>9</v>
      </c>
      <c r="E85" s="1656" t="s">
        <v>812</v>
      </c>
      <c r="F85" s="1656" t="s">
        <v>11</v>
      </c>
      <c r="G85" s="1676" t="s">
        <v>12</v>
      </c>
      <c r="H85" s="1656" t="s">
        <v>269</v>
      </c>
      <c r="I85" s="1656" t="s">
        <v>13</v>
      </c>
      <c r="J85" s="1656" t="s">
        <v>59</v>
      </c>
      <c r="K85" s="1665" t="s">
        <v>635</v>
      </c>
      <c r="L85" s="1725" t="s">
        <v>636</v>
      </c>
      <c r="M85" s="1719"/>
      <c r="N85" s="1719"/>
      <c r="O85" s="1726"/>
    </row>
    <row r="86" spans="1:15" ht="28.5" customHeight="1">
      <c r="A86" s="1671"/>
      <c r="B86" s="1674"/>
      <c r="C86" s="1677"/>
      <c r="D86" s="1677"/>
      <c r="E86" s="1657"/>
      <c r="F86" s="1657"/>
      <c r="G86" s="1677"/>
      <c r="H86" s="1657"/>
      <c r="I86" s="1657"/>
      <c r="J86" s="1657"/>
      <c r="K86" s="1666"/>
      <c r="L86" s="1679" t="s">
        <v>637</v>
      </c>
      <c r="M86" s="1654"/>
      <c r="N86" s="1654"/>
      <c r="O86" s="1680"/>
    </row>
    <row r="87" spans="1:15" ht="28.5" customHeight="1" thickBot="1">
      <c r="A87" s="1672"/>
      <c r="B87" s="1675"/>
      <c r="C87" s="1678"/>
      <c r="D87" s="1678"/>
      <c r="E87" s="1658"/>
      <c r="F87" s="1658"/>
      <c r="G87" s="1678"/>
      <c r="H87" s="1658"/>
      <c r="I87" s="1658"/>
      <c r="J87" s="1658"/>
      <c r="K87" s="1667"/>
      <c r="L87" s="571" t="s">
        <v>638</v>
      </c>
      <c r="M87" s="1291" t="s">
        <v>639</v>
      </c>
      <c r="N87" s="1291" t="s">
        <v>640</v>
      </c>
      <c r="O87" s="1292" t="s">
        <v>16</v>
      </c>
    </row>
    <row r="88" spans="1:15" ht="29.25">
      <c r="A88" s="575" t="s">
        <v>26</v>
      </c>
      <c r="B88" s="3" t="s">
        <v>180</v>
      </c>
      <c r="C88" s="4" t="s">
        <v>161</v>
      </c>
      <c r="D88" s="4" t="s">
        <v>181</v>
      </c>
      <c r="E88" s="4">
        <v>82</v>
      </c>
      <c r="F88" s="4" t="s">
        <v>163</v>
      </c>
      <c r="G88" s="4" t="s">
        <v>161</v>
      </c>
      <c r="H88" s="22">
        <v>288407</v>
      </c>
      <c r="I88" s="695" t="s">
        <v>997</v>
      </c>
      <c r="J88" s="29" t="s">
        <v>65</v>
      </c>
      <c r="K88" s="8">
        <v>9</v>
      </c>
      <c r="L88" s="33"/>
      <c r="M88" s="32">
        <f>4157-3091</f>
        <v>1066</v>
      </c>
      <c r="N88" s="32">
        <f>20779-15601</f>
        <v>5178</v>
      </c>
      <c r="O88" s="32">
        <f>SUM(M88:N88)</f>
        <v>6244</v>
      </c>
    </row>
    <row r="89" spans="1:15" ht="30" thickBot="1">
      <c r="A89" s="575" t="s">
        <v>26</v>
      </c>
      <c r="B89" s="9" t="s">
        <v>180</v>
      </c>
      <c r="C89" s="6" t="s">
        <v>156</v>
      </c>
      <c r="D89" s="6" t="s">
        <v>182</v>
      </c>
      <c r="E89" s="6">
        <v>1</v>
      </c>
      <c r="F89" s="4" t="s">
        <v>157</v>
      </c>
      <c r="G89" s="4" t="s">
        <v>156</v>
      </c>
      <c r="H89" s="20">
        <v>8136864</v>
      </c>
      <c r="I89" s="771" t="s">
        <v>998</v>
      </c>
      <c r="J89" s="744" t="s">
        <v>28</v>
      </c>
      <c r="K89" s="8">
        <v>6</v>
      </c>
      <c r="L89" s="32">
        <f>93099-86046</f>
        <v>7053</v>
      </c>
      <c r="M89" s="33"/>
      <c r="N89" s="33"/>
      <c r="O89" s="32">
        <f>L89</f>
        <v>7053</v>
      </c>
    </row>
    <row r="90" spans="1:15" ht="33.75" customHeight="1">
      <c r="B90" s="120" t="s">
        <v>158</v>
      </c>
      <c r="C90" s="121" t="s">
        <v>180</v>
      </c>
      <c r="D90" s="11"/>
      <c r="E90" s="12"/>
      <c r="H90" s="1622" t="s">
        <v>1920</v>
      </c>
      <c r="I90" s="121" t="s">
        <v>180</v>
      </c>
      <c r="J90" s="1316"/>
      <c r="N90" s="32" t="s">
        <v>23</v>
      </c>
      <c r="O90" s="556">
        <f>SUM(O88:O89)</f>
        <v>13297</v>
      </c>
    </row>
    <row r="91" spans="1:15" ht="15">
      <c r="B91" s="52"/>
      <c r="C91" s="43" t="s">
        <v>183</v>
      </c>
      <c r="D91" s="14"/>
      <c r="E91" s="15"/>
      <c r="H91" s="185"/>
      <c r="I91" s="43" t="s">
        <v>183</v>
      </c>
      <c r="J91" s="1317"/>
    </row>
    <row r="92" spans="1:15" ht="15.75" thickBot="1">
      <c r="B92" s="52"/>
      <c r="C92" s="43" t="s">
        <v>159</v>
      </c>
      <c r="D92" s="14"/>
      <c r="E92" s="15"/>
      <c r="H92" s="188"/>
      <c r="I92" s="113" t="s">
        <v>159</v>
      </c>
      <c r="J92" s="649"/>
    </row>
    <row r="93" spans="1:15" ht="15">
      <c r="B93" s="67" t="s">
        <v>818</v>
      </c>
      <c r="C93" s="43" t="s">
        <v>1023</v>
      </c>
      <c r="D93" s="14"/>
      <c r="E93" s="15"/>
    </row>
    <row r="94" spans="1:15" ht="15.75" thickBot="1">
      <c r="A94" s="287"/>
      <c r="B94" s="441" t="s">
        <v>1061</v>
      </c>
      <c r="C94" s="113" t="s">
        <v>1113</v>
      </c>
      <c r="D94" s="17"/>
      <c r="E94" s="18"/>
      <c r="J94" s="287"/>
    </row>
    <row r="95" spans="1:15" ht="15.75" thickBot="1">
      <c r="A95" s="287"/>
      <c r="B95" s="453"/>
      <c r="C95" s="43"/>
      <c r="D95" s="14"/>
      <c r="E95" s="14"/>
      <c r="J95" s="287"/>
    </row>
    <row r="96" spans="1:15" ht="41.25" customHeight="1">
      <c r="A96" s="1670" t="s">
        <v>6</v>
      </c>
      <c r="B96" s="1673" t="s">
        <v>633</v>
      </c>
      <c r="C96" s="1676" t="s">
        <v>8</v>
      </c>
      <c r="D96" s="1676" t="s">
        <v>9</v>
      </c>
      <c r="E96" s="1656" t="s">
        <v>812</v>
      </c>
      <c r="F96" s="1656" t="s">
        <v>11</v>
      </c>
      <c r="G96" s="1676" t="s">
        <v>12</v>
      </c>
      <c r="H96" s="1656" t="s">
        <v>269</v>
      </c>
      <c r="I96" s="1656" t="s">
        <v>13</v>
      </c>
      <c r="J96" s="1656" t="s">
        <v>59</v>
      </c>
      <c r="K96" s="1665" t="s">
        <v>635</v>
      </c>
      <c r="L96" s="1725" t="s">
        <v>636</v>
      </c>
      <c r="M96" s="1719"/>
      <c r="N96" s="1719"/>
      <c r="O96" s="1726"/>
    </row>
    <row r="97" spans="1:15" ht="36" customHeight="1">
      <c r="A97" s="1671"/>
      <c r="B97" s="1674"/>
      <c r="C97" s="1677"/>
      <c r="D97" s="1677"/>
      <c r="E97" s="1657"/>
      <c r="F97" s="1657"/>
      <c r="G97" s="1677"/>
      <c r="H97" s="1657"/>
      <c r="I97" s="1657"/>
      <c r="J97" s="1657"/>
      <c r="K97" s="1666"/>
      <c r="L97" s="1679" t="s">
        <v>637</v>
      </c>
      <c r="M97" s="1654"/>
      <c r="N97" s="1654"/>
      <c r="O97" s="1680"/>
    </row>
    <row r="98" spans="1:15" ht="24" customHeight="1" thickBot="1">
      <c r="A98" s="1672"/>
      <c r="B98" s="1675"/>
      <c r="C98" s="1678"/>
      <c r="D98" s="1678"/>
      <c r="E98" s="1658"/>
      <c r="F98" s="1658"/>
      <c r="G98" s="1678"/>
      <c r="H98" s="1658"/>
      <c r="I98" s="1658"/>
      <c r="J98" s="1658"/>
      <c r="K98" s="1667"/>
      <c r="L98" s="571" t="s">
        <v>638</v>
      </c>
      <c r="M98" s="1291" t="s">
        <v>639</v>
      </c>
      <c r="N98" s="1291" t="s">
        <v>640</v>
      </c>
      <c r="O98" s="1292" t="s">
        <v>16</v>
      </c>
    </row>
    <row r="99" spans="1:15" ht="18">
      <c r="A99" s="601" t="s">
        <v>26</v>
      </c>
      <c r="B99" s="800"/>
      <c r="C99" s="691" t="s">
        <v>156</v>
      </c>
      <c r="D99" s="669" t="s">
        <v>182</v>
      </c>
      <c r="E99" s="669">
        <v>1</v>
      </c>
      <c r="F99" s="182" t="s">
        <v>157</v>
      </c>
      <c r="G99" s="182" t="s">
        <v>156</v>
      </c>
      <c r="H99" s="182">
        <v>847970</v>
      </c>
      <c r="I99" s="710" t="s">
        <v>1049</v>
      </c>
      <c r="J99" s="430" t="s">
        <v>28</v>
      </c>
      <c r="K99" s="267">
        <v>40</v>
      </c>
      <c r="L99" s="268">
        <f>(21819.59-16935.52)*20</f>
        <v>97681.4</v>
      </c>
      <c r="M99" s="269"/>
      <c r="N99" s="269"/>
      <c r="O99" s="268">
        <f>L99</f>
        <v>97681.4</v>
      </c>
    </row>
    <row r="100" spans="1:15" ht="18">
      <c r="A100" s="552" t="s">
        <v>26</v>
      </c>
      <c r="B100" s="105"/>
      <c r="C100" s="3" t="s">
        <v>1180</v>
      </c>
      <c r="D100" s="3" t="s">
        <v>1179</v>
      </c>
      <c r="E100" s="4">
        <v>53</v>
      </c>
      <c r="F100" s="4" t="s">
        <v>157</v>
      </c>
      <c r="G100" s="4" t="s">
        <v>156</v>
      </c>
      <c r="H100" s="22">
        <v>90643781</v>
      </c>
      <c r="I100" s="695" t="s">
        <v>1178</v>
      </c>
      <c r="J100" s="386" t="s">
        <v>28</v>
      </c>
      <c r="K100" s="174">
        <v>6</v>
      </c>
      <c r="L100" s="34">
        <f>6426-2033</f>
        <v>4393</v>
      </c>
      <c r="M100" s="33"/>
      <c r="N100" s="33"/>
      <c r="O100" s="893">
        <f>L100</f>
        <v>4393</v>
      </c>
    </row>
    <row r="101" spans="1:15" ht="18">
      <c r="A101" s="552" t="s">
        <v>26</v>
      </c>
      <c r="B101" s="105"/>
      <c r="C101" s="3" t="s">
        <v>156</v>
      </c>
      <c r="D101" s="3" t="s">
        <v>266</v>
      </c>
      <c r="E101" s="4" t="s">
        <v>1177</v>
      </c>
      <c r="F101" s="4" t="s">
        <v>157</v>
      </c>
      <c r="G101" s="4" t="s">
        <v>156</v>
      </c>
      <c r="H101" s="22">
        <v>8445928</v>
      </c>
      <c r="I101" s="695" t="s">
        <v>1176</v>
      </c>
      <c r="J101" s="386" t="s">
        <v>28</v>
      </c>
      <c r="K101" s="174">
        <v>3.8</v>
      </c>
      <c r="L101" s="34">
        <f>2955-2955</f>
        <v>0</v>
      </c>
      <c r="M101" s="33"/>
      <c r="N101" s="33"/>
      <c r="O101" s="32">
        <f>L101</f>
        <v>0</v>
      </c>
    </row>
    <row r="102" spans="1:15" ht="18">
      <c r="A102" s="595" t="s">
        <v>26</v>
      </c>
      <c r="B102" s="105"/>
      <c r="C102" s="3" t="s">
        <v>161</v>
      </c>
      <c r="D102" s="759" t="s">
        <v>1182</v>
      </c>
      <c r="E102" s="4">
        <v>28</v>
      </c>
      <c r="F102" s="4" t="s">
        <v>163</v>
      </c>
      <c r="G102" s="4" t="s">
        <v>161</v>
      </c>
      <c r="H102" s="22">
        <v>9322385</v>
      </c>
      <c r="I102" s="695" t="s">
        <v>1183</v>
      </c>
      <c r="J102" s="386" t="s">
        <v>28</v>
      </c>
      <c r="K102" s="174">
        <v>34</v>
      </c>
      <c r="L102" s="34">
        <f>8719-7462</f>
        <v>1257</v>
      </c>
      <c r="M102" s="33"/>
      <c r="N102" s="33"/>
      <c r="O102" s="32">
        <f>L102</f>
        <v>1257</v>
      </c>
    </row>
    <row r="103" spans="1:15" ht="18">
      <c r="A103" s="552" t="s">
        <v>26</v>
      </c>
      <c r="B103" s="23"/>
      <c r="C103" s="3" t="s">
        <v>161</v>
      </c>
      <c r="D103" s="759" t="s">
        <v>1182</v>
      </c>
      <c r="E103" s="4">
        <v>28</v>
      </c>
      <c r="F103" s="4" t="s">
        <v>163</v>
      </c>
      <c r="G103" s="4" t="s">
        <v>161</v>
      </c>
      <c r="H103" s="22">
        <v>71878628</v>
      </c>
      <c r="I103" s="695" t="s">
        <v>1181</v>
      </c>
      <c r="J103" s="29" t="s">
        <v>65</v>
      </c>
      <c r="K103" s="174">
        <v>34</v>
      </c>
      <c r="L103" s="33"/>
      <c r="M103" s="32">
        <f>2973-1404</f>
        <v>1569</v>
      </c>
      <c r="N103" s="32">
        <f>67782-45622</f>
        <v>22160</v>
      </c>
      <c r="O103" s="32">
        <f>SUM(M103:N103)</f>
        <v>23729</v>
      </c>
    </row>
    <row r="104" spans="1:15" ht="18">
      <c r="A104" s="575" t="s">
        <v>26</v>
      </c>
      <c r="B104" s="9"/>
      <c r="C104" s="6" t="s">
        <v>170</v>
      </c>
      <c r="D104" s="6"/>
      <c r="E104" s="4">
        <v>74</v>
      </c>
      <c r="F104" s="4" t="s">
        <v>157</v>
      </c>
      <c r="G104" s="4" t="s">
        <v>156</v>
      </c>
      <c r="H104" s="22">
        <v>99605</v>
      </c>
      <c r="I104" s="695" t="s">
        <v>1002</v>
      </c>
      <c r="J104" s="386" t="s">
        <v>28</v>
      </c>
      <c r="K104" s="8">
        <v>20</v>
      </c>
      <c r="L104" s="32">
        <f>18469-17511</f>
        <v>958</v>
      </c>
      <c r="M104" s="33"/>
      <c r="N104" s="33"/>
      <c r="O104" s="32">
        <f>L104</f>
        <v>958</v>
      </c>
    </row>
    <row r="105" spans="1:15" ht="18">
      <c r="A105" s="552" t="s">
        <v>26</v>
      </c>
      <c r="B105" s="740"/>
      <c r="C105" s="646" t="s">
        <v>156</v>
      </c>
      <c r="D105" s="646" t="s">
        <v>202</v>
      </c>
      <c r="E105" s="646" t="s">
        <v>1387</v>
      </c>
      <c r="F105" s="740" t="s">
        <v>157</v>
      </c>
      <c r="G105" s="740" t="s">
        <v>156</v>
      </c>
      <c r="H105" s="4">
        <v>28388975</v>
      </c>
      <c r="I105" s="695" t="s">
        <v>1813</v>
      </c>
      <c r="J105" s="29" t="s">
        <v>1099</v>
      </c>
      <c r="K105" s="8">
        <v>4</v>
      </c>
      <c r="L105" s="33"/>
      <c r="M105" s="32">
        <v>250</v>
      </c>
      <c r="N105" s="32">
        <v>250</v>
      </c>
      <c r="O105" s="32">
        <f>SUM(M105:N105)</f>
        <v>500</v>
      </c>
    </row>
    <row r="106" spans="1:15" ht="18">
      <c r="A106" s="575" t="s">
        <v>26</v>
      </c>
      <c r="B106" s="740"/>
      <c r="C106" s="646" t="s">
        <v>156</v>
      </c>
      <c r="D106" s="646" t="s">
        <v>202</v>
      </c>
      <c r="E106" s="646" t="s">
        <v>1388</v>
      </c>
      <c r="F106" s="740" t="s">
        <v>157</v>
      </c>
      <c r="G106" s="740" t="s">
        <v>156</v>
      </c>
      <c r="H106" s="181" t="s">
        <v>1815</v>
      </c>
      <c r="I106" s="695" t="s">
        <v>1814</v>
      </c>
      <c r="J106" s="29" t="s">
        <v>1099</v>
      </c>
      <c r="K106" s="8">
        <v>3</v>
      </c>
      <c r="L106" s="33"/>
      <c r="M106" s="32">
        <v>250</v>
      </c>
      <c r="N106" s="32">
        <v>250</v>
      </c>
      <c r="O106" s="32">
        <f>SUM(M106:N106)</f>
        <v>500</v>
      </c>
    </row>
    <row r="107" spans="1:15" ht="18">
      <c r="A107" s="575" t="s">
        <v>26</v>
      </c>
      <c r="B107" s="740"/>
      <c r="C107" s="646" t="s">
        <v>156</v>
      </c>
      <c r="D107" s="646" t="s">
        <v>202</v>
      </c>
      <c r="E107" s="646" t="s">
        <v>1389</v>
      </c>
      <c r="F107" s="740" t="s">
        <v>157</v>
      </c>
      <c r="G107" s="740" t="s">
        <v>156</v>
      </c>
      <c r="H107" s="4" t="s">
        <v>1816</v>
      </c>
      <c r="I107" s="695" t="s">
        <v>1817</v>
      </c>
      <c r="J107" s="29" t="s">
        <v>1099</v>
      </c>
      <c r="K107" s="8">
        <v>5</v>
      </c>
      <c r="L107" s="33"/>
      <c r="M107" s="32">
        <v>250</v>
      </c>
      <c r="N107" s="32">
        <v>250</v>
      </c>
      <c r="O107" s="32">
        <f>SUM(M107:N107)</f>
        <v>500</v>
      </c>
    </row>
    <row r="108" spans="1:15" ht="18.75" thickBot="1">
      <c r="A108" s="575" t="s">
        <v>26</v>
      </c>
      <c r="B108" s="809"/>
      <c r="C108" s="1309" t="s">
        <v>175</v>
      </c>
      <c r="D108" s="1309"/>
      <c r="E108" s="1309" t="s">
        <v>1386</v>
      </c>
      <c r="F108" s="809" t="s">
        <v>157</v>
      </c>
      <c r="G108" s="809" t="s">
        <v>156</v>
      </c>
      <c r="H108" s="104">
        <v>91471735</v>
      </c>
      <c r="I108" s="695" t="s">
        <v>1818</v>
      </c>
      <c r="J108" s="430" t="s">
        <v>716</v>
      </c>
      <c r="K108" s="267">
        <v>3</v>
      </c>
      <c r="L108" s="933">
        <v>500</v>
      </c>
      <c r="M108" s="269"/>
      <c r="N108" s="269"/>
      <c r="O108" s="268">
        <f>L108</f>
        <v>500</v>
      </c>
    </row>
    <row r="109" spans="1:15" ht="33.75" customHeight="1">
      <c r="A109" s="287"/>
      <c r="B109" s="1308" t="s">
        <v>22</v>
      </c>
      <c r="C109" s="121" t="s">
        <v>1050</v>
      </c>
      <c r="D109" s="12"/>
      <c r="E109" s="14"/>
      <c r="H109" s="1622" t="s">
        <v>1920</v>
      </c>
      <c r="I109" s="648" t="s">
        <v>1050</v>
      </c>
      <c r="J109" s="287"/>
      <c r="N109" s="32" t="s">
        <v>23</v>
      </c>
      <c r="O109" s="567">
        <f>SUM(O99:O108)</f>
        <v>130018.4</v>
      </c>
    </row>
    <row r="110" spans="1:15" ht="15">
      <c r="A110" s="287"/>
      <c r="B110" s="52"/>
      <c r="C110" s="43" t="s">
        <v>1051</v>
      </c>
      <c r="D110" s="15"/>
      <c r="E110" s="14"/>
      <c r="H110" s="185"/>
      <c r="I110" s="176" t="s">
        <v>1051</v>
      </c>
      <c r="J110" s="287"/>
    </row>
    <row r="111" spans="1:15" ht="15.75" thickBot="1">
      <c r="A111" s="287"/>
      <c r="B111" s="52"/>
      <c r="C111" s="43" t="s">
        <v>159</v>
      </c>
      <c r="D111" s="15"/>
      <c r="E111" s="14"/>
      <c r="H111" s="188"/>
      <c r="I111" s="177" t="s">
        <v>159</v>
      </c>
      <c r="J111" s="287"/>
    </row>
    <row r="112" spans="1:15" ht="15">
      <c r="A112" s="287"/>
      <c r="B112" s="67" t="s">
        <v>160</v>
      </c>
      <c r="C112" s="43">
        <v>8222160292</v>
      </c>
      <c r="D112" s="15"/>
      <c r="E112" s="14"/>
      <c r="J112" s="287"/>
    </row>
    <row r="113" spans="1:15" ht="15.75" thickBot="1">
      <c r="A113" s="287"/>
      <c r="B113" s="441" t="s">
        <v>1061</v>
      </c>
      <c r="C113" s="113" t="s">
        <v>1184</v>
      </c>
      <c r="D113" s="18"/>
      <c r="E113" s="14"/>
      <c r="J113" s="287"/>
    </row>
    <row r="114" spans="1:15" ht="15.75" thickBot="1">
      <c r="A114" s="287"/>
      <c r="B114" s="19"/>
      <c r="C114" s="43"/>
      <c r="D114" s="14"/>
      <c r="E114" s="14"/>
      <c r="J114" s="287"/>
    </row>
    <row r="115" spans="1:15" ht="39" customHeight="1">
      <c r="A115" s="1670" t="s">
        <v>6</v>
      </c>
      <c r="B115" s="1673" t="s">
        <v>633</v>
      </c>
      <c r="C115" s="1676" t="s">
        <v>8</v>
      </c>
      <c r="D115" s="1676" t="s">
        <v>9</v>
      </c>
      <c r="E115" s="1656" t="s">
        <v>812</v>
      </c>
      <c r="F115" s="1656" t="s">
        <v>11</v>
      </c>
      <c r="G115" s="1676" t="s">
        <v>12</v>
      </c>
      <c r="H115" s="1656" t="s">
        <v>269</v>
      </c>
      <c r="I115" s="1656" t="s">
        <v>13</v>
      </c>
      <c r="J115" s="1656" t="s">
        <v>59</v>
      </c>
      <c r="K115" s="1665" t="s">
        <v>635</v>
      </c>
      <c r="L115" s="1725" t="s">
        <v>636</v>
      </c>
      <c r="M115" s="1719"/>
      <c r="N115" s="1719"/>
      <c r="O115" s="1726"/>
    </row>
    <row r="116" spans="1:15" ht="30" customHeight="1">
      <c r="A116" s="1671"/>
      <c r="B116" s="1674"/>
      <c r="C116" s="1677"/>
      <c r="D116" s="1677"/>
      <c r="E116" s="1657"/>
      <c r="F116" s="1657"/>
      <c r="G116" s="1677"/>
      <c r="H116" s="1657"/>
      <c r="I116" s="1657"/>
      <c r="J116" s="1657"/>
      <c r="K116" s="1666"/>
      <c r="L116" s="1679" t="s">
        <v>637</v>
      </c>
      <c r="M116" s="1654"/>
      <c r="N116" s="1654"/>
      <c r="O116" s="1680"/>
    </row>
    <row r="117" spans="1:15" ht="30" customHeight="1" thickBot="1">
      <c r="A117" s="1672"/>
      <c r="B117" s="1675"/>
      <c r="C117" s="1678"/>
      <c r="D117" s="1678"/>
      <c r="E117" s="1658"/>
      <c r="F117" s="1658"/>
      <c r="G117" s="1678"/>
      <c r="H117" s="1658"/>
      <c r="I117" s="1658"/>
      <c r="J117" s="1658"/>
      <c r="K117" s="1667"/>
      <c r="L117" s="571" t="s">
        <v>638</v>
      </c>
      <c r="M117" s="1291" t="s">
        <v>639</v>
      </c>
      <c r="N117" s="1291" t="s">
        <v>640</v>
      </c>
      <c r="O117" s="1292" t="s">
        <v>16</v>
      </c>
    </row>
    <row r="118" spans="1:15" s="2" customFormat="1" ht="43.5">
      <c r="A118" s="610" t="s">
        <v>26</v>
      </c>
      <c r="B118" s="454" t="s">
        <v>1338</v>
      </c>
      <c r="C118" s="455" t="s">
        <v>733</v>
      </c>
      <c r="D118" s="454"/>
      <c r="E118" s="809"/>
      <c r="F118" s="266" t="s">
        <v>157</v>
      </c>
      <c r="G118" s="266" t="s">
        <v>156</v>
      </c>
      <c r="H118" s="266">
        <v>643326</v>
      </c>
      <c r="I118" s="734" t="s">
        <v>1107</v>
      </c>
      <c r="J118" s="800" t="s">
        <v>21</v>
      </c>
      <c r="K118" s="403">
        <v>175</v>
      </c>
      <c r="L118" s="1311">
        <f>(56590.47-47302.15)*60</f>
        <v>557299.19999999995</v>
      </c>
      <c r="M118" s="1312"/>
      <c r="N118" s="1312"/>
      <c r="O118" s="1313">
        <f>L118</f>
        <v>557299.19999999995</v>
      </c>
    </row>
    <row r="119" spans="1:15" s="2" customFormat="1" ht="29.25">
      <c r="A119" s="610" t="s">
        <v>26</v>
      </c>
      <c r="B119" s="45" t="s">
        <v>1339</v>
      </c>
      <c r="C119" s="432" t="s">
        <v>156</v>
      </c>
      <c r="D119" s="45" t="s">
        <v>516</v>
      </c>
      <c r="E119" s="740">
        <v>77</v>
      </c>
      <c r="F119" s="3" t="s">
        <v>157</v>
      </c>
      <c r="G119" s="3" t="s">
        <v>156</v>
      </c>
      <c r="H119" s="3">
        <v>71010336</v>
      </c>
      <c r="I119" s="726" t="s">
        <v>1105</v>
      </c>
      <c r="J119" s="801" t="s">
        <v>28</v>
      </c>
      <c r="K119" s="402">
        <v>17</v>
      </c>
      <c r="L119" s="401">
        <f>98944-83502</f>
        <v>15442</v>
      </c>
      <c r="M119" s="400"/>
      <c r="N119" s="400"/>
      <c r="O119" s="665">
        <f>L119</f>
        <v>15442</v>
      </c>
    </row>
    <row r="120" spans="1:15" s="2" customFormat="1" ht="43.5">
      <c r="A120" s="610" t="s">
        <v>26</v>
      </c>
      <c r="B120" s="45" t="s">
        <v>1340</v>
      </c>
      <c r="C120" s="432" t="s">
        <v>156</v>
      </c>
      <c r="D120" s="45" t="s">
        <v>734</v>
      </c>
      <c r="E120" s="740">
        <v>6</v>
      </c>
      <c r="F120" s="3" t="s">
        <v>157</v>
      </c>
      <c r="G120" s="3" t="s">
        <v>156</v>
      </c>
      <c r="H120" s="3">
        <v>10146510</v>
      </c>
      <c r="I120" s="726" t="s">
        <v>1106</v>
      </c>
      <c r="J120" s="801" t="s">
        <v>28</v>
      </c>
      <c r="K120" s="402">
        <v>5</v>
      </c>
      <c r="L120" s="401">
        <f>3521-2950</f>
        <v>571</v>
      </c>
      <c r="M120" s="400"/>
      <c r="N120" s="400"/>
      <c r="O120" s="665">
        <f t="shared" ref="O120:O129" si="0">L120</f>
        <v>571</v>
      </c>
    </row>
    <row r="121" spans="1:15" s="2" customFormat="1" ht="43.5">
      <c r="A121" s="610" t="s">
        <v>26</v>
      </c>
      <c r="B121" s="45" t="s">
        <v>735</v>
      </c>
      <c r="C121" s="432" t="s">
        <v>156</v>
      </c>
      <c r="D121" s="45" t="s">
        <v>736</v>
      </c>
      <c r="E121" s="740"/>
      <c r="F121" s="3" t="s">
        <v>157</v>
      </c>
      <c r="G121" s="3" t="s">
        <v>156</v>
      </c>
      <c r="H121" s="3">
        <v>12931531</v>
      </c>
      <c r="I121" s="726" t="s">
        <v>1102</v>
      </c>
      <c r="J121" s="801" t="s">
        <v>28</v>
      </c>
      <c r="K121" s="402">
        <v>7</v>
      </c>
      <c r="L121" s="401">
        <f>18008-16873</f>
        <v>1135</v>
      </c>
      <c r="M121" s="400"/>
      <c r="N121" s="400"/>
      <c r="O121" s="665">
        <f t="shared" si="0"/>
        <v>1135</v>
      </c>
    </row>
    <row r="122" spans="1:15" s="2" customFormat="1" ht="29.25">
      <c r="A122" s="610" t="s">
        <v>26</v>
      </c>
      <c r="B122" s="45" t="s">
        <v>737</v>
      </c>
      <c r="C122" s="432" t="s">
        <v>156</v>
      </c>
      <c r="D122" s="45" t="s">
        <v>266</v>
      </c>
      <c r="E122" s="740">
        <v>8</v>
      </c>
      <c r="F122" s="3" t="s">
        <v>157</v>
      </c>
      <c r="G122" s="3" t="s">
        <v>156</v>
      </c>
      <c r="H122" s="3">
        <v>226806</v>
      </c>
      <c r="I122" s="726" t="s">
        <v>1103</v>
      </c>
      <c r="J122" s="801" t="s">
        <v>28</v>
      </c>
      <c r="K122" s="402">
        <v>10</v>
      </c>
      <c r="L122" s="401">
        <f>26189-17379</f>
        <v>8810</v>
      </c>
      <c r="M122" s="400"/>
      <c r="N122" s="400"/>
      <c r="O122" s="665">
        <f t="shared" si="0"/>
        <v>8810</v>
      </c>
    </row>
    <row r="123" spans="1:15" s="2" customFormat="1" ht="43.5">
      <c r="A123" s="610" t="s">
        <v>26</v>
      </c>
      <c r="B123" s="45" t="s">
        <v>1340</v>
      </c>
      <c r="C123" s="432" t="s">
        <v>733</v>
      </c>
      <c r="D123" s="45" t="s">
        <v>739</v>
      </c>
      <c r="E123" s="810"/>
      <c r="F123" s="3" t="s">
        <v>157</v>
      </c>
      <c r="G123" s="3" t="s">
        <v>156</v>
      </c>
      <c r="H123" s="3">
        <v>90695324</v>
      </c>
      <c r="I123" s="726" t="s">
        <v>1104</v>
      </c>
      <c r="J123" s="801" t="s">
        <v>28</v>
      </c>
      <c r="K123" s="402">
        <v>4</v>
      </c>
      <c r="L123" s="931">
        <v>2000</v>
      </c>
      <c r="M123" s="400"/>
      <c r="N123" s="400"/>
      <c r="O123" s="665">
        <f t="shared" si="0"/>
        <v>2000</v>
      </c>
    </row>
    <row r="124" spans="1:15" s="2" customFormat="1" ht="43.5">
      <c r="A124" s="610" t="s">
        <v>26</v>
      </c>
      <c r="B124" s="45" t="s">
        <v>1341</v>
      </c>
      <c r="C124" s="432" t="s">
        <v>740</v>
      </c>
      <c r="D124" s="45" t="s">
        <v>1342</v>
      </c>
      <c r="E124" s="740"/>
      <c r="F124" s="3" t="s">
        <v>157</v>
      </c>
      <c r="G124" s="3" t="s">
        <v>156</v>
      </c>
      <c r="H124" s="3">
        <v>4098772</v>
      </c>
      <c r="I124" s="726" t="s">
        <v>1100</v>
      </c>
      <c r="J124" s="684" t="s">
        <v>21</v>
      </c>
      <c r="K124" s="402">
        <v>60</v>
      </c>
      <c r="L124" s="931">
        <f>(10164.35-4267.38)*15</f>
        <v>88454.55</v>
      </c>
      <c r="M124" s="400"/>
      <c r="N124" s="400"/>
      <c r="O124" s="665">
        <f t="shared" si="0"/>
        <v>88454.55</v>
      </c>
    </row>
    <row r="125" spans="1:15" s="2" customFormat="1" ht="43.5">
      <c r="A125" s="610" t="s">
        <v>26</v>
      </c>
      <c r="B125" s="45" t="s">
        <v>1340</v>
      </c>
      <c r="C125" s="432" t="s">
        <v>733</v>
      </c>
      <c r="D125" s="811" t="s">
        <v>1376</v>
      </c>
      <c r="E125" s="812"/>
      <c r="F125" s="3" t="s">
        <v>157</v>
      </c>
      <c r="G125" s="3" t="s">
        <v>156</v>
      </c>
      <c r="H125" s="3">
        <v>357743</v>
      </c>
      <c r="I125" s="726" t="s">
        <v>1101</v>
      </c>
      <c r="J125" s="801" t="s">
        <v>28</v>
      </c>
      <c r="K125" s="402">
        <v>4</v>
      </c>
      <c r="L125" s="401">
        <f>773-573</f>
        <v>200</v>
      </c>
      <c r="M125" s="400"/>
      <c r="N125" s="400"/>
      <c r="O125" s="665">
        <f t="shared" si="0"/>
        <v>200</v>
      </c>
    </row>
    <row r="126" spans="1:15" s="2" customFormat="1" ht="29.25">
      <c r="A126" s="610" t="s">
        <v>26</v>
      </c>
      <c r="B126" s="45" t="s">
        <v>1343</v>
      </c>
      <c r="C126" s="432" t="s">
        <v>741</v>
      </c>
      <c r="D126" s="45" t="s">
        <v>1344</v>
      </c>
      <c r="E126" s="740"/>
      <c r="F126" s="3" t="s">
        <v>157</v>
      </c>
      <c r="G126" s="3" t="s">
        <v>156</v>
      </c>
      <c r="H126" s="3">
        <v>782323</v>
      </c>
      <c r="I126" s="726" t="s">
        <v>1108</v>
      </c>
      <c r="J126" s="684" t="s">
        <v>21</v>
      </c>
      <c r="K126" s="402">
        <v>120</v>
      </c>
      <c r="L126" s="401">
        <f>(55150.73-47257.97)*40</f>
        <v>315710.40000000008</v>
      </c>
      <c r="M126" s="400"/>
      <c r="N126" s="400"/>
      <c r="O126" s="665">
        <f t="shared" si="0"/>
        <v>315710.40000000008</v>
      </c>
    </row>
    <row r="127" spans="1:15" s="2" customFormat="1" ht="43.5">
      <c r="A127" s="610" t="s">
        <v>26</v>
      </c>
      <c r="B127" s="45" t="s">
        <v>1340</v>
      </c>
      <c r="C127" s="432" t="s">
        <v>742</v>
      </c>
      <c r="D127" s="45"/>
      <c r="E127" s="740"/>
      <c r="F127" s="3" t="s">
        <v>157</v>
      </c>
      <c r="G127" s="3" t="s">
        <v>156</v>
      </c>
      <c r="H127" s="3">
        <v>790242</v>
      </c>
      <c r="I127" s="726" t="s">
        <v>1109</v>
      </c>
      <c r="J127" s="684" t="s">
        <v>21</v>
      </c>
      <c r="K127" s="402">
        <v>40</v>
      </c>
      <c r="L127" s="401">
        <f>(59554.2-48496.99)*15</f>
        <v>165858.15</v>
      </c>
      <c r="M127" s="400"/>
      <c r="N127" s="400"/>
      <c r="O127" s="665">
        <f t="shared" si="0"/>
        <v>165858.15</v>
      </c>
    </row>
    <row r="128" spans="1:15" s="2" customFormat="1" ht="29.25">
      <c r="A128" s="607" t="s">
        <v>26</v>
      </c>
      <c r="B128" s="45" t="s">
        <v>1345</v>
      </c>
      <c r="C128" s="432" t="s">
        <v>161</v>
      </c>
      <c r="D128" s="45"/>
      <c r="E128" s="740"/>
      <c r="F128" s="3" t="s">
        <v>163</v>
      </c>
      <c r="G128" s="3" t="s">
        <v>161</v>
      </c>
      <c r="H128" s="3">
        <v>782484</v>
      </c>
      <c r="I128" s="726" t="s">
        <v>1110</v>
      </c>
      <c r="J128" s="684" t="s">
        <v>21</v>
      </c>
      <c r="K128" s="402">
        <v>38</v>
      </c>
      <c r="L128" s="401">
        <f>(38235.23-32097.33)*15</f>
        <v>92068.500000000029</v>
      </c>
      <c r="M128" s="400"/>
      <c r="N128" s="400"/>
      <c r="O128" s="665">
        <f t="shared" si="0"/>
        <v>92068.500000000029</v>
      </c>
    </row>
    <row r="129" spans="1:15" s="2" customFormat="1" ht="44.25" thickBot="1">
      <c r="A129" s="607" t="s">
        <v>26</v>
      </c>
      <c r="B129" s="759" t="s">
        <v>1340</v>
      </c>
      <c r="C129" s="4" t="s">
        <v>742</v>
      </c>
      <c r="D129" s="4" t="s">
        <v>1111</v>
      </c>
      <c r="E129" s="227" t="s">
        <v>1112</v>
      </c>
      <c r="F129" s="4" t="s">
        <v>157</v>
      </c>
      <c r="G129" s="4" t="s">
        <v>156</v>
      </c>
      <c r="H129" s="707">
        <v>11348820</v>
      </c>
      <c r="I129" s="726" t="s">
        <v>1312</v>
      </c>
      <c r="J129" s="487" t="s">
        <v>28</v>
      </c>
      <c r="K129" s="673">
        <v>6</v>
      </c>
      <c r="L129" s="799">
        <f>3361-2270</f>
        <v>1091</v>
      </c>
      <c r="M129" s="199"/>
      <c r="N129" s="199"/>
      <c r="O129" s="954">
        <f t="shared" si="0"/>
        <v>1091</v>
      </c>
    </row>
    <row r="130" spans="1:15" s="2" customFormat="1" ht="35.25" customHeight="1">
      <c r="A130" s="78"/>
      <c r="B130" s="1308" t="s">
        <v>22</v>
      </c>
      <c r="C130" s="121" t="s">
        <v>1050</v>
      </c>
      <c r="D130" s="12"/>
      <c r="E130" s="19"/>
      <c r="H130" s="1622" t="s">
        <v>1920</v>
      </c>
      <c r="I130" s="12" t="s">
        <v>738</v>
      </c>
      <c r="K130" s="78"/>
      <c r="L130" s="398"/>
      <c r="M130" s="393"/>
      <c r="N130" s="268" t="s">
        <v>23</v>
      </c>
      <c r="O130" s="664">
        <f>SUM(O118:O129)</f>
        <v>1248639.8</v>
      </c>
    </row>
    <row r="131" spans="1:15" s="2" customFormat="1" ht="15">
      <c r="A131" s="78"/>
      <c r="B131" s="52"/>
      <c r="C131" s="43" t="s">
        <v>1051</v>
      </c>
      <c r="D131" s="15"/>
      <c r="E131" s="19"/>
      <c r="H131" s="1076"/>
      <c r="I131" s="15" t="s">
        <v>1014</v>
      </c>
      <c r="J131" s="78"/>
      <c r="K131" s="398"/>
      <c r="L131" s="393"/>
      <c r="M131" s="393"/>
      <c r="N131" s="393"/>
      <c r="O131" s="393"/>
    </row>
    <row r="132" spans="1:15" s="2" customFormat="1" ht="15.75" thickBot="1">
      <c r="A132" s="78"/>
      <c r="B132" s="52"/>
      <c r="C132" s="43" t="s">
        <v>159</v>
      </c>
      <c r="D132" s="15"/>
      <c r="E132" s="53"/>
      <c r="H132" s="1294"/>
      <c r="I132" s="18" t="s">
        <v>159</v>
      </c>
      <c r="K132" s="398"/>
      <c r="L132" s="393"/>
      <c r="M132" s="393"/>
      <c r="O132" s="393"/>
    </row>
    <row r="133" spans="1:15" ht="15">
      <c r="B133" s="67" t="s">
        <v>160</v>
      </c>
      <c r="C133" s="43">
        <v>8222160292</v>
      </c>
      <c r="D133" s="15"/>
      <c r="E133" s="54"/>
    </row>
    <row r="134" spans="1:15" ht="15.75" thickBot="1">
      <c r="A134" s="287"/>
      <c r="B134" s="441" t="s">
        <v>1061</v>
      </c>
      <c r="C134" s="113" t="s">
        <v>1184</v>
      </c>
      <c r="D134" s="18"/>
      <c r="E134" s="54"/>
      <c r="J134" s="287"/>
    </row>
    <row r="135" spans="1:15" ht="15">
      <c r="A135" s="808"/>
      <c r="B135" s="453"/>
      <c r="C135" s="14"/>
      <c r="D135" s="14"/>
      <c r="E135" s="54"/>
      <c r="J135" s="808"/>
    </row>
    <row r="136" spans="1:15" ht="15.75" thickBot="1">
      <c r="A136" s="808"/>
      <c r="B136" s="453"/>
      <c r="C136" s="14"/>
      <c r="D136" s="14"/>
      <c r="E136" s="54"/>
      <c r="J136" s="808"/>
    </row>
    <row r="137" spans="1:15" ht="45.75" customHeight="1">
      <c r="A137" s="1662" t="s">
        <v>6</v>
      </c>
      <c r="B137" s="1656" t="s">
        <v>7</v>
      </c>
      <c r="C137" s="1656" t="s">
        <v>8</v>
      </c>
      <c r="D137" s="1656" t="s">
        <v>9</v>
      </c>
      <c r="E137" s="1656" t="s">
        <v>10</v>
      </c>
      <c r="F137" s="1656" t="s">
        <v>11</v>
      </c>
      <c r="G137" s="1656" t="s">
        <v>12</v>
      </c>
      <c r="H137" s="1656" t="s">
        <v>269</v>
      </c>
      <c r="I137" s="1656" t="s">
        <v>13</v>
      </c>
      <c r="J137" s="1656" t="s">
        <v>59</v>
      </c>
      <c r="K137" s="1659" t="s">
        <v>15</v>
      </c>
      <c r="L137" s="1650" t="s">
        <v>641</v>
      </c>
      <c r="M137" s="1650"/>
      <c r="N137" s="1650"/>
      <c r="O137" s="1669"/>
    </row>
    <row r="138" spans="1:15" ht="35.25" customHeight="1">
      <c r="A138" s="1663"/>
      <c r="B138" s="1657"/>
      <c r="C138" s="1657"/>
      <c r="D138" s="1657"/>
      <c r="E138" s="1657"/>
      <c r="F138" s="1657"/>
      <c r="G138" s="1657"/>
      <c r="H138" s="1657"/>
      <c r="I138" s="1657"/>
      <c r="J138" s="1657"/>
      <c r="K138" s="1660"/>
      <c r="L138" s="1654" t="s">
        <v>638</v>
      </c>
      <c r="M138" s="1654" t="s">
        <v>639</v>
      </c>
      <c r="N138" s="1654" t="s">
        <v>640</v>
      </c>
      <c r="O138" s="1680" t="s">
        <v>643</v>
      </c>
    </row>
    <row r="139" spans="1:15" ht="35.25" customHeight="1" thickBot="1">
      <c r="A139" s="1664"/>
      <c r="B139" s="1658"/>
      <c r="C139" s="1658"/>
      <c r="D139" s="1658"/>
      <c r="E139" s="1658"/>
      <c r="F139" s="1658"/>
      <c r="G139" s="1658"/>
      <c r="H139" s="1658"/>
      <c r="I139" s="1658"/>
      <c r="J139" s="1658"/>
      <c r="K139" s="1661"/>
      <c r="L139" s="1655"/>
      <c r="M139" s="1655"/>
      <c r="N139" s="1655"/>
      <c r="O139" s="1734"/>
    </row>
    <row r="140" spans="1:15" ht="30" customHeight="1">
      <c r="A140" s="610" t="s">
        <v>26</v>
      </c>
      <c r="B140" s="809" t="s">
        <v>1355</v>
      </c>
      <c r="C140" s="669" t="s">
        <v>161</v>
      </c>
      <c r="D140" s="669" t="s">
        <v>1306</v>
      </c>
      <c r="E140" s="691" t="s">
        <v>1346</v>
      </c>
      <c r="F140" s="669" t="s">
        <v>163</v>
      </c>
      <c r="G140" s="669" t="s">
        <v>161</v>
      </c>
      <c r="H140" s="669">
        <v>289087</v>
      </c>
      <c r="I140" s="734" t="s">
        <v>1377</v>
      </c>
      <c r="J140" s="430" t="s">
        <v>28</v>
      </c>
      <c r="K140" s="267">
        <v>17</v>
      </c>
      <c r="L140" s="434">
        <f>31114-28989</f>
        <v>2125</v>
      </c>
      <c r="M140" s="269"/>
      <c r="N140" s="269"/>
      <c r="O140" s="268">
        <f>L140</f>
        <v>2125</v>
      </c>
    </row>
    <row r="141" spans="1:15" ht="30" customHeight="1">
      <c r="A141" s="607" t="s">
        <v>26</v>
      </c>
      <c r="B141" s="740" t="s">
        <v>1357</v>
      </c>
      <c r="C141" s="46" t="s">
        <v>161</v>
      </c>
      <c r="D141" s="46" t="s">
        <v>1308</v>
      </c>
      <c r="E141" s="44" t="s">
        <v>1347</v>
      </c>
      <c r="F141" s="46" t="s">
        <v>163</v>
      </c>
      <c r="G141" s="46" t="s">
        <v>161</v>
      </c>
      <c r="H141" s="46">
        <v>292031</v>
      </c>
      <c r="I141" s="726" t="s">
        <v>1384</v>
      </c>
      <c r="J141" s="386" t="s">
        <v>28</v>
      </c>
      <c r="K141" s="8">
        <v>17</v>
      </c>
      <c r="L141" s="34">
        <f>17822-14506</f>
        <v>3316</v>
      </c>
      <c r="M141" s="33"/>
      <c r="N141" s="33"/>
      <c r="O141" s="32">
        <f t="shared" ref="O141:O146" si="1">L141</f>
        <v>3316</v>
      </c>
    </row>
    <row r="142" spans="1:15" ht="30" customHeight="1">
      <c r="A142" s="607" t="s">
        <v>26</v>
      </c>
      <c r="B142" s="740" t="s">
        <v>1356</v>
      </c>
      <c r="C142" s="46" t="s">
        <v>161</v>
      </c>
      <c r="D142" s="46" t="s">
        <v>401</v>
      </c>
      <c r="E142" s="44" t="s">
        <v>1348</v>
      </c>
      <c r="F142" s="46" t="s">
        <v>163</v>
      </c>
      <c r="G142" s="46" t="s">
        <v>161</v>
      </c>
      <c r="H142" s="46">
        <v>292029</v>
      </c>
      <c r="I142" s="726" t="s">
        <v>1378</v>
      </c>
      <c r="J142" s="386" t="s">
        <v>28</v>
      </c>
      <c r="K142" s="8">
        <v>17</v>
      </c>
      <c r="L142" s="34">
        <f>13501-10037</f>
        <v>3464</v>
      </c>
      <c r="M142" s="33"/>
      <c r="N142" s="33"/>
      <c r="O142" s="32">
        <f t="shared" si="1"/>
        <v>3464</v>
      </c>
    </row>
    <row r="143" spans="1:15" ht="30" customHeight="1">
      <c r="A143" s="607" t="s">
        <v>26</v>
      </c>
      <c r="B143" s="740" t="s">
        <v>875</v>
      </c>
      <c r="C143" s="46" t="s">
        <v>161</v>
      </c>
      <c r="D143" s="46" t="s">
        <v>166</v>
      </c>
      <c r="E143" s="432" t="s">
        <v>1383</v>
      </c>
      <c r="F143" s="46" t="s">
        <v>163</v>
      </c>
      <c r="G143" s="46" t="s">
        <v>161</v>
      </c>
      <c r="H143" s="46">
        <v>10957391</v>
      </c>
      <c r="I143" s="726" t="s">
        <v>1382</v>
      </c>
      <c r="J143" s="386" t="s">
        <v>28</v>
      </c>
      <c r="K143" s="8">
        <v>17</v>
      </c>
      <c r="L143" s="34">
        <f>1663-431</f>
        <v>1232</v>
      </c>
      <c r="M143" s="33"/>
      <c r="N143" s="33"/>
      <c r="O143" s="32">
        <f t="shared" si="1"/>
        <v>1232</v>
      </c>
    </row>
    <row r="144" spans="1:15" ht="30" customHeight="1">
      <c r="A144" s="607" t="s">
        <v>26</v>
      </c>
      <c r="B144" s="740" t="s">
        <v>870</v>
      </c>
      <c r="C144" s="44" t="s">
        <v>161</v>
      </c>
      <c r="D144" s="44" t="s">
        <v>1350</v>
      </c>
      <c r="E144" s="44" t="s">
        <v>1351</v>
      </c>
      <c r="F144" s="46" t="s">
        <v>163</v>
      </c>
      <c r="G144" s="46" t="s">
        <v>161</v>
      </c>
      <c r="H144" s="46">
        <v>11119021</v>
      </c>
      <c r="I144" s="726" t="s">
        <v>1380</v>
      </c>
      <c r="J144" s="386" t="s">
        <v>28</v>
      </c>
      <c r="K144" s="8">
        <v>22</v>
      </c>
      <c r="L144" s="34">
        <f>18266-14314</f>
        <v>3952</v>
      </c>
      <c r="M144" s="33"/>
      <c r="N144" s="33"/>
      <c r="O144" s="32">
        <f t="shared" si="1"/>
        <v>3952</v>
      </c>
    </row>
    <row r="145" spans="1:15" ht="30" customHeight="1">
      <c r="A145" s="607" t="s">
        <v>26</v>
      </c>
      <c r="B145" s="740" t="s">
        <v>873</v>
      </c>
      <c r="C145" s="44" t="s">
        <v>161</v>
      </c>
      <c r="D145" s="44" t="s">
        <v>162</v>
      </c>
      <c r="E145" s="44" t="s">
        <v>1352</v>
      </c>
      <c r="F145" s="46" t="s">
        <v>163</v>
      </c>
      <c r="G145" s="46" t="s">
        <v>161</v>
      </c>
      <c r="H145" s="46">
        <v>289094</v>
      </c>
      <c r="I145" s="726" t="s">
        <v>1381</v>
      </c>
      <c r="J145" s="386" t="s">
        <v>28</v>
      </c>
      <c r="K145" s="8">
        <v>17</v>
      </c>
      <c r="L145" s="34">
        <f>20929-18977</f>
        <v>1952</v>
      </c>
      <c r="M145" s="33"/>
      <c r="N145" s="33"/>
      <c r="O145" s="32">
        <f t="shared" si="1"/>
        <v>1952</v>
      </c>
    </row>
    <row r="146" spans="1:15" ht="30" customHeight="1" thickBot="1">
      <c r="A146" s="607" t="s">
        <v>26</v>
      </c>
      <c r="B146" s="740" t="s">
        <v>1354</v>
      </c>
      <c r="C146" s="44" t="s">
        <v>161</v>
      </c>
      <c r="D146" s="44" t="s">
        <v>54</v>
      </c>
      <c r="E146" s="44" t="s">
        <v>1353</v>
      </c>
      <c r="F146" s="46" t="s">
        <v>163</v>
      </c>
      <c r="G146" s="46" t="s">
        <v>161</v>
      </c>
      <c r="H146" s="46">
        <v>292028</v>
      </c>
      <c r="I146" s="726" t="s">
        <v>1379</v>
      </c>
      <c r="J146" s="386" t="s">
        <v>28</v>
      </c>
      <c r="K146" s="8">
        <v>22</v>
      </c>
      <c r="L146" s="34">
        <f>7307-2565</f>
        <v>4742</v>
      </c>
      <c r="M146" s="33"/>
      <c r="N146" s="33"/>
      <c r="O146" s="32">
        <f t="shared" si="1"/>
        <v>4742</v>
      </c>
    </row>
    <row r="147" spans="1:15" ht="30">
      <c r="A147" s="808"/>
      <c r="B147" s="1308" t="s">
        <v>22</v>
      </c>
      <c r="C147" s="121" t="s">
        <v>1050</v>
      </c>
      <c r="D147" s="12"/>
      <c r="E147" s="19"/>
      <c r="H147" s="1622" t="s">
        <v>1920</v>
      </c>
      <c r="I147" s="12" t="s">
        <v>738</v>
      </c>
      <c r="J147" s="808"/>
      <c r="N147" s="32" t="s">
        <v>23</v>
      </c>
      <c r="O147" s="664">
        <f>SUM(O140:O146)</f>
        <v>20783</v>
      </c>
    </row>
    <row r="148" spans="1:15" ht="15">
      <c r="A148" s="808"/>
      <c r="B148" s="52"/>
      <c r="C148" s="43" t="s">
        <v>1051</v>
      </c>
      <c r="D148" s="15"/>
      <c r="E148" s="19"/>
      <c r="H148" s="185"/>
      <c r="I148" s="15" t="s">
        <v>1014</v>
      </c>
      <c r="J148" s="808"/>
    </row>
    <row r="149" spans="1:15" ht="15.75" thickBot="1">
      <c r="A149" s="808"/>
      <c r="B149" s="52"/>
      <c r="C149" s="43" t="s">
        <v>159</v>
      </c>
      <c r="D149" s="15"/>
      <c r="E149" s="53"/>
      <c r="H149" s="188"/>
      <c r="I149" s="18" t="s">
        <v>159</v>
      </c>
      <c r="J149" s="808"/>
    </row>
    <row r="150" spans="1:15" ht="15">
      <c r="A150" s="287"/>
      <c r="B150" s="67" t="s">
        <v>160</v>
      </c>
      <c r="C150" s="43">
        <v>8222160292</v>
      </c>
      <c r="D150" s="15"/>
      <c r="E150" s="54"/>
      <c r="J150" s="287"/>
    </row>
    <row r="151" spans="1:15" ht="15.75" thickBot="1">
      <c r="A151" s="890"/>
      <c r="B151" s="441" t="s">
        <v>1061</v>
      </c>
      <c r="C151" s="113" t="s">
        <v>1184</v>
      </c>
      <c r="D151" s="18"/>
      <c r="E151" s="54"/>
      <c r="J151" s="890"/>
    </row>
    <row r="152" spans="1:15" ht="15">
      <c r="A152" s="1290"/>
      <c r="B152" s="453"/>
      <c r="C152" s="43"/>
      <c r="D152" s="14"/>
      <c r="E152" s="54"/>
      <c r="J152" s="1290"/>
    </row>
    <row r="153" spans="1:15" ht="15.75" thickBot="1">
      <c r="A153" s="1290"/>
      <c r="B153" s="453"/>
      <c r="C153" s="43"/>
      <c r="D153" s="14"/>
      <c r="E153" s="54"/>
      <c r="J153" s="1290"/>
    </row>
    <row r="154" spans="1:15" ht="43.5" customHeight="1">
      <c r="A154" s="1662" t="s">
        <v>6</v>
      </c>
      <c r="B154" s="1656" t="s">
        <v>7</v>
      </c>
      <c r="C154" s="1656" t="s">
        <v>8</v>
      </c>
      <c r="D154" s="1656" t="s">
        <v>9</v>
      </c>
      <c r="E154" s="1656" t="s">
        <v>10</v>
      </c>
      <c r="F154" s="1656" t="s">
        <v>11</v>
      </c>
      <c r="G154" s="1656" t="s">
        <v>12</v>
      </c>
      <c r="H154" s="1656" t="s">
        <v>269</v>
      </c>
      <c r="I154" s="1656" t="s">
        <v>13</v>
      </c>
      <c r="J154" s="1656" t="s">
        <v>59</v>
      </c>
      <c r="K154" s="1659" t="s">
        <v>15</v>
      </c>
      <c r="L154" s="1650" t="s">
        <v>641</v>
      </c>
      <c r="M154" s="1650"/>
      <c r="N154" s="1650"/>
      <c r="O154" s="1650"/>
    </row>
    <row r="155" spans="1:15">
      <c r="A155" s="1663"/>
      <c r="B155" s="1657"/>
      <c r="C155" s="1657"/>
      <c r="D155" s="1657"/>
      <c r="E155" s="1657"/>
      <c r="F155" s="1657"/>
      <c r="G155" s="1657"/>
      <c r="H155" s="1657"/>
      <c r="I155" s="1657"/>
      <c r="J155" s="1657"/>
      <c r="K155" s="1660"/>
      <c r="L155" s="1654" t="s">
        <v>638</v>
      </c>
      <c r="M155" s="1654" t="s">
        <v>639</v>
      </c>
      <c r="N155" s="1654" t="s">
        <v>640</v>
      </c>
      <c r="O155" s="1654" t="s">
        <v>643</v>
      </c>
    </row>
    <row r="156" spans="1:15" ht="15" thickBot="1">
      <c r="A156" s="1664"/>
      <c r="B156" s="1658"/>
      <c r="C156" s="1658"/>
      <c r="D156" s="1658"/>
      <c r="E156" s="1658"/>
      <c r="F156" s="1658"/>
      <c r="G156" s="1658"/>
      <c r="H156" s="1658"/>
      <c r="I156" s="1658"/>
      <c r="J156" s="1658"/>
      <c r="K156" s="1661"/>
      <c r="L156" s="1655"/>
      <c r="M156" s="1655"/>
      <c r="N156" s="1655"/>
      <c r="O156" s="1655"/>
    </row>
    <row r="157" spans="1:15" ht="30" thickBot="1">
      <c r="A157" s="607" t="s">
        <v>26</v>
      </c>
      <c r="B157" s="1310" t="s">
        <v>1375</v>
      </c>
      <c r="C157" s="669" t="s">
        <v>156</v>
      </c>
      <c r="D157" s="669" t="s">
        <v>574</v>
      </c>
      <c r="E157" s="182">
        <v>115</v>
      </c>
      <c r="F157" s="266" t="s">
        <v>157</v>
      </c>
      <c r="G157" s="266" t="s">
        <v>156</v>
      </c>
      <c r="H157" s="182">
        <v>4098695</v>
      </c>
      <c r="I157" s="726" t="s">
        <v>1820</v>
      </c>
      <c r="J157" s="538" t="s">
        <v>21</v>
      </c>
      <c r="K157" s="267">
        <v>130</v>
      </c>
      <c r="L157" s="933">
        <f>(1839-604.09)*40</f>
        <v>49396.399999999994</v>
      </c>
      <c r="M157" s="269"/>
      <c r="N157" s="269"/>
      <c r="O157" s="268">
        <f>L157</f>
        <v>49396.399999999994</v>
      </c>
    </row>
    <row r="158" spans="1:15" ht="30">
      <c r="A158" s="898"/>
      <c r="B158" s="1308" t="s">
        <v>22</v>
      </c>
      <c r="C158" s="121" t="s">
        <v>1050</v>
      </c>
      <c r="D158" s="12"/>
      <c r="E158" s="54"/>
      <c r="F158" s="53"/>
      <c r="H158" s="1622" t="s">
        <v>1920</v>
      </c>
      <c r="I158" s="12" t="s">
        <v>1375</v>
      </c>
      <c r="J158" s="55"/>
      <c r="K158" s="897"/>
      <c r="L158" s="899"/>
      <c r="M158" s="70"/>
      <c r="N158" s="32" t="s">
        <v>23</v>
      </c>
      <c r="O158" s="664">
        <f>SUM(O157)</f>
        <v>49396.399999999994</v>
      </c>
    </row>
    <row r="159" spans="1:15" ht="18">
      <c r="A159" s="898"/>
      <c r="B159" s="52"/>
      <c r="C159" s="43" t="s">
        <v>1051</v>
      </c>
      <c r="D159" s="15"/>
      <c r="E159" s="54"/>
      <c r="F159" s="53"/>
      <c r="H159" s="1076"/>
      <c r="I159" s="15" t="s">
        <v>173</v>
      </c>
      <c r="J159" s="55"/>
      <c r="K159" s="897"/>
      <c r="L159" s="899"/>
      <c r="M159" s="70"/>
      <c r="N159" s="70"/>
      <c r="O159" s="70"/>
    </row>
    <row r="160" spans="1:15" ht="18.75" thickBot="1">
      <c r="A160" s="898"/>
      <c r="B160" s="52"/>
      <c r="C160" s="43" t="s">
        <v>159</v>
      </c>
      <c r="D160" s="15"/>
      <c r="E160" s="54"/>
      <c r="F160" s="53"/>
      <c r="H160" s="1294"/>
      <c r="I160" s="18" t="s">
        <v>159</v>
      </c>
      <c r="J160" s="55"/>
      <c r="K160" s="897"/>
      <c r="L160" s="899"/>
      <c r="M160" s="70"/>
      <c r="N160" s="70"/>
      <c r="O160" s="70"/>
    </row>
    <row r="161" spans="1:15" ht="18">
      <c r="A161" s="898"/>
      <c r="B161" s="67" t="s">
        <v>160</v>
      </c>
      <c r="C161" s="43">
        <v>8222160292</v>
      </c>
      <c r="D161" s="15"/>
      <c r="E161" s="54"/>
      <c r="F161" s="53"/>
      <c r="G161" s="53"/>
      <c r="H161" s="894"/>
      <c r="I161" s="54"/>
      <c r="J161" s="55"/>
      <c r="K161" s="897"/>
      <c r="L161" s="899"/>
      <c r="M161" s="70"/>
      <c r="N161" s="70"/>
      <c r="O161" s="70"/>
    </row>
    <row r="162" spans="1:15" ht="18.75" thickBot="1">
      <c r="A162" s="898"/>
      <c r="B162" s="441" t="s">
        <v>1061</v>
      </c>
      <c r="C162" s="113" t="s">
        <v>1184</v>
      </c>
      <c r="D162" s="18"/>
      <c r="E162" s="54"/>
      <c r="F162" s="53"/>
      <c r="G162" s="53"/>
      <c r="H162" s="894"/>
      <c r="I162" s="54"/>
      <c r="J162" s="55"/>
      <c r="K162" s="897"/>
      <c r="L162" s="899"/>
      <c r="M162" s="70"/>
      <c r="N162" s="70"/>
      <c r="O162" s="70"/>
    </row>
    <row r="163" spans="1:15" ht="15.75" thickBot="1">
      <c r="A163" s="1290"/>
      <c r="B163" s="453"/>
      <c r="C163" s="43"/>
      <c r="D163" s="14"/>
      <c r="E163" s="54"/>
      <c r="J163" s="1290"/>
    </row>
    <row r="164" spans="1:15" ht="48" customHeight="1">
      <c r="A164" s="1662" t="s">
        <v>6</v>
      </c>
      <c r="B164" s="1656" t="s">
        <v>7</v>
      </c>
      <c r="C164" s="1656" t="s">
        <v>8</v>
      </c>
      <c r="D164" s="1656" t="s">
        <v>9</v>
      </c>
      <c r="E164" s="1656" t="s">
        <v>10</v>
      </c>
      <c r="F164" s="1656" t="s">
        <v>11</v>
      </c>
      <c r="G164" s="1656" t="s">
        <v>12</v>
      </c>
      <c r="H164" s="1656" t="s">
        <v>269</v>
      </c>
      <c r="I164" s="1656" t="s">
        <v>13</v>
      </c>
      <c r="J164" s="1656" t="s">
        <v>59</v>
      </c>
      <c r="K164" s="1659" t="s">
        <v>15</v>
      </c>
      <c r="L164" s="1650" t="s">
        <v>641</v>
      </c>
      <c r="M164" s="1650"/>
      <c r="N164" s="1650"/>
      <c r="O164" s="1650"/>
    </row>
    <row r="165" spans="1:15" ht="48" customHeight="1">
      <c r="A165" s="1663"/>
      <c r="B165" s="1657"/>
      <c r="C165" s="1657"/>
      <c r="D165" s="1657"/>
      <c r="E165" s="1657"/>
      <c r="F165" s="1657"/>
      <c r="G165" s="1657"/>
      <c r="H165" s="1657"/>
      <c r="I165" s="1657"/>
      <c r="J165" s="1657"/>
      <c r="K165" s="1660"/>
      <c r="L165" s="1654" t="s">
        <v>638</v>
      </c>
      <c r="M165" s="1654" t="s">
        <v>639</v>
      </c>
      <c r="N165" s="1654" t="s">
        <v>640</v>
      </c>
      <c r="O165" s="1654" t="s">
        <v>643</v>
      </c>
    </row>
    <row r="166" spans="1:15" ht="15" thickBot="1">
      <c r="A166" s="1664"/>
      <c r="B166" s="1658"/>
      <c r="C166" s="1658"/>
      <c r="D166" s="1658"/>
      <c r="E166" s="1658"/>
      <c r="F166" s="1658"/>
      <c r="G166" s="1658"/>
      <c r="H166" s="1658"/>
      <c r="I166" s="1658"/>
      <c r="J166" s="1658"/>
      <c r="K166" s="1661"/>
      <c r="L166" s="1655"/>
      <c r="M166" s="1655"/>
      <c r="N166" s="1655"/>
      <c r="O166" s="1655"/>
    </row>
    <row r="167" spans="1:15" ht="18.75" thickBot="1">
      <c r="A167" s="607" t="s">
        <v>26</v>
      </c>
      <c r="B167" s="1506" t="s">
        <v>1050</v>
      </c>
      <c r="C167" s="1507" t="s">
        <v>156</v>
      </c>
      <c r="D167" s="1507" t="s">
        <v>202</v>
      </c>
      <c r="E167" s="1507">
        <v>23</v>
      </c>
      <c r="F167" s="1506" t="s">
        <v>157</v>
      </c>
      <c r="G167" s="740" t="s">
        <v>156</v>
      </c>
      <c r="H167" s="20">
        <v>12076156</v>
      </c>
      <c r="I167" s="736" t="s">
        <v>1824</v>
      </c>
      <c r="J167" s="744" t="s">
        <v>28</v>
      </c>
      <c r="K167" s="745">
        <v>22</v>
      </c>
      <c r="L167" s="788">
        <f>784*12</f>
        <v>9408</v>
      </c>
      <c r="M167" s="33"/>
      <c r="N167" s="33"/>
      <c r="O167" s="32">
        <f>L167</f>
        <v>9408</v>
      </c>
    </row>
    <row r="168" spans="1:15" ht="30">
      <c r="A168" s="1290"/>
      <c r="B168" s="1308" t="s">
        <v>22</v>
      </c>
      <c r="C168" s="121" t="s">
        <v>1050</v>
      </c>
      <c r="D168" s="11"/>
      <c r="E168" s="261"/>
      <c r="F168" s="229"/>
      <c r="H168" s="1622" t="s">
        <v>1920</v>
      </c>
      <c r="I168" s="121" t="s">
        <v>1825</v>
      </c>
      <c r="J168" s="1508"/>
      <c r="K168" s="1418"/>
      <c r="N168" s="32" t="s">
        <v>23</v>
      </c>
      <c r="O168" s="664">
        <f>SUM(O167)</f>
        <v>9408</v>
      </c>
    </row>
    <row r="169" spans="1:15" ht="15">
      <c r="A169" s="1290"/>
      <c r="B169" s="52"/>
      <c r="C169" s="43" t="s">
        <v>1051</v>
      </c>
      <c r="D169" s="14"/>
      <c r="E169" s="54"/>
      <c r="F169" s="230"/>
      <c r="H169" s="1076"/>
      <c r="I169" s="43" t="s">
        <v>1826</v>
      </c>
      <c r="J169" s="55"/>
      <c r="K169" s="1419"/>
    </row>
    <row r="170" spans="1:15" ht="15.75" thickBot="1">
      <c r="A170" s="1290"/>
      <c r="B170" s="52"/>
      <c r="C170" s="43" t="s">
        <v>159</v>
      </c>
      <c r="D170" s="14"/>
      <c r="E170" s="54"/>
      <c r="F170" s="230"/>
      <c r="H170" s="1294"/>
      <c r="I170" s="113" t="s">
        <v>159</v>
      </c>
      <c r="J170" s="1509"/>
      <c r="K170" s="1510"/>
    </row>
    <row r="171" spans="1:15" ht="15">
      <c r="A171" s="1290"/>
      <c r="B171" s="67" t="s">
        <v>160</v>
      </c>
      <c r="C171" s="43">
        <v>8222160292</v>
      </c>
      <c r="D171" s="14"/>
      <c r="E171" s="54"/>
      <c r="F171" s="230"/>
      <c r="G171" s="53"/>
      <c r="H171" s="894"/>
      <c r="I171" s="54"/>
      <c r="J171" s="1290"/>
    </row>
    <row r="172" spans="1:15" ht="15.75" thickBot="1">
      <c r="A172" s="1290"/>
      <c r="B172" s="441" t="s">
        <v>1061</v>
      </c>
      <c r="C172" s="113" t="s">
        <v>1184</v>
      </c>
      <c r="D172" s="17"/>
      <c r="E172" s="226"/>
      <c r="F172" s="28"/>
      <c r="J172" s="1290"/>
    </row>
    <row r="173" spans="1:15" ht="15.75" thickBot="1">
      <c r="A173" s="1290"/>
      <c r="B173" s="453"/>
      <c r="C173" s="14"/>
      <c r="D173" s="14"/>
      <c r="E173" s="54"/>
      <c r="J173" s="1290"/>
    </row>
    <row r="174" spans="1:15" ht="47.25" customHeight="1">
      <c r="A174" s="1662" t="s">
        <v>6</v>
      </c>
      <c r="B174" s="1656" t="s">
        <v>7</v>
      </c>
      <c r="C174" s="1656" t="s">
        <v>8</v>
      </c>
      <c r="D174" s="1656" t="s">
        <v>9</v>
      </c>
      <c r="E174" s="1656" t="s">
        <v>10</v>
      </c>
      <c r="F174" s="1656" t="s">
        <v>11</v>
      </c>
      <c r="G174" s="1656" t="s">
        <v>12</v>
      </c>
      <c r="H174" s="1656" t="s">
        <v>269</v>
      </c>
      <c r="I174" s="1656" t="s">
        <v>13</v>
      </c>
      <c r="J174" s="1656" t="s">
        <v>59</v>
      </c>
      <c r="K174" s="1722" t="s">
        <v>15</v>
      </c>
      <c r="L174" s="1730" t="s">
        <v>641</v>
      </c>
      <c r="M174" s="1701"/>
      <c r="N174" s="1701"/>
      <c r="O174" s="1731"/>
    </row>
    <row r="175" spans="1:15" ht="47.25" customHeight="1">
      <c r="A175" s="1663"/>
      <c r="B175" s="1657"/>
      <c r="C175" s="1657"/>
      <c r="D175" s="1657"/>
      <c r="E175" s="1657"/>
      <c r="F175" s="1657"/>
      <c r="G175" s="1657"/>
      <c r="H175" s="1657"/>
      <c r="I175" s="1657"/>
      <c r="J175" s="1657"/>
      <c r="K175" s="1723"/>
      <c r="L175" s="1732" t="s">
        <v>638</v>
      </c>
      <c r="M175" s="1732" t="s">
        <v>639</v>
      </c>
      <c r="N175" s="1732" t="s">
        <v>640</v>
      </c>
      <c r="O175" s="1732" t="s">
        <v>643</v>
      </c>
    </row>
    <row r="176" spans="1:15" ht="15" thickBot="1">
      <c r="A176" s="1664"/>
      <c r="B176" s="1658"/>
      <c r="C176" s="1658"/>
      <c r="D176" s="1658"/>
      <c r="E176" s="1658"/>
      <c r="F176" s="1658"/>
      <c r="G176" s="1658"/>
      <c r="H176" s="1658"/>
      <c r="I176" s="1658"/>
      <c r="J176" s="1658"/>
      <c r="K176" s="1724"/>
      <c r="L176" s="1733"/>
      <c r="M176" s="1733"/>
      <c r="N176" s="1733"/>
      <c r="O176" s="1733"/>
    </row>
    <row r="177" spans="1:15" ht="29.25">
      <c r="A177" s="607" t="s">
        <v>26</v>
      </c>
      <c r="B177" s="759" t="s">
        <v>1470</v>
      </c>
      <c r="C177" s="3" t="s">
        <v>156</v>
      </c>
      <c r="D177" s="4" t="s">
        <v>202</v>
      </c>
      <c r="E177" s="4" t="s">
        <v>1827</v>
      </c>
      <c r="F177" s="4" t="s">
        <v>157</v>
      </c>
      <c r="G177" s="22" t="s">
        <v>156</v>
      </c>
      <c r="H177" s="22"/>
      <c r="I177" s="736" t="s">
        <v>1817</v>
      </c>
      <c r="J177" s="541" t="s">
        <v>1099</v>
      </c>
      <c r="K177" s="174">
        <v>5</v>
      </c>
      <c r="L177" s="1511"/>
      <c r="M177" s="32">
        <v>300</v>
      </c>
      <c r="N177" s="32">
        <v>200</v>
      </c>
      <c r="O177" s="893">
        <f>SUM(M177:N177)</f>
        <v>500</v>
      </c>
    </row>
    <row r="178" spans="1:15" ht="29.25">
      <c r="A178" s="607" t="s">
        <v>26</v>
      </c>
      <c r="B178" s="759" t="s">
        <v>1470</v>
      </c>
      <c r="C178" s="3" t="s">
        <v>156</v>
      </c>
      <c r="D178" s="4" t="s">
        <v>202</v>
      </c>
      <c r="E178" s="4" t="s">
        <v>1828</v>
      </c>
      <c r="F178" s="4" t="s">
        <v>157</v>
      </c>
      <c r="G178" s="22" t="s">
        <v>156</v>
      </c>
      <c r="H178" s="22"/>
      <c r="I178" s="736" t="s">
        <v>1814</v>
      </c>
      <c r="J178" s="541" t="s">
        <v>1099</v>
      </c>
      <c r="K178" s="174">
        <v>3</v>
      </c>
      <c r="L178" s="1511"/>
      <c r="M178" s="32">
        <v>300</v>
      </c>
      <c r="N178" s="32">
        <v>200</v>
      </c>
      <c r="O178" s="893">
        <f>SUM(M178:N178)</f>
        <v>500</v>
      </c>
    </row>
    <row r="179" spans="1:15" ht="29.25">
      <c r="A179" s="607" t="s">
        <v>26</v>
      </c>
      <c r="B179" s="759" t="s">
        <v>1470</v>
      </c>
      <c r="C179" s="3" t="s">
        <v>156</v>
      </c>
      <c r="D179" s="4" t="s">
        <v>202</v>
      </c>
      <c r="E179" s="4" t="s">
        <v>1829</v>
      </c>
      <c r="F179" s="4" t="s">
        <v>157</v>
      </c>
      <c r="G179" s="22" t="s">
        <v>156</v>
      </c>
      <c r="H179" s="22"/>
      <c r="I179" s="736" t="s">
        <v>1813</v>
      </c>
      <c r="J179" s="541" t="s">
        <v>1099</v>
      </c>
      <c r="K179" s="174">
        <v>4</v>
      </c>
      <c r="L179" s="1511"/>
      <c r="M179" s="32">
        <v>300</v>
      </c>
      <c r="N179" s="32">
        <v>200</v>
      </c>
      <c r="O179" s="893">
        <f>SUM(M179:N179)</f>
        <v>500</v>
      </c>
    </row>
    <row r="180" spans="1:15" ht="30" thickBot="1">
      <c r="A180" s="607" t="s">
        <v>26</v>
      </c>
      <c r="B180" s="759" t="s">
        <v>1470</v>
      </c>
      <c r="C180" s="3" t="s">
        <v>175</v>
      </c>
      <c r="D180" s="4"/>
      <c r="E180" s="4" t="s">
        <v>1386</v>
      </c>
      <c r="F180" s="4" t="s">
        <v>157</v>
      </c>
      <c r="G180" s="22" t="s">
        <v>156</v>
      </c>
      <c r="H180" s="22"/>
      <c r="I180" s="736" t="s">
        <v>1818</v>
      </c>
      <c r="J180" s="405" t="s">
        <v>716</v>
      </c>
      <c r="K180" s="174">
        <v>3</v>
      </c>
      <c r="L180" s="788">
        <v>500</v>
      </c>
      <c r="M180" s="33"/>
      <c r="N180" s="33"/>
      <c r="O180" s="32">
        <f>L180</f>
        <v>500</v>
      </c>
    </row>
    <row r="181" spans="1:15" ht="30">
      <c r="A181" s="1290"/>
      <c r="B181" s="1308" t="s">
        <v>22</v>
      </c>
      <c r="C181" s="121" t="s">
        <v>1050</v>
      </c>
      <c r="D181" s="12"/>
      <c r="E181" s="54"/>
      <c r="H181" s="1622" t="s">
        <v>1920</v>
      </c>
      <c r="I181" s="648" t="s">
        <v>1050</v>
      </c>
      <c r="J181" s="1290"/>
      <c r="N181" s="32" t="s">
        <v>23</v>
      </c>
      <c r="O181" s="664">
        <f>SUM(O177:O180)</f>
        <v>2000</v>
      </c>
    </row>
    <row r="182" spans="1:15" ht="15">
      <c r="A182" s="1290"/>
      <c r="B182" s="52"/>
      <c r="C182" s="43" t="s">
        <v>1051</v>
      </c>
      <c r="D182" s="15"/>
      <c r="E182" s="54"/>
      <c r="H182" s="185"/>
      <c r="I182" s="176" t="s">
        <v>1051</v>
      </c>
      <c r="J182" s="1290"/>
    </row>
    <row r="183" spans="1:15" ht="15.75" thickBot="1">
      <c r="A183" s="890"/>
      <c r="B183" s="52"/>
      <c r="C183" s="43" t="s">
        <v>159</v>
      </c>
      <c r="D183" s="15"/>
      <c r="E183" s="54"/>
      <c r="F183" s="54"/>
      <c r="H183" s="188"/>
      <c r="I183" s="177" t="s">
        <v>159</v>
      </c>
      <c r="J183" s="1"/>
      <c r="K183" s="890"/>
      <c r="L183" s="414"/>
      <c r="M183" s="1"/>
      <c r="N183" s="1"/>
    </row>
    <row r="184" spans="1:15" ht="18.75" thickBot="1">
      <c r="A184" s="898"/>
      <c r="B184" s="441" t="s">
        <v>160</v>
      </c>
      <c r="C184" s="442">
        <v>8222160292</v>
      </c>
      <c r="D184" s="18"/>
      <c r="E184" s="54"/>
      <c r="F184" s="53"/>
      <c r="G184" s="53"/>
      <c r="H184" s="894"/>
      <c r="I184" s="54"/>
      <c r="J184" s="55"/>
      <c r="K184" s="897"/>
      <c r="L184" s="899"/>
      <c r="M184" s="70"/>
      <c r="N184" s="70"/>
      <c r="O184" s="70"/>
    </row>
    <row r="185" spans="1:15" ht="20.25" customHeight="1">
      <c r="A185" s="890"/>
      <c r="B185" s="453"/>
      <c r="C185" s="14"/>
      <c r="D185" s="14"/>
      <c r="E185" s="54"/>
      <c r="F185" s="54"/>
      <c r="J185" s="1"/>
      <c r="K185" s="890"/>
      <c r="L185" s="414"/>
      <c r="M185" s="123" t="s">
        <v>62</v>
      </c>
      <c r="N185" s="31">
        <f>O20+O32+O46+O59+O69+O79+O90+O109+O130+O147+O158+O168+O181</f>
        <v>1761275.7999999998</v>
      </c>
    </row>
    <row r="186" spans="1:15" ht="15" thickBot="1">
      <c r="A186" s="287"/>
      <c r="B186" s="594"/>
      <c r="C186" s="54"/>
      <c r="D186" s="54"/>
      <c r="E186" s="54"/>
      <c r="F186" s="54"/>
      <c r="J186" s="1"/>
      <c r="K186" s="287"/>
      <c r="L186" s="414"/>
    </row>
    <row r="187" spans="1:15" ht="46.5" customHeight="1">
      <c r="E187" s="54"/>
      <c r="F187" s="54"/>
      <c r="K187" s="1706" t="s">
        <v>59</v>
      </c>
      <c r="L187" s="1708" t="s">
        <v>644</v>
      </c>
      <c r="M187" s="1709"/>
      <c r="N187" s="1710"/>
      <c r="O187" s="1711" t="s">
        <v>60</v>
      </c>
    </row>
    <row r="188" spans="1:15" ht="23.25" customHeight="1" thickBot="1">
      <c r="A188" s="287"/>
      <c r="B188" s="54"/>
      <c r="C188" s="54"/>
      <c r="D188" s="54"/>
      <c r="E188" s="54"/>
      <c r="F188" s="54"/>
      <c r="K188" s="1707"/>
      <c r="L188" s="274" t="s">
        <v>61</v>
      </c>
      <c r="M188" s="274" t="s">
        <v>639</v>
      </c>
      <c r="N188" s="274" t="s">
        <v>640</v>
      </c>
      <c r="O188" s="1712"/>
    </row>
    <row r="189" spans="1:15" ht="23.25" customHeight="1">
      <c r="A189" s="928"/>
      <c r="B189" s="54"/>
      <c r="C189" s="54"/>
      <c r="D189" s="54"/>
      <c r="E189" s="54"/>
      <c r="F189" s="54"/>
      <c r="J189" s="928"/>
      <c r="K189" s="956" t="s">
        <v>716</v>
      </c>
      <c r="L189" s="960">
        <f>O108+O180</f>
        <v>1000</v>
      </c>
      <c r="M189" s="961"/>
      <c r="N189" s="962"/>
      <c r="O189" s="950">
        <v>2</v>
      </c>
    </row>
    <row r="190" spans="1:15" ht="23.25" customHeight="1">
      <c r="A190" s="928"/>
      <c r="B190" s="54"/>
      <c r="C190" s="54"/>
      <c r="D190" s="54"/>
      <c r="E190" s="54"/>
      <c r="F190" s="54"/>
      <c r="J190" s="928"/>
      <c r="K190" s="955" t="s">
        <v>1099</v>
      </c>
      <c r="L190" s="963"/>
      <c r="M190" s="964">
        <f>M105+M106+M107+M177+M178+M179</f>
        <v>1650</v>
      </c>
      <c r="N190" s="965">
        <f>N105+N106+N107+N177+N178+N179</f>
        <v>1350</v>
      </c>
      <c r="O190" s="951">
        <v>6</v>
      </c>
    </row>
    <row r="191" spans="1:15" ht="22.5" customHeight="1">
      <c r="K191" s="945" t="s">
        <v>28</v>
      </c>
      <c r="L191" s="959">
        <f>O19+O29+O30+O31+O58+O68+O78+O89+O99+O100+O101+O102+O104+O119+O120+O121+O122+O123+O125+O129+O140+O141+O142+O143+O144+O145+O146+O167</f>
        <v>274226.40000000002</v>
      </c>
      <c r="M191" s="966"/>
      <c r="N191" s="967"/>
      <c r="O191" s="944">
        <v>28</v>
      </c>
    </row>
    <row r="192" spans="1:15" ht="22.5" customHeight="1">
      <c r="K192" s="957" t="s">
        <v>65</v>
      </c>
      <c r="L192" s="968"/>
      <c r="M192" s="208">
        <f>M18+M43+M44+M45+M55+M57+M88+M103</f>
        <v>30143</v>
      </c>
      <c r="N192" s="969">
        <f>N18+N43+N44+N45+N55+N57+N88+N103</f>
        <v>67617</v>
      </c>
      <c r="O192" s="952">
        <v>8</v>
      </c>
    </row>
    <row r="193" spans="10:15" ht="22.5" customHeight="1" thickBot="1">
      <c r="J193" s="1"/>
      <c r="K193" s="958" t="s">
        <v>21</v>
      </c>
      <c r="L193" s="970">
        <f>O56+O118+O124+O126+O127+O128+O157</f>
        <v>1385289.4</v>
      </c>
      <c r="M193" s="971"/>
      <c r="N193" s="972"/>
      <c r="O193" s="953">
        <v>7</v>
      </c>
    </row>
    <row r="194" spans="10:15" ht="22.5" customHeight="1" thickBot="1">
      <c r="K194" s="407" t="s">
        <v>62</v>
      </c>
      <c r="L194" s="973">
        <f>SUM(L189:L193)</f>
        <v>1660515.7999999998</v>
      </c>
      <c r="M194" s="292">
        <f>SUM(M189:M193)</f>
        <v>31793</v>
      </c>
      <c r="N194" s="974">
        <f>SUM(N189:N193)</f>
        <v>68967</v>
      </c>
      <c r="O194" s="666">
        <f>SUM(O189:O193)</f>
        <v>51</v>
      </c>
    </row>
    <row r="195" spans="10:15" ht="33.75" customHeight="1" thickBot="1">
      <c r="M195" s="666">
        <f>SUM(L194:N194)</f>
        <v>1761275.7999999998</v>
      </c>
    </row>
  </sheetData>
  <mergeCells count="187">
    <mergeCell ref="L52:O52"/>
    <mergeCell ref="L53:O53"/>
    <mergeCell ref="H52:H54"/>
    <mergeCell ref="L97:O97"/>
    <mergeCell ref="G96:G98"/>
    <mergeCell ref="J75:J77"/>
    <mergeCell ref="K75:K77"/>
    <mergeCell ref="L187:N187"/>
    <mergeCell ref="G85:G87"/>
    <mergeCell ref="H85:H87"/>
    <mergeCell ref="I85:I87"/>
    <mergeCell ref="J85:J87"/>
    <mergeCell ref="L96:O96"/>
    <mergeCell ref="O187:O188"/>
    <mergeCell ref="L85:O85"/>
    <mergeCell ref="K187:K188"/>
    <mergeCell ref="H96:H98"/>
    <mergeCell ref="K85:K87"/>
    <mergeCell ref="L86:O86"/>
    <mergeCell ref="H75:H77"/>
    <mergeCell ref="I75:I77"/>
    <mergeCell ref="L76:O76"/>
    <mergeCell ref="L75:O75"/>
    <mergeCell ref="A40:A42"/>
    <mergeCell ref="A65:A67"/>
    <mergeCell ref="B65:B67"/>
    <mergeCell ref="C65:C67"/>
    <mergeCell ref="D65:D67"/>
    <mergeCell ref="E65:E67"/>
    <mergeCell ref="F65:F67"/>
    <mergeCell ref="A52:A54"/>
    <mergeCell ref="E115:E117"/>
    <mergeCell ref="F115:F117"/>
    <mergeCell ref="A115:A117"/>
    <mergeCell ref="B85:B87"/>
    <mergeCell ref="C85:C87"/>
    <mergeCell ref="D85:D87"/>
    <mergeCell ref="A85:A87"/>
    <mergeCell ref="C96:C98"/>
    <mergeCell ref="D96:D98"/>
    <mergeCell ref="B115:B117"/>
    <mergeCell ref="C115:C117"/>
    <mergeCell ref="D115:D117"/>
    <mergeCell ref="H26:H28"/>
    <mergeCell ref="B52:B54"/>
    <mergeCell ref="C52:C54"/>
    <mergeCell ref="D52:D54"/>
    <mergeCell ref="E52:E54"/>
    <mergeCell ref="F52:F54"/>
    <mergeCell ref="K15:K17"/>
    <mergeCell ref="C26:C28"/>
    <mergeCell ref="D26:D28"/>
    <mergeCell ref="B40:B42"/>
    <mergeCell ref="C40:C42"/>
    <mergeCell ref="I52:I54"/>
    <mergeCell ref="J52:J54"/>
    <mergeCell ref="K52:K54"/>
    <mergeCell ref="L27:O27"/>
    <mergeCell ref="J26:J28"/>
    <mergeCell ref="K26:K28"/>
    <mergeCell ref="L26:O26"/>
    <mergeCell ref="L40:O40"/>
    <mergeCell ref="L41:O41"/>
    <mergeCell ref="G40:G42"/>
    <mergeCell ref="B3:I3"/>
    <mergeCell ref="B5:I5"/>
    <mergeCell ref="E26:E28"/>
    <mergeCell ref="H15:H17"/>
    <mergeCell ref="C15:C17"/>
    <mergeCell ref="J15:J17"/>
    <mergeCell ref="D15:D17"/>
    <mergeCell ref="E15:E17"/>
    <mergeCell ref="F15:F17"/>
    <mergeCell ref="G15:G17"/>
    <mergeCell ref="L15:O15"/>
    <mergeCell ref="L16:O16"/>
    <mergeCell ref="H40:H42"/>
    <mergeCell ref="I40:I42"/>
    <mergeCell ref="J40:J42"/>
    <mergeCell ref="I15:I17"/>
    <mergeCell ref="K40:K42"/>
    <mergeCell ref="K96:K98"/>
    <mergeCell ref="E96:E98"/>
    <mergeCell ref="F96:F98"/>
    <mergeCell ref="E85:E87"/>
    <mergeCell ref="F85:F87"/>
    <mergeCell ref="I96:I98"/>
    <mergeCell ref="F26:F28"/>
    <mergeCell ref="I115:I117"/>
    <mergeCell ref="L115:O115"/>
    <mergeCell ref="H115:H117"/>
    <mergeCell ref="J115:J117"/>
    <mergeCell ref="K115:K117"/>
    <mergeCell ref="L116:O116"/>
    <mergeCell ref="G115:G117"/>
    <mergeCell ref="E75:E77"/>
    <mergeCell ref="F75:F77"/>
    <mergeCell ref="G75:G77"/>
    <mergeCell ref="G65:G67"/>
    <mergeCell ref="H65:H67"/>
    <mergeCell ref="I65:I67"/>
    <mergeCell ref="L66:O66"/>
    <mergeCell ref="J65:J67"/>
    <mergeCell ref="K65:K67"/>
    <mergeCell ref="L65:O65"/>
    <mergeCell ref="A137:A139"/>
    <mergeCell ref="B137:B139"/>
    <mergeCell ref="C137:C139"/>
    <mergeCell ref="D137:D139"/>
    <mergeCell ref="E137:E139"/>
    <mergeCell ref="F137:F139"/>
    <mergeCell ref="B1:I1"/>
    <mergeCell ref="G52:G54"/>
    <mergeCell ref="J96:J98"/>
    <mergeCell ref="A75:A77"/>
    <mergeCell ref="B75:B77"/>
    <mergeCell ref="C75:C77"/>
    <mergeCell ref="A96:A98"/>
    <mergeCell ref="B96:B98"/>
    <mergeCell ref="D75:D77"/>
    <mergeCell ref="A15:A17"/>
    <mergeCell ref="B15:B17"/>
    <mergeCell ref="A26:A28"/>
    <mergeCell ref="B26:B28"/>
    <mergeCell ref="I26:I28"/>
    <mergeCell ref="G26:G28"/>
    <mergeCell ref="D40:D42"/>
    <mergeCell ref="E40:E42"/>
    <mergeCell ref="F40:F42"/>
    <mergeCell ref="G137:G139"/>
    <mergeCell ref="H137:H139"/>
    <mergeCell ref="J137:J139"/>
    <mergeCell ref="K137:K139"/>
    <mergeCell ref="L137:O137"/>
    <mergeCell ref="L138:L139"/>
    <mergeCell ref="M138:M139"/>
    <mergeCell ref="N138:N139"/>
    <mergeCell ref="O138:O139"/>
    <mergeCell ref="I137:I139"/>
    <mergeCell ref="I174:I176"/>
    <mergeCell ref="J174:J176"/>
    <mergeCell ref="K174:K176"/>
    <mergeCell ref="L174:O174"/>
    <mergeCell ref="L175:L176"/>
    <mergeCell ref="M175:M176"/>
    <mergeCell ref="N175:N176"/>
    <mergeCell ref="O175:O176"/>
    <mergeCell ref="J164:J166"/>
    <mergeCell ref="K164:K166"/>
    <mergeCell ref="L164:O164"/>
    <mergeCell ref="L165:L166"/>
    <mergeCell ref="M165:M166"/>
    <mergeCell ref="N165:N166"/>
    <mergeCell ref="O165:O166"/>
    <mergeCell ref="L155:L156"/>
    <mergeCell ref="M155:M156"/>
    <mergeCell ref="N155:N156"/>
    <mergeCell ref="J154:J156"/>
    <mergeCell ref="K154:K156"/>
    <mergeCell ref="L154:O154"/>
    <mergeCell ref="O155:O156"/>
    <mergeCell ref="A174:A176"/>
    <mergeCell ref="B174:B176"/>
    <mergeCell ref="C174:C176"/>
    <mergeCell ref="D174:D176"/>
    <mergeCell ref="E174:E176"/>
    <mergeCell ref="F174:F176"/>
    <mergeCell ref="G154:G156"/>
    <mergeCell ref="H154:H156"/>
    <mergeCell ref="I154:I156"/>
    <mergeCell ref="A154:A156"/>
    <mergeCell ref="B154:B156"/>
    <mergeCell ref="C154:C156"/>
    <mergeCell ref="D154:D156"/>
    <mergeCell ref="E154:E156"/>
    <mergeCell ref="F154:F156"/>
    <mergeCell ref="G174:G176"/>
    <mergeCell ref="H174:H176"/>
    <mergeCell ref="A164:A166"/>
    <mergeCell ref="B164:B166"/>
    <mergeCell ref="C164:C166"/>
    <mergeCell ref="D164:D166"/>
    <mergeCell ref="E164:E166"/>
    <mergeCell ref="F164:F166"/>
    <mergeCell ref="G164:G166"/>
    <mergeCell ref="H164:H166"/>
    <mergeCell ref="I164:I166"/>
  </mergeCells>
  <pageMargins left="0.7" right="0.7" top="0.75" bottom="0.75" header="0.3" footer="0.3"/>
  <pageSetup paperSize="9" orientation="portrait" r:id="rId1"/>
  <ignoredErrors>
    <ignoredError sqref="O56:O57 O10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"/>
  <sheetViews>
    <sheetView topLeftCell="E205" zoomScale="80" zoomScaleNormal="80" workbookViewId="0">
      <selection activeCell="N229" sqref="N229"/>
    </sheetView>
  </sheetViews>
  <sheetFormatPr defaultRowHeight="14.25"/>
  <cols>
    <col min="1" max="1" width="11.375" style="5" customWidth="1"/>
    <col min="2" max="2" width="16.125" style="1" customWidth="1"/>
    <col min="3" max="3" width="14.75" style="1" customWidth="1"/>
    <col min="4" max="4" width="14" style="1" customWidth="1"/>
    <col min="5" max="5" width="11.875" style="1" customWidth="1"/>
    <col min="6" max="6" width="12" style="1" customWidth="1"/>
    <col min="7" max="7" width="17.75" style="1" customWidth="1"/>
    <col min="8" max="8" width="29.875" style="1" customWidth="1"/>
    <col min="9" max="9" width="25.75" style="1" customWidth="1"/>
    <col min="10" max="10" width="15.875" style="1" customWidth="1"/>
    <col min="11" max="11" width="12.125" style="1" customWidth="1"/>
    <col min="12" max="12" width="12.75" style="1" customWidth="1"/>
    <col min="13" max="13" width="15.875" style="1" customWidth="1"/>
    <col min="14" max="14" width="16" style="1" customWidth="1"/>
    <col min="15" max="15" width="18" style="1" customWidth="1"/>
    <col min="16" max="16" width="17.5" style="1" customWidth="1"/>
    <col min="17" max="17" width="13.125" style="1" customWidth="1"/>
    <col min="18" max="18" width="14" style="1" customWidth="1"/>
    <col min="19" max="19" width="15.5" style="1" customWidth="1"/>
    <col min="20" max="20" width="23.625" style="1" customWidth="1"/>
    <col min="21" max="21" width="23.75" style="1" customWidth="1"/>
    <col min="22" max="22" width="25.125" style="1" customWidth="1"/>
    <col min="23" max="16384" width="9" style="1"/>
  </cols>
  <sheetData>
    <row r="1" spans="1:15" ht="18">
      <c r="A1" s="287"/>
      <c r="B1" s="1691" t="s">
        <v>1174</v>
      </c>
      <c r="C1" s="1691"/>
      <c r="D1" s="1691"/>
      <c r="E1" s="1691"/>
      <c r="F1" s="1691"/>
      <c r="G1" s="1691"/>
      <c r="H1" s="1691"/>
      <c r="I1" s="1691"/>
    </row>
    <row r="2" spans="1:15">
      <c r="A2" s="287"/>
    </row>
    <row r="3" spans="1:15" ht="27.75" customHeight="1">
      <c r="A3" s="287"/>
      <c r="B3" s="1684" t="s">
        <v>645</v>
      </c>
      <c r="C3" s="1685"/>
      <c r="D3" s="1685"/>
      <c r="E3" s="1685"/>
      <c r="F3" s="1685"/>
      <c r="G3" s="1685"/>
      <c r="H3" s="1685"/>
      <c r="I3" s="1685"/>
      <c r="J3" s="1686"/>
    </row>
    <row r="4" spans="1:15" ht="15">
      <c r="A4" s="287"/>
      <c r="B4" s="469"/>
      <c r="C4" s="469"/>
      <c r="D4" s="469"/>
      <c r="E4" s="469"/>
      <c r="F4" s="469"/>
      <c r="G4" s="469"/>
      <c r="H4" s="469"/>
      <c r="I4" s="469"/>
      <c r="J4" s="469"/>
    </row>
    <row r="5" spans="1:15" ht="15">
      <c r="A5" s="1"/>
      <c r="B5" s="1687" t="s">
        <v>1052</v>
      </c>
      <c r="C5" s="1687"/>
      <c r="D5" s="1687"/>
      <c r="E5" s="1687"/>
      <c r="F5" s="1687"/>
      <c r="G5" s="1687"/>
      <c r="H5" s="1687"/>
      <c r="I5" s="1687"/>
      <c r="J5" s="1687"/>
      <c r="L5" s="7"/>
      <c r="N5" s="31"/>
    </row>
    <row r="6" spans="1:15" ht="15">
      <c r="A6" s="1"/>
      <c r="B6" s="469"/>
      <c r="C6" s="469"/>
      <c r="D6" s="469"/>
      <c r="E6" s="469"/>
      <c r="F6" s="469"/>
      <c r="G6" s="469"/>
      <c r="H6" s="469"/>
      <c r="I6" s="472"/>
      <c r="J6" s="471"/>
      <c r="L6" s="7"/>
      <c r="N6" s="31"/>
    </row>
    <row r="7" spans="1:15" ht="15.75">
      <c r="A7" s="1"/>
      <c r="B7" s="470" t="s">
        <v>1</v>
      </c>
      <c r="C7" s="471"/>
      <c r="D7" s="469"/>
      <c r="E7" s="469"/>
      <c r="F7" s="469"/>
      <c r="G7" s="471"/>
      <c r="H7" s="469"/>
      <c r="I7" s="472"/>
      <c r="J7" s="471"/>
      <c r="L7" s="7"/>
      <c r="N7" s="31"/>
    </row>
    <row r="8" spans="1:15" ht="15.75">
      <c r="A8" s="1"/>
      <c r="B8" s="1307" t="s">
        <v>1921</v>
      </c>
      <c r="C8" s="471"/>
      <c r="D8" s="469"/>
      <c r="E8" s="469"/>
      <c r="F8" s="469"/>
      <c r="G8" s="471"/>
      <c r="H8" s="469"/>
      <c r="I8" s="472"/>
      <c r="J8" s="471"/>
      <c r="L8" s="7"/>
      <c r="N8" s="31"/>
    </row>
    <row r="9" spans="1:15" ht="15.75">
      <c r="A9" s="1"/>
      <c r="B9" s="473" t="s">
        <v>1872</v>
      </c>
      <c r="C9" s="471"/>
      <c r="D9" s="474"/>
      <c r="E9" s="469"/>
      <c r="F9" s="469"/>
      <c r="G9" s="471"/>
      <c r="H9" s="469"/>
      <c r="I9" s="472"/>
      <c r="J9" s="471"/>
      <c r="L9" s="7"/>
      <c r="N9" s="31"/>
    </row>
    <row r="10" spans="1:15" ht="15.75">
      <c r="A10" s="1"/>
      <c r="B10" s="473" t="s">
        <v>1045</v>
      </c>
      <c r="C10" s="471"/>
      <c r="D10" s="474"/>
      <c r="E10" s="469"/>
      <c r="F10" s="469"/>
      <c r="G10" s="471"/>
      <c r="H10" s="469"/>
      <c r="I10" s="472"/>
      <c r="J10" s="471"/>
      <c r="L10" s="7"/>
      <c r="N10" s="31"/>
    </row>
    <row r="11" spans="1:15" ht="15">
      <c r="A11" s="1"/>
      <c r="B11" s="471" t="s">
        <v>696</v>
      </c>
      <c r="C11" s="471"/>
      <c r="D11" s="471"/>
      <c r="E11" s="471"/>
      <c r="F11" s="471"/>
      <c r="G11" s="471"/>
      <c r="H11" s="469"/>
      <c r="I11" s="472"/>
      <c r="J11" s="471"/>
      <c r="L11" s="7"/>
      <c r="N11" s="31"/>
    </row>
    <row r="12" spans="1:15" ht="15.75">
      <c r="A12" s="1"/>
      <c r="B12" s="475"/>
      <c r="C12" s="476"/>
      <c r="D12" s="474"/>
      <c r="E12" s="474"/>
      <c r="F12" s="474"/>
      <c r="G12" s="474"/>
      <c r="H12" s="477"/>
      <c r="I12" s="471"/>
      <c r="J12" s="471"/>
      <c r="L12" s="7"/>
      <c r="N12" s="31"/>
    </row>
    <row r="13" spans="1:15" ht="15.75">
      <c r="A13" s="1"/>
      <c r="B13" s="475" t="s">
        <v>4</v>
      </c>
      <c r="C13" s="470" t="s">
        <v>5</v>
      </c>
      <c r="D13" s="474"/>
      <c r="E13" s="474"/>
      <c r="F13" s="474"/>
      <c r="G13" s="474"/>
      <c r="H13" s="477"/>
      <c r="I13" s="471"/>
      <c r="J13" s="471"/>
      <c r="L13" s="7"/>
      <c r="N13" s="31"/>
    </row>
    <row r="14" spans="1:15" ht="15" thickBot="1"/>
    <row r="15" spans="1:15" ht="55.5" customHeight="1">
      <c r="A15" s="1670" t="s">
        <v>6</v>
      </c>
      <c r="B15" s="1673" t="s">
        <v>633</v>
      </c>
      <c r="C15" s="1676" t="s">
        <v>8</v>
      </c>
      <c r="D15" s="1676" t="s">
        <v>9</v>
      </c>
      <c r="E15" s="1656" t="s">
        <v>812</v>
      </c>
      <c r="F15" s="1656" t="s">
        <v>11</v>
      </c>
      <c r="G15" s="1676" t="s">
        <v>12</v>
      </c>
      <c r="H15" s="1656" t="s">
        <v>13</v>
      </c>
      <c r="I15" s="1656" t="s">
        <v>269</v>
      </c>
      <c r="J15" s="1656" t="s">
        <v>59</v>
      </c>
      <c r="K15" s="1665" t="s">
        <v>635</v>
      </c>
      <c r="L15" s="1725" t="s">
        <v>636</v>
      </c>
      <c r="M15" s="1719"/>
      <c r="N15" s="1719"/>
      <c r="O15" s="1726"/>
    </row>
    <row r="16" spans="1:15" ht="37.5" customHeight="1">
      <c r="A16" s="1671"/>
      <c r="B16" s="1674"/>
      <c r="C16" s="1677"/>
      <c r="D16" s="1677"/>
      <c r="E16" s="1657"/>
      <c r="F16" s="1657"/>
      <c r="G16" s="1677"/>
      <c r="H16" s="1657"/>
      <c r="I16" s="1657"/>
      <c r="J16" s="1657"/>
      <c r="K16" s="1666"/>
      <c r="L16" s="1679" t="s">
        <v>637</v>
      </c>
      <c r="M16" s="1654"/>
      <c r="N16" s="1654"/>
      <c r="O16" s="1680"/>
    </row>
    <row r="17" spans="1:15" ht="25.5" customHeight="1" thickBot="1">
      <c r="A17" s="1672"/>
      <c r="B17" s="1675"/>
      <c r="C17" s="1678"/>
      <c r="D17" s="1678"/>
      <c r="E17" s="1658"/>
      <c r="F17" s="1658"/>
      <c r="G17" s="1678"/>
      <c r="H17" s="1658"/>
      <c r="I17" s="1658"/>
      <c r="J17" s="1658"/>
      <c r="K17" s="1667"/>
      <c r="L17" s="467" t="s">
        <v>638</v>
      </c>
      <c r="M17" s="468" t="s">
        <v>639</v>
      </c>
      <c r="N17" s="468" t="s">
        <v>640</v>
      </c>
      <c r="O17" s="466" t="s">
        <v>16</v>
      </c>
    </row>
    <row r="18" spans="1:15" s="25" customFormat="1" ht="18">
      <c r="A18" s="595" t="s">
        <v>26</v>
      </c>
      <c r="B18" s="494" t="s">
        <v>184</v>
      </c>
      <c r="C18" s="495" t="s">
        <v>185</v>
      </c>
      <c r="D18" s="495"/>
      <c r="E18" s="496" t="s">
        <v>186</v>
      </c>
      <c r="F18" s="495" t="s">
        <v>187</v>
      </c>
      <c r="G18" s="495" t="s">
        <v>188</v>
      </c>
      <c r="H18" s="906" t="s">
        <v>189</v>
      </c>
      <c r="I18" s="497" t="s">
        <v>963</v>
      </c>
      <c r="J18" s="498" t="s">
        <v>65</v>
      </c>
      <c r="K18" s="499">
        <v>3</v>
      </c>
      <c r="L18" s="500"/>
      <c r="M18" s="501">
        <f>51-46</f>
        <v>5</v>
      </c>
      <c r="N18" s="502">
        <f>272-249</f>
        <v>23</v>
      </c>
      <c r="O18" s="501">
        <f>M18+N18</f>
        <v>28</v>
      </c>
    </row>
    <row r="19" spans="1:15" s="25" customFormat="1" ht="18">
      <c r="A19" s="552" t="s">
        <v>26</v>
      </c>
      <c r="B19" s="124" t="s">
        <v>184</v>
      </c>
      <c r="C19" s="125" t="s">
        <v>190</v>
      </c>
      <c r="D19" s="125"/>
      <c r="E19" s="126" t="s">
        <v>859</v>
      </c>
      <c r="F19" s="125" t="s">
        <v>187</v>
      </c>
      <c r="G19" s="125" t="s">
        <v>188</v>
      </c>
      <c r="H19" s="778" t="s">
        <v>191</v>
      </c>
      <c r="I19" s="450" t="s">
        <v>964</v>
      </c>
      <c r="J19" s="128" t="s">
        <v>65</v>
      </c>
      <c r="K19" s="129">
        <v>6.6</v>
      </c>
      <c r="L19" s="130"/>
      <c r="M19" s="131">
        <f>3440-2851</f>
        <v>589</v>
      </c>
      <c r="N19" s="132">
        <f>8434-6909</f>
        <v>1525</v>
      </c>
      <c r="O19" s="501">
        <f>M19+N19</f>
        <v>2114</v>
      </c>
    </row>
    <row r="20" spans="1:15" s="25" customFormat="1" ht="18">
      <c r="A20" s="552" t="s">
        <v>26</v>
      </c>
      <c r="B20" s="124" t="s">
        <v>184</v>
      </c>
      <c r="C20" s="125" t="s">
        <v>192</v>
      </c>
      <c r="D20" s="125"/>
      <c r="E20" s="126" t="s">
        <v>193</v>
      </c>
      <c r="F20" s="125" t="s">
        <v>187</v>
      </c>
      <c r="G20" s="125" t="s">
        <v>188</v>
      </c>
      <c r="H20" s="907" t="s">
        <v>194</v>
      </c>
      <c r="I20" s="450" t="s">
        <v>962</v>
      </c>
      <c r="J20" s="128" t="s">
        <v>65</v>
      </c>
      <c r="K20" s="129">
        <v>6.6</v>
      </c>
      <c r="L20" s="130"/>
      <c r="M20" s="131">
        <f>1784-1371</f>
        <v>413</v>
      </c>
      <c r="N20" s="132">
        <f>4966-3377</f>
        <v>1589</v>
      </c>
      <c r="O20" s="501">
        <f>M20+N20</f>
        <v>2002</v>
      </c>
    </row>
    <row r="21" spans="1:15" s="25" customFormat="1" ht="18">
      <c r="A21" s="552" t="s">
        <v>26</v>
      </c>
      <c r="B21" s="124" t="s">
        <v>184</v>
      </c>
      <c r="C21" s="125" t="s">
        <v>195</v>
      </c>
      <c r="D21" s="125"/>
      <c r="E21" s="126" t="s">
        <v>196</v>
      </c>
      <c r="F21" s="125" t="s">
        <v>187</v>
      </c>
      <c r="G21" s="125" t="s">
        <v>188</v>
      </c>
      <c r="H21" s="778" t="s">
        <v>197</v>
      </c>
      <c r="I21" s="450" t="s">
        <v>965</v>
      </c>
      <c r="J21" s="409" t="s">
        <v>28</v>
      </c>
      <c r="K21" s="129">
        <v>6.6</v>
      </c>
      <c r="L21" s="132">
        <f>14234-11747</f>
        <v>2487</v>
      </c>
      <c r="M21" s="133"/>
      <c r="N21" s="130"/>
      <c r="O21" s="131">
        <f>L21</f>
        <v>2487</v>
      </c>
    </row>
    <row r="22" spans="1:15" s="25" customFormat="1" ht="18">
      <c r="A22" s="552" t="s">
        <v>26</v>
      </c>
      <c r="B22" s="124" t="s">
        <v>184</v>
      </c>
      <c r="C22" s="125" t="s">
        <v>198</v>
      </c>
      <c r="D22" s="125"/>
      <c r="E22" s="126">
        <v>5</v>
      </c>
      <c r="F22" s="125" t="s">
        <v>199</v>
      </c>
      <c r="G22" s="125" t="s">
        <v>200</v>
      </c>
      <c r="H22" s="778" t="s">
        <v>201</v>
      </c>
      <c r="I22" s="450" t="s">
        <v>961</v>
      </c>
      <c r="J22" s="128" t="s">
        <v>65</v>
      </c>
      <c r="K22" s="129">
        <v>2</v>
      </c>
      <c r="L22" s="130"/>
      <c r="M22" s="131">
        <f>5811-4354</f>
        <v>1457</v>
      </c>
      <c r="N22" s="132">
        <f>15312-11445</f>
        <v>3867</v>
      </c>
      <c r="O22" s="131">
        <f t="shared" ref="O22:O27" si="0">M22+N22</f>
        <v>5324</v>
      </c>
    </row>
    <row r="23" spans="1:15" s="25" customFormat="1" ht="18">
      <c r="A23" s="552" t="s">
        <v>26</v>
      </c>
      <c r="B23" s="124" t="s">
        <v>184</v>
      </c>
      <c r="C23" s="125" t="s">
        <v>202</v>
      </c>
      <c r="D23" s="125"/>
      <c r="E23" s="126" t="s">
        <v>969</v>
      </c>
      <c r="F23" s="125" t="s">
        <v>187</v>
      </c>
      <c r="G23" s="125" t="s">
        <v>188</v>
      </c>
      <c r="H23" s="778" t="s">
        <v>203</v>
      </c>
      <c r="I23" s="450" t="s">
        <v>970</v>
      </c>
      <c r="J23" s="128" t="s">
        <v>65</v>
      </c>
      <c r="K23" s="129">
        <v>16</v>
      </c>
      <c r="L23" s="130"/>
      <c r="M23" s="131">
        <f>33557-30428</f>
        <v>3129</v>
      </c>
      <c r="N23" s="132">
        <f>86051-77836</f>
        <v>8215</v>
      </c>
      <c r="O23" s="131">
        <f t="shared" si="0"/>
        <v>11344</v>
      </c>
    </row>
    <row r="24" spans="1:15" s="25" customFormat="1" ht="18">
      <c r="A24" s="552" t="s">
        <v>26</v>
      </c>
      <c r="B24" s="124" t="s">
        <v>184</v>
      </c>
      <c r="C24" s="125" t="s">
        <v>204</v>
      </c>
      <c r="D24" s="125"/>
      <c r="E24" s="126">
        <v>73</v>
      </c>
      <c r="F24" s="125" t="s">
        <v>187</v>
      </c>
      <c r="G24" s="125" t="s">
        <v>188</v>
      </c>
      <c r="H24" s="911" t="s">
        <v>205</v>
      </c>
      <c r="I24" s="450" t="s">
        <v>966</v>
      </c>
      <c r="J24" s="128" t="s">
        <v>65</v>
      </c>
      <c r="K24" s="129">
        <v>6</v>
      </c>
      <c r="L24" s="130"/>
      <c r="M24" s="131">
        <f>44917-31798</f>
        <v>13119</v>
      </c>
      <c r="N24" s="132">
        <f>120570-84768</f>
        <v>35802</v>
      </c>
      <c r="O24" s="131">
        <f t="shared" si="0"/>
        <v>48921</v>
      </c>
    </row>
    <row r="25" spans="1:15" s="25" customFormat="1" ht="18">
      <c r="A25" s="552" t="s">
        <v>26</v>
      </c>
      <c r="B25" s="124" t="s">
        <v>206</v>
      </c>
      <c r="C25" s="125" t="s">
        <v>185</v>
      </c>
      <c r="D25" s="125"/>
      <c r="E25" s="126" t="s">
        <v>207</v>
      </c>
      <c r="F25" s="125" t="s">
        <v>187</v>
      </c>
      <c r="G25" s="125" t="s">
        <v>188</v>
      </c>
      <c r="H25" s="909" t="s">
        <v>208</v>
      </c>
      <c r="I25" s="450" t="s">
        <v>1089</v>
      </c>
      <c r="J25" s="128" t="s">
        <v>65</v>
      </c>
      <c r="K25" s="129">
        <v>2</v>
      </c>
      <c r="L25" s="133"/>
      <c r="M25" s="132">
        <f>1851-1833</f>
        <v>18</v>
      </c>
      <c r="N25" s="131">
        <f>9467-9423</f>
        <v>44</v>
      </c>
      <c r="O25" s="131">
        <f t="shared" si="0"/>
        <v>62</v>
      </c>
    </row>
    <row r="26" spans="1:15" s="25" customFormat="1" ht="30.75">
      <c r="A26" s="552" t="s">
        <v>26</v>
      </c>
      <c r="B26" s="134" t="s">
        <v>184</v>
      </c>
      <c r="C26" s="134" t="s">
        <v>209</v>
      </c>
      <c r="D26" s="135" t="s">
        <v>210</v>
      </c>
      <c r="E26" s="136">
        <v>17</v>
      </c>
      <c r="F26" s="135" t="s">
        <v>187</v>
      </c>
      <c r="G26" s="135" t="s">
        <v>188</v>
      </c>
      <c r="H26" s="908" t="s">
        <v>211</v>
      </c>
      <c r="I26" s="450" t="s">
        <v>967</v>
      </c>
      <c r="J26" s="138" t="s">
        <v>65</v>
      </c>
      <c r="K26" s="139">
        <v>6.6</v>
      </c>
      <c r="L26" s="140"/>
      <c r="M26" s="141">
        <f>4237-3894</f>
        <v>343</v>
      </c>
      <c r="N26" s="142">
        <f>7129-6088</f>
        <v>1041</v>
      </c>
      <c r="O26" s="131">
        <f t="shared" si="0"/>
        <v>1384</v>
      </c>
    </row>
    <row r="27" spans="1:15" s="25" customFormat="1" ht="18">
      <c r="A27" s="575" t="s">
        <v>26</v>
      </c>
      <c r="B27" s="134" t="s">
        <v>184</v>
      </c>
      <c r="C27" s="135" t="s">
        <v>267</v>
      </c>
      <c r="D27" s="135"/>
      <c r="E27" s="135">
        <v>20</v>
      </c>
      <c r="F27" s="135" t="s">
        <v>199</v>
      </c>
      <c r="G27" s="135" t="s">
        <v>200</v>
      </c>
      <c r="H27" s="910" t="s">
        <v>268</v>
      </c>
      <c r="I27" s="592">
        <v>70959424</v>
      </c>
      <c r="J27" s="138" t="s">
        <v>65</v>
      </c>
      <c r="K27" s="139">
        <v>13</v>
      </c>
      <c r="L27" s="140"/>
      <c r="M27" s="141">
        <f>7775-5799</f>
        <v>1976</v>
      </c>
      <c r="N27" s="142">
        <f>23941-17788</f>
        <v>6153</v>
      </c>
      <c r="O27" s="131">
        <f t="shared" si="0"/>
        <v>8129</v>
      </c>
    </row>
    <row r="28" spans="1:15" s="25" customFormat="1" ht="18">
      <c r="A28" s="552" t="s">
        <v>26</v>
      </c>
      <c r="B28" s="134" t="s">
        <v>184</v>
      </c>
      <c r="C28" s="135" t="s">
        <v>212</v>
      </c>
      <c r="D28" s="135"/>
      <c r="E28" s="137">
        <v>37</v>
      </c>
      <c r="F28" s="135" t="s">
        <v>199</v>
      </c>
      <c r="G28" s="135" t="s">
        <v>200</v>
      </c>
      <c r="H28" s="908" t="s">
        <v>213</v>
      </c>
      <c r="I28" s="450" t="s">
        <v>1832</v>
      </c>
      <c r="J28" s="410" t="s">
        <v>28</v>
      </c>
      <c r="K28" s="139">
        <v>22</v>
      </c>
      <c r="L28" s="141">
        <f>225*12</f>
        <v>2700</v>
      </c>
      <c r="M28" s="140"/>
      <c r="N28" s="143"/>
      <c r="O28" s="141">
        <f>L28</f>
        <v>2700</v>
      </c>
    </row>
    <row r="29" spans="1:15" s="25" customFormat="1" ht="18">
      <c r="A29" s="552" t="s">
        <v>26</v>
      </c>
      <c r="B29" s="134" t="s">
        <v>184</v>
      </c>
      <c r="C29" s="135" t="s">
        <v>214</v>
      </c>
      <c r="D29" s="135"/>
      <c r="E29" s="137">
        <v>44</v>
      </c>
      <c r="F29" s="135" t="s">
        <v>199</v>
      </c>
      <c r="G29" s="135" t="s">
        <v>200</v>
      </c>
      <c r="H29" s="908" t="s">
        <v>215</v>
      </c>
      <c r="I29" s="450" t="s">
        <v>971</v>
      </c>
      <c r="J29" s="410" t="s">
        <v>28</v>
      </c>
      <c r="K29" s="139">
        <v>3</v>
      </c>
      <c r="L29" s="141">
        <f>3943-3524</f>
        <v>419</v>
      </c>
      <c r="M29" s="140"/>
      <c r="N29" s="143"/>
      <c r="O29" s="141">
        <f>L29</f>
        <v>419</v>
      </c>
    </row>
    <row r="30" spans="1:15" s="25" customFormat="1" ht="18">
      <c r="A30" s="552" t="s">
        <v>26</v>
      </c>
      <c r="B30" s="134" t="s">
        <v>184</v>
      </c>
      <c r="C30" s="135" t="s">
        <v>200</v>
      </c>
      <c r="D30" s="135" t="s">
        <v>181</v>
      </c>
      <c r="E30" s="136">
        <v>14</v>
      </c>
      <c r="F30" s="135" t="s">
        <v>199</v>
      </c>
      <c r="G30" s="135" t="s">
        <v>200</v>
      </c>
      <c r="H30" s="908" t="s">
        <v>216</v>
      </c>
      <c r="I30" s="450" t="s">
        <v>968</v>
      </c>
      <c r="J30" s="410" t="s">
        <v>28</v>
      </c>
      <c r="K30" s="139">
        <v>3</v>
      </c>
      <c r="L30" s="141">
        <f>45370-32938</f>
        <v>12432</v>
      </c>
      <c r="M30" s="140"/>
      <c r="N30" s="143"/>
      <c r="O30" s="141">
        <f>L30</f>
        <v>12432</v>
      </c>
    </row>
    <row r="31" spans="1:15" s="25" customFormat="1" ht="18.75" thickBot="1">
      <c r="A31" s="552" t="s">
        <v>26</v>
      </c>
      <c r="B31" s="399"/>
      <c r="C31" s="756" t="s">
        <v>198</v>
      </c>
      <c r="D31" s="4"/>
      <c r="E31" s="4" t="s">
        <v>1446</v>
      </c>
      <c r="F31" s="4" t="s">
        <v>199</v>
      </c>
      <c r="G31" s="4" t="s">
        <v>200</v>
      </c>
      <c r="H31" s="908" t="s">
        <v>1447</v>
      </c>
      <c r="I31" s="4">
        <v>71869909</v>
      </c>
      <c r="J31" s="487" t="s">
        <v>28</v>
      </c>
      <c r="K31" s="8">
        <v>7</v>
      </c>
      <c r="L31" s="32">
        <f>7618-4463</f>
        <v>3155</v>
      </c>
      <c r="M31" s="33"/>
      <c r="N31" s="33"/>
      <c r="O31" s="32">
        <f>L31</f>
        <v>3155</v>
      </c>
    </row>
    <row r="32" spans="1:15" ht="33.75" customHeight="1">
      <c r="A32" s="55"/>
      <c r="B32" s="240" t="s">
        <v>22</v>
      </c>
      <c r="C32" s="241" t="s">
        <v>706</v>
      </c>
      <c r="D32" s="243"/>
      <c r="E32" s="1330"/>
      <c r="F32" s="1330"/>
      <c r="G32" s="1622" t="s">
        <v>1920</v>
      </c>
      <c r="H32" s="1331" t="s">
        <v>706</v>
      </c>
      <c r="L32" s="31"/>
      <c r="M32" s="31"/>
      <c r="N32" s="32" t="s">
        <v>23</v>
      </c>
      <c r="O32" s="580">
        <f>SUM(O18:O31)</f>
        <v>100501</v>
      </c>
    </row>
    <row r="33" spans="1:15" ht="15">
      <c r="B33" s="244"/>
      <c r="C33" s="245" t="s">
        <v>1085</v>
      </c>
      <c r="D33" s="247"/>
      <c r="E33" s="1330"/>
      <c r="F33" s="1330"/>
      <c r="G33" s="192"/>
      <c r="H33" s="1332" t="s">
        <v>1085</v>
      </c>
    </row>
    <row r="34" spans="1:15" ht="15.75" thickBot="1">
      <c r="B34" s="192"/>
      <c r="C34" s="246" t="s">
        <v>707</v>
      </c>
      <c r="D34" s="247"/>
      <c r="E34" s="1330"/>
      <c r="F34" s="1330"/>
      <c r="G34" s="193"/>
      <c r="H34" s="251" t="s">
        <v>707</v>
      </c>
      <c r="M34" s="31"/>
      <c r="N34" s="31"/>
    </row>
    <row r="35" spans="1:15" ht="15">
      <c r="B35" s="604" t="s">
        <v>818</v>
      </c>
      <c r="C35" s="1272">
        <v>8222147185</v>
      </c>
      <c r="D35" s="247"/>
      <c r="E35" s="1330"/>
      <c r="F35" s="1330"/>
      <c r="G35" s="1330"/>
      <c r="H35" s="1330"/>
    </row>
    <row r="36" spans="1:15" ht="15.75" thickBot="1">
      <c r="B36" s="465" t="s">
        <v>1061</v>
      </c>
      <c r="C36" s="1274" t="s">
        <v>1086</v>
      </c>
      <c r="D36" s="251"/>
      <c r="E36" s="1330"/>
      <c r="F36" s="1330"/>
      <c r="G36" s="1330"/>
      <c r="H36" s="1330"/>
    </row>
    <row r="37" spans="1:15" ht="15" thickBot="1"/>
    <row r="38" spans="1:15" ht="37.5" customHeight="1">
      <c r="A38" s="1670" t="s">
        <v>6</v>
      </c>
      <c r="B38" s="1673" t="s">
        <v>633</v>
      </c>
      <c r="C38" s="1676" t="s">
        <v>8</v>
      </c>
      <c r="D38" s="1676" t="s">
        <v>9</v>
      </c>
      <c r="E38" s="1656" t="s">
        <v>812</v>
      </c>
      <c r="F38" s="1656" t="s">
        <v>11</v>
      </c>
      <c r="G38" s="1676" t="s">
        <v>12</v>
      </c>
      <c r="H38" s="1656" t="s">
        <v>13</v>
      </c>
      <c r="I38" s="1656" t="s">
        <v>269</v>
      </c>
      <c r="J38" s="1656" t="s">
        <v>59</v>
      </c>
      <c r="K38" s="1665" t="s">
        <v>635</v>
      </c>
      <c r="L38" s="1725" t="s">
        <v>636</v>
      </c>
      <c r="M38" s="1719"/>
      <c r="N38" s="1719"/>
      <c r="O38" s="1726"/>
    </row>
    <row r="39" spans="1:15" ht="33.75" customHeight="1">
      <c r="A39" s="1671"/>
      <c r="B39" s="1674"/>
      <c r="C39" s="1677"/>
      <c r="D39" s="1677"/>
      <c r="E39" s="1657"/>
      <c r="F39" s="1657"/>
      <c r="G39" s="1677"/>
      <c r="H39" s="1657"/>
      <c r="I39" s="1657"/>
      <c r="J39" s="1657"/>
      <c r="K39" s="1666"/>
      <c r="L39" s="1679" t="s">
        <v>637</v>
      </c>
      <c r="M39" s="1654"/>
      <c r="N39" s="1654"/>
      <c r="O39" s="1680"/>
    </row>
    <row r="40" spans="1:15" ht="27.75" customHeight="1" thickBot="1">
      <c r="A40" s="1672"/>
      <c r="B40" s="1675"/>
      <c r="C40" s="1678"/>
      <c r="D40" s="1678"/>
      <c r="E40" s="1658"/>
      <c r="F40" s="1658"/>
      <c r="G40" s="1678"/>
      <c r="H40" s="1658"/>
      <c r="I40" s="1658"/>
      <c r="J40" s="1658"/>
      <c r="K40" s="1667"/>
      <c r="L40" s="467" t="s">
        <v>638</v>
      </c>
      <c r="M40" s="468" t="s">
        <v>639</v>
      </c>
      <c r="N40" s="468" t="s">
        <v>640</v>
      </c>
      <c r="O40" s="466" t="s">
        <v>16</v>
      </c>
    </row>
    <row r="41" spans="1:15" s="147" customFormat="1" ht="31.5" thickBot="1">
      <c r="A41" s="601" t="s">
        <v>26</v>
      </c>
      <c r="B41" s="489" t="s">
        <v>217</v>
      </c>
      <c r="C41" s="489" t="s">
        <v>188</v>
      </c>
      <c r="D41" s="492" t="s">
        <v>202</v>
      </c>
      <c r="E41" s="493">
        <v>22</v>
      </c>
      <c r="F41" s="150" t="s">
        <v>187</v>
      </c>
      <c r="G41" s="1333" t="s">
        <v>188</v>
      </c>
      <c r="H41" s="1334" t="s">
        <v>218</v>
      </c>
      <c r="I41" s="1335" t="s">
        <v>1833</v>
      </c>
      <c r="J41" s="151" t="s">
        <v>65</v>
      </c>
      <c r="K41" s="152">
        <v>31</v>
      </c>
      <c r="L41" s="491"/>
      <c r="M41" s="154">
        <f>96356-81092</f>
        <v>15264</v>
      </c>
      <c r="N41" s="154">
        <f>212690-181441</f>
        <v>31249</v>
      </c>
      <c r="O41" s="488">
        <f>SUM(M41:N41)</f>
        <v>46513</v>
      </c>
    </row>
    <row r="42" spans="1:15" ht="36" customHeight="1">
      <c r="B42" s="10" t="s">
        <v>22</v>
      </c>
      <c r="C42" s="11" t="s">
        <v>956</v>
      </c>
      <c r="D42" s="11"/>
      <c r="E42" s="12"/>
      <c r="F42" s="260"/>
      <c r="G42" s="1622" t="s">
        <v>1920</v>
      </c>
      <c r="H42" s="11" t="s">
        <v>956</v>
      </c>
      <c r="I42" s="26"/>
      <c r="N42" s="4" t="s">
        <v>23</v>
      </c>
      <c r="O42" s="580">
        <f>SUM(O41)</f>
        <v>46513</v>
      </c>
    </row>
    <row r="43" spans="1:15" ht="15">
      <c r="B43" s="13"/>
      <c r="C43" s="14" t="s">
        <v>957</v>
      </c>
      <c r="D43" s="14"/>
      <c r="E43" s="15"/>
      <c r="F43" s="260"/>
      <c r="G43" s="13"/>
      <c r="H43" s="14" t="s">
        <v>957</v>
      </c>
      <c r="I43" s="27"/>
    </row>
    <row r="44" spans="1:15" ht="15.75" thickBot="1">
      <c r="B44" s="13"/>
      <c r="C44" s="43" t="s">
        <v>707</v>
      </c>
      <c r="D44" s="14"/>
      <c r="E44" s="15"/>
      <c r="F44" s="260"/>
      <c r="G44" s="71"/>
      <c r="H44" s="113" t="s">
        <v>707</v>
      </c>
      <c r="I44" s="28"/>
    </row>
    <row r="45" spans="1:15" ht="15">
      <c r="B45" s="553" t="s">
        <v>818</v>
      </c>
      <c r="C45" s="700">
        <v>8222230555</v>
      </c>
      <c r="D45" s="14"/>
      <c r="E45" s="15"/>
      <c r="F45" s="260"/>
      <c r="G45" s="260"/>
      <c r="H45" s="260"/>
    </row>
    <row r="46" spans="1:15" ht="15.75" thickBot="1">
      <c r="A46" s="287"/>
      <c r="B46" s="433" t="s">
        <v>1061</v>
      </c>
      <c r="C46" s="702" t="s">
        <v>1083</v>
      </c>
      <c r="D46" s="17"/>
      <c r="E46" s="18"/>
      <c r="F46" s="260"/>
      <c r="G46" s="260"/>
      <c r="H46" s="260"/>
    </row>
    <row r="48" spans="1:15" ht="15" thickBot="1"/>
    <row r="49" spans="1:15" ht="36.75" customHeight="1">
      <c r="A49" s="1670" t="s">
        <v>6</v>
      </c>
      <c r="B49" s="1673" t="s">
        <v>633</v>
      </c>
      <c r="C49" s="1676" t="s">
        <v>8</v>
      </c>
      <c r="D49" s="1676" t="s">
        <v>9</v>
      </c>
      <c r="E49" s="1656" t="s">
        <v>812</v>
      </c>
      <c r="F49" s="1656" t="s">
        <v>11</v>
      </c>
      <c r="G49" s="1676" t="s">
        <v>12</v>
      </c>
      <c r="H49" s="1656" t="s">
        <v>13</v>
      </c>
      <c r="I49" s="1656" t="s">
        <v>269</v>
      </c>
      <c r="J49" s="1656" t="s">
        <v>59</v>
      </c>
      <c r="K49" s="1665" t="s">
        <v>635</v>
      </c>
      <c r="L49" s="1725" t="s">
        <v>636</v>
      </c>
      <c r="M49" s="1719"/>
      <c r="N49" s="1719"/>
      <c r="O49" s="1726"/>
    </row>
    <row r="50" spans="1:15" ht="37.5" customHeight="1">
      <c r="A50" s="1671"/>
      <c r="B50" s="1674"/>
      <c r="C50" s="1677"/>
      <c r="D50" s="1677"/>
      <c r="E50" s="1657"/>
      <c r="F50" s="1657"/>
      <c r="G50" s="1677"/>
      <c r="H50" s="1657"/>
      <c r="I50" s="1657"/>
      <c r="J50" s="1657"/>
      <c r="K50" s="1666"/>
      <c r="L50" s="1679" t="s">
        <v>637</v>
      </c>
      <c r="M50" s="1654"/>
      <c r="N50" s="1654"/>
      <c r="O50" s="1680"/>
    </row>
    <row r="51" spans="1:15" ht="27.75" customHeight="1" thickBot="1">
      <c r="A51" s="1672"/>
      <c r="B51" s="1675"/>
      <c r="C51" s="1678"/>
      <c r="D51" s="1678"/>
      <c r="E51" s="1658"/>
      <c r="F51" s="1658"/>
      <c r="G51" s="1678"/>
      <c r="H51" s="1658"/>
      <c r="I51" s="1658"/>
      <c r="J51" s="1658"/>
      <c r="K51" s="1667"/>
      <c r="L51" s="467" t="s">
        <v>638</v>
      </c>
      <c r="M51" s="468" t="s">
        <v>639</v>
      </c>
      <c r="N51" s="468" t="s">
        <v>640</v>
      </c>
      <c r="O51" s="466" t="s">
        <v>16</v>
      </c>
    </row>
    <row r="52" spans="1:15" s="147" customFormat="1" ht="46.5" thickBot="1">
      <c r="A52" s="601" t="s">
        <v>26</v>
      </c>
      <c r="B52" s="489" t="s">
        <v>219</v>
      </c>
      <c r="C52" s="489" t="s">
        <v>188</v>
      </c>
      <c r="D52" s="489" t="s">
        <v>263</v>
      </c>
      <c r="E52" s="490" t="s">
        <v>1399</v>
      </c>
      <c r="F52" s="492" t="s">
        <v>187</v>
      </c>
      <c r="G52" s="149" t="s">
        <v>188</v>
      </c>
      <c r="H52" s="1334" t="s">
        <v>1401</v>
      </c>
      <c r="I52" s="1335" t="s">
        <v>1400</v>
      </c>
      <c r="J52" s="1336" t="s">
        <v>28</v>
      </c>
      <c r="K52" s="1337">
        <v>35</v>
      </c>
      <c r="L52" s="154">
        <f>24747-8474</f>
        <v>16273</v>
      </c>
      <c r="M52" s="913"/>
      <c r="N52" s="913"/>
      <c r="O52" s="488">
        <f>L52</f>
        <v>16273</v>
      </c>
    </row>
    <row r="53" spans="1:15" ht="21.75" customHeight="1">
      <c r="B53" s="10" t="s">
        <v>22</v>
      </c>
      <c r="C53" s="11" t="s">
        <v>1397</v>
      </c>
      <c r="D53" s="11"/>
      <c r="E53" s="11"/>
      <c r="F53" s="12"/>
      <c r="G53" s="260"/>
      <c r="H53" s="1622" t="s">
        <v>1920</v>
      </c>
      <c r="I53" s="11" t="s">
        <v>1397</v>
      </c>
      <c r="J53" s="261"/>
      <c r="K53" s="26"/>
      <c r="N53" s="4" t="s">
        <v>23</v>
      </c>
      <c r="O53" s="580">
        <f>SUM(O52)</f>
        <v>16273</v>
      </c>
    </row>
    <row r="54" spans="1:15" ht="15">
      <c r="B54" s="13"/>
      <c r="C54" s="14" t="s">
        <v>1398</v>
      </c>
      <c r="D54" s="14"/>
      <c r="E54" s="14"/>
      <c r="F54" s="15"/>
      <c r="G54" s="260"/>
      <c r="H54" s="13"/>
      <c r="I54" s="14" t="s">
        <v>1398</v>
      </c>
      <c r="J54" s="54"/>
      <c r="K54" s="27"/>
    </row>
    <row r="55" spans="1:15" ht="15.75" thickBot="1">
      <c r="B55" s="13"/>
      <c r="C55" s="43" t="s">
        <v>707</v>
      </c>
      <c r="D55" s="14"/>
      <c r="E55" s="14"/>
      <c r="F55" s="15"/>
      <c r="G55" s="260"/>
      <c r="H55" s="71"/>
      <c r="I55" s="113" t="s">
        <v>707</v>
      </c>
      <c r="J55" s="226"/>
      <c r="K55" s="28"/>
    </row>
    <row r="56" spans="1:15" ht="15">
      <c r="B56" s="553" t="s">
        <v>818</v>
      </c>
      <c r="C56" s="700">
        <v>8221958800</v>
      </c>
      <c r="D56" s="14"/>
      <c r="E56" s="14"/>
      <c r="F56" s="15"/>
      <c r="G56" s="260"/>
      <c r="H56" s="260"/>
      <c r="I56" s="260"/>
    </row>
    <row r="57" spans="1:15" ht="15.75" thickBot="1">
      <c r="A57" s="287"/>
      <c r="B57" s="433" t="s">
        <v>1061</v>
      </c>
      <c r="C57" s="702" t="s">
        <v>1084</v>
      </c>
      <c r="D57" s="17"/>
      <c r="E57" s="17"/>
      <c r="F57" s="18"/>
      <c r="G57" s="260"/>
      <c r="H57" s="260"/>
      <c r="I57" s="260"/>
    </row>
    <row r="59" spans="1:15" ht="15" thickBot="1"/>
    <row r="60" spans="1:15" ht="37.5" customHeight="1">
      <c r="A60" s="1670" t="s">
        <v>6</v>
      </c>
      <c r="B60" s="1673" t="s">
        <v>633</v>
      </c>
      <c r="C60" s="1676" t="s">
        <v>8</v>
      </c>
      <c r="D60" s="1676" t="s">
        <v>9</v>
      </c>
      <c r="E60" s="1656" t="s">
        <v>812</v>
      </c>
      <c r="F60" s="1656" t="s">
        <v>11</v>
      </c>
      <c r="G60" s="1676" t="s">
        <v>12</v>
      </c>
      <c r="H60" s="1656" t="s">
        <v>13</v>
      </c>
      <c r="I60" s="1656" t="s">
        <v>269</v>
      </c>
      <c r="J60" s="1656" t="s">
        <v>59</v>
      </c>
      <c r="K60" s="1665" t="s">
        <v>635</v>
      </c>
      <c r="L60" s="1725" t="s">
        <v>636</v>
      </c>
      <c r="M60" s="1719"/>
      <c r="N60" s="1719"/>
      <c r="O60" s="1726"/>
    </row>
    <row r="61" spans="1:15" ht="36" customHeight="1">
      <c r="A61" s="1671"/>
      <c r="B61" s="1674"/>
      <c r="C61" s="1677"/>
      <c r="D61" s="1677"/>
      <c r="E61" s="1657"/>
      <c r="F61" s="1657"/>
      <c r="G61" s="1677"/>
      <c r="H61" s="1657"/>
      <c r="I61" s="1657"/>
      <c r="J61" s="1657"/>
      <c r="K61" s="1666"/>
      <c r="L61" s="1679" t="s">
        <v>637</v>
      </c>
      <c r="M61" s="1654"/>
      <c r="N61" s="1654"/>
      <c r="O61" s="1680"/>
    </row>
    <row r="62" spans="1:15" ht="24" customHeight="1" thickBot="1">
      <c r="A62" s="1672"/>
      <c r="B62" s="1675"/>
      <c r="C62" s="1678"/>
      <c r="D62" s="1678"/>
      <c r="E62" s="1658"/>
      <c r="F62" s="1658"/>
      <c r="G62" s="1678"/>
      <c r="H62" s="1658"/>
      <c r="I62" s="1658"/>
      <c r="J62" s="1658"/>
      <c r="K62" s="1667"/>
      <c r="L62" s="467" t="s">
        <v>638</v>
      </c>
      <c r="M62" s="785" t="s">
        <v>639</v>
      </c>
      <c r="N62" s="785" t="s">
        <v>640</v>
      </c>
      <c r="O62" s="786" t="s">
        <v>16</v>
      </c>
    </row>
    <row r="63" spans="1:15" s="25" customFormat="1" ht="18">
      <c r="A63" s="601" t="s">
        <v>26</v>
      </c>
      <c r="B63" s="148" t="s">
        <v>221</v>
      </c>
      <c r="C63" s="149" t="s">
        <v>188</v>
      </c>
      <c r="D63" s="150" t="s">
        <v>202</v>
      </c>
      <c r="E63" s="150">
        <v>35</v>
      </c>
      <c r="F63" s="150" t="s">
        <v>187</v>
      </c>
      <c r="G63" s="150" t="s">
        <v>188</v>
      </c>
      <c r="H63" s="905" t="s">
        <v>222</v>
      </c>
      <c r="I63" s="478">
        <v>39304</v>
      </c>
      <c r="J63" s="151" t="s">
        <v>65</v>
      </c>
      <c r="K63" s="152">
        <v>10</v>
      </c>
      <c r="L63" s="153"/>
      <c r="M63" s="158">
        <f>74981-64276</f>
        <v>10705</v>
      </c>
      <c r="N63" s="158">
        <f>193804-166352</f>
        <v>27452</v>
      </c>
      <c r="O63" s="160">
        <f>SUM(M63:N63)</f>
        <v>38157</v>
      </c>
    </row>
    <row r="64" spans="1:15" s="25" customFormat="1" ht="18">
      <c r="A64" s="575" t="s">
        <v>26</v>
      </c>
      <c r="B64" s="134" t="s">
        <v>224</v>
      </c>
      <c r="C64" s="135" t="s">
        <v>212</v>
      </c>
      <c r="D64" s="135"/>
      <c r="E64" s="135">
        <v>16</v>
      </c>
      <c r="F64" s="135" t="s">
        <v>199</v>
      </c>
      <c r="G64" s="135" t="s">
        <v>200</v>
      </c>
      <c r="H64" s="907" t="s">
        <v>225</v>
      </c>
      <c r="I64" s="478">
        <v>40406</v>
      </c>
      <c r="J64" s="138" t="s">
        <v>65</v>
      </c>
      <c r="K64" s="139">
        <v>5</v>
      </c>
      <c r="L64" s="155"/>
      <c r="M64" s="145">
        <f>12282-12278</f>
        <v>4</v>
      </c>
      <c r="N64" s="145">
        <f>29216-29168</f>
        <v>48</v>
      </c>
      <c r="O64" s="160">
        <f>SUM(M64:N64)</f>
        <v>52</v>
      </c>
    </row>
    <row r="65" spans="1:15" s="25" customFormat="1" ht="18">
      <c r="A65" s="575" t="s">
        <v>26</v>
      </c>
      <c r="B65" s="134"/>
      <c r="C65" s="135" t="s">
        <v>200</v>
      </c>
      <c r="D65" s="135"/>
      <c r="E65" s="135" t="s">
        <v>859</v>
      </c>
      <c r="F65" s="135" t="s">
        <v>199</v>
      </c>
      <c r="G65" s="135" t="s">
        <v>200</v>
      </c>
      <c r="H65" s="907" t="s">
        <v>227</v>
      </c>
      <c r="I65" s="479">
        <v>40410</v>
      </c>
      <c r="J65" s="138" t="s">
        <v>65</v>
      </c>
      <c r="K65" s="139">
        <v>8</v>
      </c>
      <c r="L65" s="155"/>
      <c r="M65" s="145">
        <f>7564-6660</f>
        <v>904</v>
      </c>
      <c r="N65" s="145">
        <f>18828-16592</f>
        <v>2236</v>
      </c>
      <c r="O65" s="160">
        <f>SUM(M65:N65)</f>
        <v>3140</v>
      </c>
    </row>
    <row r="66" spans="1:15" s="25" customFormat="1" ht="18">
      <c r="A66" s="575" t="s">
        <v>26</v>
      </c>
      <c r="B66" s="134" t="s">
        <v>228</v>
      </c>
      <c r="C66" s="135" t="s">
        <v>229</v>
      </c>
      <c r="D66" s="135"/>
      <c r="E66" s="135"/>
      <c r="F66" s="135" t="s">
        <v>187</v>
      </c>
      <c r="G66" s="135" t="s">
        <v>188</v>
      </c>
      <c r="H66" s="907" t="s">
        <v>230</v>
      </c>
      <c r="I66" s="478">
        <v>40412</v>
      </c>
      <c r="J66" s="138" t="s">
        <v>65</v>
      </c>
      <c r="K66" s="139">
        <v>5</v>
      </c>
      <c r="L66" s="155"/>
      <c r="M66" s="145">
        <f>6174-4759</f>
        <v>1415</v>
      </c>
      <c r="N66" s="145">
        <f>14557-11681</f>
        <v>2876</v>
      </c>
      <c r="O66" s="160">
        <f>SUM(M66:N66)</f>
        <v>4291</v>
      </c>
    </row>
    <row r="67" spans="1:15" s="25" customFormat="1" ht="18">
      <c r="A67" s="575" t="s">
        <v>26</v>
      </c>
      <c r="B67" s="134"/>
      <c r="C67" s="144" t="s">
        <v>188</v>
      </c>
      <c r="D67" s="135" t="s">
        <v>263</v>
      </c>
      <c r="E67" s="135" t="s">
        <v>972</v>
      </c>
      <c r="F67" s="135" t="s">
        <v>187</v>
      </c>
      <c r="G67" s="135" t="s">
        <v>188</v>
      </c>
      <c r="H67" s="908" t="s">
        <v>973</v>
      </c>
      <c r="I67" s="478">
        <v>39309</v>
      </c>
      <c r="J67" s="138" t="s">
        <v>65</v>
      </c>
      <c r="K67" s="139">
        <v>5</v>
      </c>
      <c r="L67" s="155"/>
      <c r="M67" s="145">
        <f>11133-10747</f>
        <v>386</v>
      </c>
      <c r="N67" s="145">
        <f>37667-36121</f>
        <v>1546</v>
      </c>
      <c r="O67" s="160">
        <f>SUM(M67:N67)</f>
        <v>1932</v>
      </c>
    </row>
    <row r="68" spans="1:15" s="25" customFormat="1" ht="18">
      <c r="A68" s="575" t="s">
        <v>26</v>
      </c>
      <c r="B68" s="134"/>
      <c r="C68" s="144" t="s">
        <v>204</v>
      </c>
      <c r="D68" s="135" t="s">
        <v>239</v>
      </c>
      <c r="E68" s="135"/>
      <c r="F68" s="135" t="s">
        <v>187</v>
      </c>
      <c r="G68" s="135" t="s">
        <v>188</v>
      </c>
      <c r="H68" s="908" t="s">
        <v>974</v>
      </c>
      <c r="I68" s="478">
        <v>70958680</v>
      </c>
      <c r="J68" s="410" t="s">
        <v>28</v>
      </c>
      <c r="K68" s="139">
        <v>33</v>
      </c>
      <c r="L68" s="449">
        <f>31950-26288</f>
        <v>5662</v>
      </c>
      <c r="M68" s="156"/>
      <c r="N68" s="156"/>
      <c r="O68" s="146">
        <f>L68</f>
        <v>5662</v>
      </c>
    </row>
    <row r="69" spans="1:15" s="25" customFormat="1" ht="18">
      <c r="A69" s="575" t="s">
        <v>26</v>
      </c>
      <c r="B69" s="134" t="s">
        <v>228</v>
      </c>
      <c r="C69" s="144"/>
      <c r="D69" s="135" t="s">
        <v>234</v>
      </c>
      <c r="E69" s="135"/>
      <c r="F69" s="135" t="s">
        <v>187</v>
      </c>
      <c r="G69" s="135" t="s">
        <v>188</v>
      </c>
      <c r="H69" s="908" t="s">
        <v>235</v>
      </c>
      <c r="I69" s="478">
        <v>39853</v>
      </c>
      <c r="J69" s="138" t="s">
        <v>65</v>
      </c>
      <c r="K69" s="139">
        <v>16</v>
      </c>
      <c r="L69" s="156"/>
      <c r="M69" s="145">
        <f>12742-11104</f>
        <v>1638</v>
      </c>
      <c r="N69" s="145">
        <f>35390-31690</f>
        <v>3700</v>
      </c>
      <c r="O69" s="146">
        <f>M69+N69</f>
        <v>5338</v>
      </c>
    </row>
    <row r="70" spans="1:15" s="25" customFormat="1" ht="18">
      <c r="A70" s="575" t="s">
        <v>26</v>
      </c>
      <c r="B70" s="134" t="s">
        <v>228</v>
      </c>
      <c r="C70" s="135" t="s">
        <v>236</v>
      </c>
      <c r="D70" s="135"/>
      <c r="E70" s="135"/>
      <c r="F70" s="135" t="s">
        <v>187</v>
      </c>
      <c r="G70" s="135" t="s">
        <v>188</v>
      </c>
      <c r="H70" s="908" t="s">
        <v>237</v>
      </c>
      <c r="I70" s="479">
        <v>39638</v>
      </c>
      <c r="J70" s="138" t="s">
        <v>65</v>
      </c>
      <c r="K70" s="139">
        <v>16</v>
      </c>
      <c r="L70" s="156"/>
      <c r="M70" s="145">
        <f>12279-10851</f>
        <v>1428</v>
      </c>
      <c r="N70" s="145">
        <f>43231-39964</f>
        <v>3267</v>
      </c>
      <c r="O70" s="146">
        <f>M70+N70</f>
        <v>4695</v>
      </c>
    </row>
    <row r="71" spans="1:15" s="25" customFormat="1" ht="18">
      <c r="A71" s="575" t="s">
        <v>26</v>
      </c>
      <c r="B71" s="1513" t="s">
        <v>228</v>
      </c>
      <c r="C71" s="112" t="s">
        <v>1095</v>
      </c>
      <c r="D71" s="1514" t="s">
        <v>1093</v>
      </c>
      <c r="E71" s="337" t="s">
        <v>1094</v>
      </c>
      <c r="F71" s="337" t="s">
        <v>187</v>
      </c>
      <c r="G71" s="792" t="s">
        <v>188</v>
      </c>
      <c r="H71" s="908" t="s">
        <v>1332</v>
      </c>
      <c r="I71" s="182">
        <v>216442</v>
      </c>
      <c r="J71" s="534" t="s">
        <v>28</v>
      </c>
      <c r="K71" s="139">
        <v>11</v>
      </c>
      <c r="L71" s="268">
        <f>11843-9245</f>
        <v>2598</v>
      </c>
      <c r="M71" s="269"/>
      <c r="N71" s="269"/>
      <c r="O71" s="268">
        <f>L71</f>
        <v>2598</v>
      </c>
    </row>
    <row r="72" spans="1:15" s="25" customFormat="1" ht="18.75" thickBot="1">
      <c r="A72" s="575" t="s">
        <v>26</v>
      </c>
      <c r="B72" s="55"/>
      <c r="C72" s="438" t="s">
        <v>200</v>
      </c>
      <c r="D72" s="55"/>
      <c r="E72" s="337" t="s">
        <v>1403</v>
      </c>
      <c r="F72" s="135" t="s">
        <v>199</v>
      </c>
      <c r="G72" s="135" t="s">
        <v>200</v>
      </c>
      <c r="H72" s="908" t="s">
        <v>1831</v>
      </c>
      <c r="I72" s="182">
        <v>89125011</v>
      </c>
      <c r="J72" s="534" t="s">
        <v>28</v>
      </c>
      <c r="K72" s="139">
        <v>5</v>
      </c>
      <c r="L72" s="268">
        <f>131*12</f>
        <v>1572</v>
      </c>
      <c r="M72" s="269"/>
      <c r="N72" s="269"/>
      <c r="O72" s="268">
        <f>L72</f>
        <v>1572</v>
      </c>
    </row>
    <row r="73" spans="1:15" ht="37.5" customHeight="1">
      <c r="A73" s="55"/>
      <c r="B73" s="240" t="s">
        <v>22</v>
      </c>
      <c r="C73" s="241" t="s">
        <v>706</v>
      </c>
      <c r="D73" s="243"/>
      <c r="E73" s="1330"/>
      <c r="F73" s="1330"/>
      <c r="G73" s="1622" t="s">
        <v>1920</v>
      </c>
      <c r="H73" s="1331" t="s">
        <v>1830</v>
      </c>
      <c r="L73" s="31"/>
      <c r="M73" s="31"/>
      <c r="N73" s="32" t="s">
        <v>23</v>
      </c>
      <c r="O73" s="580">
        <f>SUM(O63:O72)</f>
        <v>67437</v>
      </c>
    </row>
    <row r="74" spans="1:15" ht="15">
      <c r="B74" s="244"/>
      <c r="C74" s="245" t="s">
        <v>1085</v>
      </c>
      <c r="D74" s="247"/>
      <c r="E74" s="1330"/>
      <c r="F74" s="1330"/>
      <c r="G74" s="192"/>
      <c r="H74" s="1332" t="s">
        <v>1085</v>
      </c>
    </row>
    <row r="75" spans="1:15" ht="15.75" thickBot="1">
      <c r="B75" s="192"/>
      <c r="C75" s="246" t="s">
        <v>707</v>
      </c>
      <c r="D75" s="247"/>
      <c r="E75" s="1330"/>
      <c r="F75" s="1330"/>
      <c r="G75" s="193"/>
      <c r="H75" s="251" t="s">
        <v>707</v>
      </c>
      <c r="M75" s="31"/>
      <c r="N75" s="31"/>
    </row>
    <row r="76" spans="1:15" ht="15">
      <c r="B76" s="604" t="s">
        <v>160</v>
      </c>
      <c r="C76" s="1272">
        <v>8222147185</v>
      </c>
      <c r="D76" s="247"/>
      <c r="E76" s="1330"/>
      <c r="F76" s="1330"/>
      <c r="G76" s="1330"/>
      <c r="H76" s="1330"/>
    </row>
    <row r="77" spans="1:15" ht="15.75" thickBot="1">
      <c r="B77" s="465" t="s">
        <v>1061</v>
      </c>
      <c r="C77" s="1274" t="s">
        <v>1086</v>
      </c>
      <c r="D77" s="251"/>
      <c r="E77" s="1330"/>
      <c r="F77" s="1330"/>
      <c r="G77" s="1330"/>
      <c r="H77" s="1330"/>
    </row>
    <row r="78" spans="1:15" ht="15" thickBot="1"/>
    <row r="79" spans="1:15" ht="38.25" customHeight="1">
      <c r="A79" s="1670" t="s">
        <v>6</v>
      </c>
      <c r="B79" s="1673" t="s">
        <v>633</v>
      </c>
      <c r="C79" s="1676" t="s">
        <v>8</v>
      </c>
      <c r="D79" s="1676" t="s">
        <v>9</v>
      </c>
      <c r="E79" s="1656" t="s">
        <v>812</v>
      </c>
      <c r="F79" s="1656" t="s">
        <v>11</v>
      </c>
      <c r="G79" s="1676" t="s">
        <v>12</v>
      </c>
      <c r="H79" s="1656" t="s">
        <v>13</v>
      </c>
      <c r="I79" s="1656" t="s">
        <v>269</v>
      </c>
      <c r="J79" s="1656" t="s">
        <v>59</v>
      </c>
      <c r="K79" s="1665" t="s">
        <v>635</v>
      </c>
      <c r="L79" s="1725" t="s">
        <v>636</v>
      </c>
      <c r="M79" s="1719"/>
      <c r="N79" s="1719"/>
      <c r="O79" s="1726"/>
    </row>
    <row r="80" spans="1:15" ht="33.75" customHeight="1">
      <c r="A80" s="1671"/>
      <c r="B80" s="1674"/>
      <c r="C80" s="1677"/>
      <c r="D80" s="1677"/>
      <c r="E80" s="1657"/>
      <c r="F80" s="1657"/>
      <c r="G80" s="1677"/>
      <c r="H80" s="1657"/>
      <c r="I80" s="1657"/>
      <c r="J80" s="1657"/>
      <c r="K80" s="1666"/>
      <c r="L80" s="1679" t="s">
        <v>637</v>
      </c>
      <c r="M80" s="1654"/>
      <c r="N80" s="1654"/>
      <c r="O80" s="1680"/>
    </row>
    <row r="81" spans="1:15" ht="24.75" customHeight="1" thickBot="1">
      <c r="A81" s="1672"/>
      <c r="B81" s="1675"/>
      <c r="C81" s="1678"/>
      <c r="D81" s="1678"/>
      <c r="E81" s="1658"/>
      <c r="F81" s="1658"/>
      <c r="G81" s="1678"/>
      <c r="H81" s="1658"/>
      <c r="I81" s="1658"/>
      <c r="J81" s="1658"/>
      <c r="K81" s="1667"/>
      <c r="L81" s="467" t="s">
        <v>638</v>
      </c>
      <c r="M81" s="468" t="s">
        <v>639</v>
      </c>
      <c r="N81" s="468" t="s">
        <v>640</v>
      </c>
      <c r="O81" s="466" t="s">
        <v>16</v>
      </c>
    </row>
    <row r="82" spans="1:15" s="157" customFormat="1" ht="46.5" thickBot="1">
      <c r="A82" s="601" t="s">
        <v>26</v>
      </c>
      <c r="B82" s="1324" t="s">
        <v>238</v>
      </c>
      <c r="C82" s="1324" t="s">
        <v>204</v>
      </c>
      <c r="D82" s="1329" t="s">
        <v>239</v>
      </c>
      <c r="E82" s="503" t="s">
        <v>240</v>
      </c>
      <c r="F82" s="495" t="s">
        <v>187</v>
      </c>
      <c r="G82" s="495" t="s">
        <v>188</v>
      </c>
      <c r="H82" s="906" t="s">
        <v>241</v>
      </c>
      <c r="I82" s="504" t="s">
        <v>951</v>
      </c>
      <c r="J82" s="498" t="s">
        <v>65</v>
      </c>
      <c r="K82" s="499">
        <v>30</v>
      </c>
      <c r="L82" s="505"/>
      <c r="M82" s="501">
        <f>33661-28524</f>
        <v>5137</v>
      </c>
      <c r="N82" s="501">
        <f>58310-49768</f>
        <v>8542</v>
      </c>
      <c r="O82" s="501">
        <f>SUM(M82:N82)</f>
        <v>13679</v>
      </c>
    </row>
    <row r="83" spans="1:15" ht="54.75" customHeight="1">
      <c r="B83" s="240" t="s">
        <v>22</v>
      </c>
      <c r="C83" s="241" t="s">
        <v>706</v>
      </c>
      <c r="D83" s="243"/>
      <c r="G83" s="1622" t="s">
        <v>1920</v>
      </c>
      <c r="H83" s="42" t="s">
        <v>1890</v>
      </c>
      <c r="N83" s="4" t="s">
        <v>23</v>
      </c>
      <c r="O83" s="580">
        <f>SUM(O82)</f>
        <v>13679</v>
      </c>
    </row>
    <row r="84" spans="1:15" ht="15">
      <c r="B84" s="244"/>
      <c r="C84" s="245" t="s">
        <v>1085</v>
      </c>
      <c r="D84" s="247"/>
      <c r="G84" s="13"/>
      <c r="H84" s="15" t="s">
        <v>950</v>
      </c>
    </row>
    <row r="85" spans="1:15" ht="15">
      <c r="B85" s="192"/>
      <c r="C85" s="246" t="s">
        <v>707</v>
      </c>
      <c r="D85" s="247"/>
      <c r="G85" s="13"/>
      <c r="H85" s="176" t="s">
        <v>204</v>
      </c>
    </row>
    <row r="86" spans="1:15" ht="15.75" thickBot="1">
      <c r="B86" s="604" t="s">
        <v>160</v>
      </c>
      <c r="C86" s="1272">
        <v>8222147185</v>
      </c>
      <c r="D86" s="247"/>
      <c r="G86" s="71"/>
      <c r="H86" s="177" t="s">
        <v>707</v>
      </c>
    </row>
    <row r="87" spans="1:15" ht="15.75" thickBot="1">
      <c r="B87" s="465" t="s">
        <v>1061</v>
      </c>
      <c r="C87" s="1274" t="s">
        <v>1086</v>
      </c>
      <c r="D87" s="251"/>
    </row>
    <row r="88" spans="1:15">
      <c r="A88" s="287"/>
      <c r="B88" s="594"/>
      <c r="C88" s="335"/>
      <c r="D88" s="54"/>
    </row>
    <row r="89" spans="1:15" ht="15" thickBot="1"/>
    <row r="90" spans="1:15" ht="39.75" customHeight="1">
      <c r="A90" s="1670" t="s">
        <v>6</v>
      </c>
      <c r="B90" s="1673" t="s">
        <v>633</v>
      </c>
      <c r="C90" s="1676" t="s">
        <v>8</v>
      </c>
      <c r="D90" s="1676" t="s">
        <v>9</v>
      </c>
      <c r="E90" s="1656" t="s">
        <v>812</v>
      </c>
      <c r="F90" s="1656" t="s">
        <v>11</v>
      </c>
      <c r="G90" s="1676" t="s">
        <v>12</v>
      </c>
      <c r="H90" s="1656" t="s">
        <v>13</v>
      </c>
      <c r="I90" s="1656" t="s">
        <v>269</v>
      </c>
      <c r="J90" s="1656" t="s">
        <v>59</v>
      </c>
      <c r="K90" s="1665" t="s">
        <v>635</v>
      </c>
      <c r="L90" s="1725" t="s">
        <v>636</v>
      </c>
      <c r="M90" s="1719"/>
      <c r="N90" s="1719"/>
      <c r="O90" s="1726"/>
    </row>
    <row r="91" spans="1:15" ht="35.25" customHeight="1">
      <c r="A91" s="1671"/>
      <c r="B91" s="1674"/>
      <c r="C91" s="1677"/>
      <c r="D91" s="1677"/>
      <c r="E91" s="1657"/>
      <c r="F91" s="1657"/>
      <c r="G91" s="1677"/>
      <c r="H91" s="1657"/>
      <c r="I91" s="1657"/>
      <c r="J91" s="1657"/>
      <c r="K91" s="1666"/>
      <c r="L91" s="1679" t="s">
        <v>637</v>
      </c>
      <c r="M91" s="1654"/>
      <c r="N91" s="1654"/>
      <c r="O91" s="1680"/>
    </row>
    <row r="92" spans="1:15" ht="31.5" customHeight="1" thickBot="1">
      <c r="A92" s="1672"/>
      <c r="B92" s="1675"/>
      <c r="C92" s="1678"/>
      <c r="D92" s="1678"/>
      <c r="E92" s="1658"/>
      <c r="F92" s="1658"/>
      <c r="G92" s="1678"/>
      <c r="H92" s="1658"/>
      <c r="I92" s="1658"/>
      <c r="J92" s="1658"/>
      <c r="K92" s="1667"/>
      <c r="L92" s="467" t="s">
        <v>638</v>
      </c>
      <c r="M92" s="468" t="s">
        <v>639</v>
      </c>
      <c r="N92" s="468" t="s">
        <v>640</v>
      </c>
      <c r="O92" s="466" t="s">
        <v>16</v>
      </c>
    </row>
    <row r="93" spans="1:15" s="157" customFormat="1" ht="46.5" thickBot="1">
      <c r="A93" s="601" t="s">
        <v>26</v>
      </c>
      <c r="B93" s="1324" t="s">
        <v>242</v>
      </c>
      <c r="C93" s="1325" t="s">
        <v>188</v>
      </c>
      <c r="D93" s="1328" t="s">
        <v>162</v>
      </c>
      <c r="E93" s="495">
        <v>2</v>
      </c>
      <c r="F93" s="495" t="s">
        <v>187</v>
      </c>
      <c r="G93" s="506" t="s">
        <v>188</v>
      </c>
      <c r="H93" s="906" t="s">
        <v>243</v>
      </c>
      <c r="I93" s="507">
        <v>39311</v>
      </c>
      <c r="J93" s="498" t="s">
        <v>65</v>
      </c>
      <c r="K93" s="499">
        <v>35</v>
      </c>
      <c r="L93" s="505"/>
      <c r="M93" s="502">
        <f>160845-138194</f>
        <v>22651</v>
      </c>
      <c r="N93" s="502">
        <f>294377-250557</f>
        <v>43820</v>
      </c>
      <c r="O93" s="501">
        <f>SUM(M93:N93)</f>
        <v>66471</v>
      </c>
    </row>
    <row r="94" spans="1:15" ht="51.75" customHeight="1">
      <c r="B94" s="240" t="s">
        <v>22</v>
      </c>
      <c r="C94" s="241" t="s">
        <v>706</v>
      </c>
      <c r="D94" s="243"/>
      <c r="G94" s="1622" t="s">
        <v>1920</v>
      </c>
      <c r="H94" s="42" t="s">
        <v>1891</v>
      </c>
      <c r="N94" s="4" t="s">
        <v>23</v>
      </c>
      <c r="O94" s="580">
        <f>SUM(O93)</f>
        <v>66471</v>
      </c>
    </row>
    <row r="95" spans="1:15" ht="15">
      <c r="B95" s="244"/>
      <c r="C95" s="245" t="s">
        <v>1085</v>
      </c>
      <c r="D95" s="247"/>
      <c r="G95" s="13"/>
      <c r="H95" s="15" t="s">
        <v>959</v>
      </c>
    </row>
    <row r="96" spans="1:15" ht="15.75" thickBot="1">
      <c r="B96" s="192"/>
      <c r="C96" s="246" t="s">
        <v>707</v>
      </c>
      <c r="D96" s="247"/>
      <c r="G96" s="71"/>
      <c r="H96" s="177" t="s">
        <v>707</v>
      </c>
    </row>
    <row r="97" spans="1:15" ht="15">
      <c r="B97" s="604" t="s">
        <v>160</v>
      </c>
      <c r="C97" s="1272">
        <v>8222147185</v>
      </c>
      <c r="D97" s="247"/>
    </row>
    <row r="98" spans="1:15" ht="15.75" thickBot="1">
      <c r="A98" s="287"/>
      <c r="B98" s="465" t="s">
        <v>1061</v>
      </c>
      <c r="C98" s="1274" t="s">
        <v>1086</v>
      </c>
      <c r="D98" s="251"/>
    </row>
    <row r="100" spans="1:15" ht="15" thickBot="1"/>
    <row r="101" spans="1:15" ht="36.75" customHeight="1">
      <c r="A101" s="1670" t="s">
        <v>6</v>
      </c>
      <c r="B101" s="1673" t="s">
        <v>633</v>
      </c>
      <c r="C101" s="1676" t="s">
        <v>8</v>
      </c>
      <c r="D101" s="1676" t="s">
        <v>9</v>
      </c>
      <c r="E101" s="1656" t="s">
        <v>812</v>
      </c>
      <c r="F101" s="1656" t="s">
        <v>11</v>
      </c>
      <c r="G101" s="1676" t="s">
        <v>12</v>
      </c>
      <c r="H101" s="1656" t="s">
        <v>13</v>
      </c>
      <c r="I101" s="1656" t="s">
        <v>269</v>
      </c>
      <c r="J101" s="1656" t="s">
        <v>59</v>
      </c>
      <c r="K101" s="1665" t="s">
        <v>635</v>
      </c>
      <c r="L101" s="1725" t="s">
        <v>636</v>
      </c>
      <c r="M101" s="1719"/>
      <c r="N101" s="1719"/>
      <c r="O101" s="1726"/>
    </row>
    <row r="102" spans="1:15" ht="35.25" customHeight="1">
      <c r="A102" s="1671"/>
      <c r="B102" s="1674"/>
      <c r="C102" s="1677"/>
      <c r="D102" s="1677"/>
      <c r="E102" s="1657"/>
      <c r="F102" s="1657"/>
      <c r="G102" s="1677"/>
      <c r="H102" s="1657"/>
      <c r="I102" s="1657"/>
      <c r="J102" s="1657"/>
      <c r="K102" s="1666"/>
      <c r="L102" s="1679" t="s">
        <v>637</v>
      </c>
      <c r="M102" s="1654"/>
      <c r="N102" s="1654"/>
      <c r="O102" s="1680"/>
    </row>
    <row r="103" spans="1:15" ht="23.25" customHeight="1" thickBot="1">
      <c r="A103" s="1672"/>
      <c r="B103" s="1675"/>
      <c r="C103" s="1678"/>
      <c r="D103" s="1678"/>
      <c r="E103" s="1658"/>
      <c r="F103" s="1658"/>
      <c r="G103" s="1678"/>
      <c r="H103" s="1658"/>
      <c r="I103" s="1658"/>
      <c r="J103" s="1658"/>
      <c r="K103" s="1667"/>
      <c r="L103" s="467" t="s">
        <v>638</v>
      </c>
      <c r="M103" s="468" t="s">
        <v>639</v>
      </c>
      <c r="N103" s="468" t="s">
        <v>640</v>
      </c>
      <c r="O103" s="466" t="s">
        <v>16</v>
      </c>
    </row>
    <row r="104" spans="1:15" s="157" customFormat="1" ht="18.75" thickBot="1">
      <c r="A104" s="601" t="s">
        <v>26</v>
      </c>
      <c r="B104" s="1324"/>
      <c r="C104" s="1325" t="s">
        <v>200</v>
      </c>
      <c r="D104" s="1328" t="s">
        <v>162</v>
      </c>
      <c r="E104" s="495">
        <v>8</v>
      </c>
      <c r="F104" s="495" t="s">
        <v>199</v>
      </c>
      <c r="G104" s="506" t="s">
        <v>200</v>
      </c>
      <c r="H104" s="906" t="s">
        <v>244</v>
      </c>
      <c r="I104" s="497" t="s">
        <v>955</v>
      </c>
      <c r="J104" s="498" t="s">
        <v>65</v>
      </c>
      <c r="K104" s="499">
        <v>15</v>
      </c>
      <c r="L104" s="505"/>
      <c r="M104" s="502">
        <f>89167-76516</f>
        <v>12651</v>
      </c>
      <c r="N104" s="502">
        <f>174414-149709</f>
        <v>24705</v>
      </c>
      <c r="O104" s="508">
        <f>SUM(M104:N104)</f>
        <v>37356</v>
      </c>
    </row>
    <row r="105" spans="1:15" ht="54.75" customHeight="1">
      <c r="B105" s="240" t="s">
        <v>22</v>
      </c>
      <c r="C105" s="241" t="s">
        <v>706</v>
      </c>
      <c r="D105" s="243"/>
      <c r="G105" s="1622" t="s">
        <v>1920</v>
      </c>
      <c r="H105" s="42" t="s">
        <v>1892</v>
      </c>
      <c r="N105" s="4" t="s">
        <v>23</v>
      </c>
      <c r="O105" s="580">
        <f>SUM(O104)</f>
        <v>37356</v>
      </c>
    </row>
    <row r="106" spans="1:15" ht="15">
      <c r="B106" s="244"/>
      <c r="C106" s="245" t="s">
        <v>1085</v>
      </c>
      <c r="D106" s="247"/>
      <c r="G106" s="13"/>
      <c r="H106" s="15" t="s">
        <v>953</v>
      </c>
    </row>
    <row r="107" spans="1:15" ht="15.75" thickBot="1">
      <c r="B107" s="192"/>
      <c r="C107" s="246" t="s">
        <v>707</v>
      </c>
      <c r="D107" s="247"/>
      <c r="G107" s="71"/>
      <c r="H107" s="177" t="s">
        <v>954</v>
      </c>
    </row>
    <row r="108" spans="1:15" ht="15">
      <c r="B108" s="604" t="s">
        <v>160</v>
      </c>
      <c r="C108" s="1272">
        <v>8222147185</v>
      </c>
      <c r="D108" s="247"/>
    </row>
    <row r="109" spans="1:15" ht="15.75" thickBot="1">
      <c r="A109" s="287"/>
      <c r="B109" s="465" t="s">
        <v>1061</v>
      </c>
      <c r="C109" s="1274" t="s">
        <v>1086</v>
      </c>
      <c r="D109" s="251"/>
    </row>
    <row r="111" spans="1:15" ht="15" thickBot="1"/>
    <row r="112" spans="1:15" ht="45" customHeight="1">
      <c r="A112" s="1670" t="s">
        <v>6</v>
      </c>
      <c r="B112" s="1673" t="s">
        <v>633</v>
      </c>
      <c r="C112" s="1676" t="s">
        <v>8</v>
      </c>
      <c r="D112" s="1676" t="s">
        <v>9</v>
      </c>
      <c r="E112" s="1656" t="s">
        <v>812</v>
      </c>
      <c r="F112" s="1656" t="s">
        <v>11</v>
      </c>
      <c r="G112" s="1676" t="s">
        <v>12</v>
      </c>
      <c r="H112" s="1656" t="s">
        <v>13</v>
      </c>
      <c r="I112" s="1656" t="s">
        <v>269</v>
      </c>
      <c r="J112" s="1656" t="s">
        <v>59</v>
      </c>
      <c r="K112" s="1665" t="s">
        <v>635</v>
      </c>
      <c r="L112" s="1725" t="s">
        <v>636</v>
      </c>
      <c r="M112" s="1719"/>
      <c r="N112" s="1719"/>
      <c r="O112" s="1726"/>
    </row>
    <row r="113" spans="1:15" ht="34.5" customHeight="1">
      <c r="A113" s="1671"/>
      <c r="B113" s="1674"/>
      <c r="C113" s="1677"/>
      <c r="D113" s="1677"/>
      <c r="E113" s="1657"/>
      <c r="F113" s="1657"/>
      <c r="G113" s="1677"/>
      <c r="H113" s="1657"/>
      <c r="I113" s="1657"/>
      <c r="J113" s="1657"/>
      <c r="K113" s="1666"/>
      <c r="L113" s="1679" t="s">
        <v>637</v>
      </c>
      <c r="M113" s="1654"/>
      <c r="N113" s="1654"/>
      <c r="O113" s="1680"/>
    </row>
    <row r="114" spans="1:15" ht="30" customHeight="1" thickBot="1">
      <c r="A114" s="1672"/>
      <c r="B114" s="1675"/>
      <c r="C114" s="1678"/>
      <c r="D114" s="1678"/>
      <c r="E114" s="1658"/>
      <c r="F114" s="1658"/>
      <c r="G114" s="1678"/>
      <c r="H114" s="1658"/>
      <c r="I114" s="1658"/>
      <c r="J114" s="1658"/>
      <c r="K114" s="1667"/>
      <c r="L114" s="467" t="s">
        <v>638</v>
      </c>
      <c r="M114" s="468" t="s">
        <v>639</v>
      </c>
      <c r="N114" s="468" t="s">
        <v>640</v>
      </c>
      <c r="O114" s="466" t="s">
        <v>16</v>
      </c>
    </row>
    <row r="115" spans="1:15" s="157" customFormat="1" ht="46.5" thickBot="1">
      <c r="A115" s="601" t="s">
        <v>26</v>
      </c>
      <c r="B115" s="1324" t="s">
        <v>245</v>
      </c>
      <c r="C115" s="1325" t="s">
        <v>188</v>
      </c>
      <c r="D115" s="1328" t="s">
        <v>246</v>
      </c>
      <c r="E115" s="1328">
        <v>3</v>
      </c>
      <c r="F115" s="495" t="s">
        <v>187</v>
      </c>
      <c r="G115" s="1344" t="s">
        <v>188</v>
      </c>
      <c r="H115" s="1345" t="s">
        <v>247</v>
      </c>
      <c r="I115" s="1346">
        <v>50437466</v>
      </c>
      <c r="J115" s="510" t="s">
        <v>21</v>
      </c>
      <c r="K115" s="499">
        <v>40</v>
      </c>
      <c r="L115" s="511">
        <f>(5036.4-3426.5)*30</f>
        <v>48296.999999999985</v>
      </c>
      <c r="M115" s="512"/>
      <c r="N115" s="512"/>
      <c r="O115" s="513">
        <f>L115</f>
        <v>48296.999999999985</v>
      </c>
    </row>
    <row r="116" spans="1:15" ht="35.25" customHeight="1">
      <c r="B116" s="240" t="s">
        <v>22</v>
      </c>
      <c r="C116" s="241" t="s">
        <v>706</v>
      </c>
      <c r="D116" s="243"/>
      <c r="E116" s="54"/>
      <c r="G116" s="1622" t="s">
        <v>1920</v>
      </c>
      <c r="H116" s="11" t="s">
        <v>1893</v>
      </c>
      <c r="I116" s="12"/>
      <c r="N116" s="4" t="s">
        <v>23</v>
      </c>
      <c r="O116" s="580">
        <f>SUM(O115)</f>
        <v>48296.999999999985</v>
      </c>
    </row>
    <row r="117" spans="1:15" ht="15">
      <c r="B117" s="244"/>
      <c r="C117" s="245" t="s">
        <v>1085</v>
      </c>
      <c r="D117" s="247"/>
      <c r="E117" s="54"/>
      <c r="G117" s="13"/>
      <c r="H117" s="14" t="s">
        <v>952</v>
      </c>
      <c r="I117" s="15"/>
    </row>
    <row r="118" spans="1:15" ht="15.75" thickBot="1">
      <c r="B118" s="192"/>
      <c r="C118" s="246" t="s">
        <v>707</v>
      </c>
      <c r="D118" s="247"/>
      <c r="E118" s="54"/>
      <c r="G118" s="71"/>
      <c r="H118" s="113" t="s">
        <v>707</v>
      </c>
      <c r="I118" s="18"/>
    </row>
    <row r="119" spans="1:15" ht="15">
      <c r="B119" s="604" t="s">
        <v>160</v>
      </c>
      <c r="C119" s="1272">
        <v>8222147185</v>
      </c>
      <c r="D119" s="247"/>
      <c r="E119" s="54"/>
    </row>
    <row r="120" spans="1:15" ht="15.75" thickBot="1">
      <c r="A120" s="287"/>
      <c r="B120" s="465" t="s">
        <v>1061</v>
      </c>
      <c r="C120" s="1274" t="s">
        <v>1086</v>
      </c>
      <c r="D120" s="251"/>
      <c r="E120" s="54"/>
    </row>
    <row r="122" spans="1:15" ht="15" thickBot="1"/>
    <row r="123" spans="1:15" ht="37.5" customHeight="1">
      <c r="A123" s="1670" t="s">
        <v>6</v>
      </c>
      <c r="B123" s="1673" t="s">
        <v>633</v>
      </c>
      <c r="C123" s="1676" t="s">
        <v>8</v>
      </c>
      <c r="D123" s="1676" t="s">
        <v>9</v>
      </c>
      <c r="E123" s="1656" t="s">
        <v>812</v>
      </c>
      <c r="F123" s="1656" t="s">
        <v>11</v>
      </c>
      <c r="G123" s="1676" t="s">
        <v>12</v>
      </c>
      <c r="H123" s="1656" t="s">
        <v>13</v>
      </c>
      <c r="I123" s="1656" t="s">
        <v>269</v>
      </c>
      <c r="J123" s="1656" t="s">
        <v>59</v>
      </c>
      <c r="K123" s="1665" t="s">
        <v>635</v>
      </c>
      <c r="L123" s="1725" t="s">
        <v>636</v>
      </c>
      <c r="M123" s="1719"/>
      <c r="N123" s="1719"/>
      <c r="O123" s="1726"/>
    </row>
    <row r="124" spans="1:15" ht="36.75" customHeight="1">
      <c r="A124" s="1671"/>
      <c r="B124" s="1674"/>
      <c r="C124" s="1677"/>
      <c r="D124" s="1677"/>
      <c r="E124" s="1657"/>
      <c r="F124" s="1657"/>
      <c r="G124" s="1677"/>
      <c r="H124" s="1657"/>
      <c r="I124" s="1657"/>
      <c r="J124" s="1657"/>
      <c r="K124" s="1666"/>
      <c r="L124" s="1679" t="s">
        <v>637</v>
      </c>
      <c r="M124" s="1654"/>
      <c r="N124" s="1654"/>
      <c r="O124" s="1680"/>
    </row>
    <row r="125" spans="1:15" ht="25.5" customHeight="1" thickBot="1">
      <c r="A125" s="1672"/>
      <c r="B125" s="1675"/>
      <c r="C125" s="1678"/>
      <c r="D125" s="1678"/>
      <c r="E125" s="1658"/>
      <c r="F125" s="1658"/>
      <c r="G125" s="1678"/>
      <c r="H125" s="1658"/>
      <c r="I125" s="1658"/>
      <c r="J125" s="1658"/>
      <c r="K125" s="1667"/>
      <c r="L125" s="467" t="s">
        <v>638</v>
      </c>
      <c r="M125" s="468" t="s">
        <v>639</v>
      </c>
      <c r="N125" s="468" t="s">
        <v>640</v>
      </c>
      <c r="O125" s="466" t="s">
        <v>16</v>
      </c>
    </row>
    <row r="126" spans="1:15" s="157" customFormat="1" ht="31.5" thickBot="1">
      <c r="A126" s="601" t="s">
        <v>26</v>
      </c>
      <c r="B126" s="1324" t="s">
        <v>248</v>
      </c>
      <c r="C126" s="1325" t="s">
        <v>188</v>
      </c>
      <c r="D126" s="1326" t="s">
        <v>249</v>
      </c>
      <c r="E126" s="1327">
        <v>121</v>
      </c>
      <c r="F126" s="495" t="s">
        <v>187</v>
      </c>
      <c r="G126" s="495" t="s">
        <v>188</v>
      </c>
      <c r="H126" s="906" t="s">
        <v>250</v>
      </c>
      <c r="I126" s="507">
        <v>39306</v>
      </c>
      <c r="J126" s="498" t="s">
        <v>65</v>
      </c>
      <c r="K126" s="499">
        <v>15</v>
      </c>
      <c r="L126" s="505"/>
      <c r="M126" s="511">
        <f>28022-22688</f>
        <v>5334</v>
      </c>
      <c r="N126" s="511">
        <f>65003-52834</f>
        <v>12169</v>
      </c>
      <c r="O126" s="513">
        <f>SUM(M126:N126)</f>
        <v>17503</v>
      </c>
    </row>
    <row r="127" spans="1:15" ht="37.5" customHeight="1">
      <c r="B127" s="240" t="s">
        <v>22</v>
      </c>
      <c r="C127" s="241" t="s">
        <v>706</v>
      </c>
      <c r="D127" s="243"/>
      <c r="G127" s="1622" t="s">
        <v>1920</v>
      </c>
      <c r="H127" s="12" t="s">
        <v>958</v>
      </c>
      <c r="N127" s="4" t="s">
        <v>23</v>
      </c>
      <c r="O127" s="580">
        <f>SUM(O126)</f>
        <v>17503</v>
      </c>
    </row>
    <row r="128" spans="1:15" ht="15">
      <c r="B128" s="244"/>
      <c r="C128" s="245" t="s">
        <v>1085</v>
      </c>
      <c r="D128" s="247"/>
      <c r="G128" s="13"/>
      <c r="H128" s="15" t="s">
        <v>1082</v>
      </c>
    </row>
    <row r="129" spans="1:20" ht="15.75" thickBot="1">
      <c r="B129" s="192"/>
      <c r="C129" s="246" t="s">
        <v>707</v>
      </c>
      <c r="D129" s="247"/>
      <c r="G129" s="71"/>
      <c r="H129" s="177" t="s">
        <v>707</v>
      </c>
    </row>
    <row r="130" spans="1:20" ht="15">
      <c r="B130" s="604" t="s">
        <v>160</v>
      </c>
      <c r="C130" s="1272">
        <v>8222147185</v>
      </c>
      <c r="D130" s="247"/>
    </row>
    <row r="131" spans="1:20" ht="15.75" thickBot="1">
      <c r="A131" s="287"/>
      <c r="B131" s="465" t="s">
        <v>1061</v>
      </c>
      <c r="C131" s="1274" t="s">
        <v>1086</v>
      </c>
      <c r="D131" s="251"/>
    </row>
    <row r="133" spans="1:20" ht="15" thickBot="1"/>
    <row r="134" spans="1:20" ht="39.75" customHeight="1">
      <c r="A134" s="1670" t="s">
        <v>6</v>
      </c>
      <c r="B134" s="1673" t="s">
        <v>633</v>
      </c>
      <c r="C134" s="1676" t="s">
        <v>8</v>
      </c>
      <c r="D134" s="1676" t="s">
        <v>9</v>
      </c>
      <c r="E134" s="1656" t="s">
        <v>812</v>
      </c>
      <c r="F134" s="1656" t="s">
        <v>11</v>
      </c>
      <c r="G134" s="1676" t="s">
        <v>12</v>
      </c>
      <c r="H134" s="1656" t="s">
        <v>13</v>
      </c>
      <c r="I134" s="1656" t="s">
        <v>269</v>
      </c>
      <c r="J134" s="1656" t="s">
        <v>59</v>
      </c>
      <c r="K134" s="1665" t="s">
        <v>635</v>
      </c>
      <c r="L134" s="1725" t="s">
        <v>636</v>
      </c>
      <c r="M134" s="1719"/>
      <c r="N134" s="1719"/>
      <c r="O134" s="1726"/>
    </row>
    <row r="135" spans="1:20" ht="40.5" customHeight="1">
      <c r="A135" s="1671"/>
      <c r="B135" s="1674"/>
      <c r="C135" s="1677"/>
      <c r="D135" s="1677"/>
      <c r="E135" s="1657"/>
      <c r="F135" s="1657"/>
      <c r="G135" s="1677"/>
      <c r="H135" s="1657"/>
      <c r="I135" s="1657"/>
      <c r="J135" s="1657"/>
      <c r="K135" s="1666"/>
      <c r="L135" s="1679" t="s">
        <v>637</v>
      </c>
      <c r="M135" s="1654"/>
      <c r="N135" s="1654"/>
      <c r="O135" s="1680"/>
    </row>
    <row r="136" spans="1:20" ht="24.75" customHeight="1" thickBot="1">
      <c r="A136" s="1672"/>
      <c r="B136" s="1675"/>
      <c r="C136" s="1678"/>
      <c r="D136" s="1678"/>
      <c r="E136" s="1658"/>
      <c r="F136" s="1658"/>
      <c r="G136" s="1678"/>
      <c r="H136" s="1658"/>
      <c r="I136" s="1658"/>
      <c r="J136" s="1658"/>
      <c r="K136" s="1667"/>
      <c r="L136" s="467" t="s">
        <v>638</v>
      </c>
      <c r="M136" s="468" t="s">
        <v>639</v>
      </c>
      <c r="N136" s="468" t="s">
        <v>640</v>
      </c>
      <c r="O136" s="466" t="s">
        <v>16</v>
      </c>
    </row>
    <row r="137" spans="1:20" s="157" customFormat="1" ht="30.75">
      <c r="A137" s="601" t="s">
        <v>26</v>
      </c>
      <c r="B137" s="494" t="s">
        <v>251</v>
      </c>
      <c r="C137" s="495" t="s">
        <v>252</v>
      </c>
      <c r="D137" s="495"/>
      <c r="E137" s="495"/>
      <c r="F137" s="495" t="s">
        <v>253</v>
      </c>
      <c r="G137" s="495" t="s">
        <v>254</v>
      </c>
      <c r="H137" s="906" t="s">
        <v>255</v>
      </c>
      <c r="I137" s="497" t="s">
        <v>1445</v>
      </c>
      <c r="J137" s="510" t="s">
        <v>70</v>
      </c>
      <c r="K137" s="499">
        <v>115</v>
      </c>
      <c r="L137" s="514"/>
      <c r="M137" s="501">
        <f>(2894.92-1397.79)*80</f>
        <v>119770.40000000001</v>
      </c>
      <c r="N137" s="502">
        <f>(6674-3084.36)*80</f>
        <v>287171.20000000001</v>
      </c>
      <c r="O137" s="501">
        <f>M137+N137</f>
        <v>406941.60000000003</v>
      </c>
      <c r="P137" s="586"/>
      <c r="R137" s="586"/>
      <c r="S137" s="586"/>
      <c r="T137" s="586"/>
    </row>
    <row r="138" spans="1:20" s="157" customFormat="1" ht="30.75">
      <c r="A138" s="575" t="s">
        <v>26</v>
      </c>
      <c r="B138" s="124" t="s">
        <v>256</v>
      </c>
      <c r="C138" s="159" t="s">
        <v>188</v>
      </c>
      <c r="D138" s="125" t="s">
        <v>257</v>
      </c>
      <c r="E138" s="125">
        <v>1</v>
      </c>
      <c r="F138" s="125" t="s">
        <v>187</v>
      </c>
      <c r="G138" s="125" t="s">
        <v>188</v>
      </c>
      <c r="H138" s="778" t="s">
        <v>258</v>
      </c>
      <c r="I138" s="450" t="s">
        <v>1835</v>
      </c>
      <c r="J138" s="411" t="s">
        <v>259</v>
      </c>
      <c r="K138" s="129">
        <v>65</v>
      </c>
      <c r="L138" s="133"/>
      <c r="M138" s="131">
        <f>(7849.52-119.03)*15</f>
        <v>115957.35</v>
      </c>
      <c r="N138" s="132">
        <f>(5306.79-80.31)*15</f>
        <v>78397.2</v>
      </c>
      <c r="O138" s="501">
        <f>M138+N138</f>
        <v>194354.55</v>
      </c>
      <c r="P138" s="586"/>
      <c r="R138" s="586"/>
      <c r="S138" s="586"/>
    </row>
    <row r="139" spans="1:20" s="157" customFormat="1" ht="18">
      <c r="A139" s="575" t="s">
        <v>26</v>
      </c>
      <c r="B139" s="124" t="s">
        <v>260</v>
      </c>
      <c r="C139" s="159" t="s">
        <v>188</v>
      </c>
      <c r="D139" s="125" t="s">
        <v>261</v>
      </c>
      <c r="E139" s="125"/>
      <c r="F139" s="125" t="s">
        <v>187</v>
      </c>
      <c r="G139" s="125" t="s">
        <v>188</v>
      </c>
      <c r="H139" s="778" t="s">
        <v>262</v>
      </c>
      <c r="I139" s="450" t="s">
        <v>1033</v>
      </c>
      <c r="J139" s="128" t="s">
        <v>65</v>
      </c>
      <c r="K139" s="129">
        <v>7</v>
      </c>
      <c r="L139" s="133"/>
      <c r="M139" s="131">
        <f>2529-2023</f>
        <v>506</v>
      </c>
      <c r="N139" s="132">
        <f>6532-5301</f>
        <v>1231</v>
      </c>
      <c r="O139" s="501">
        <f>M139+N139</f>
        <v>1737</v>
      </c>
    </row>
    <row r="140" spans="1:20" s="157" customFormat="1" ht="18">
      <c r="A140" s="575" t="s">
        <v>26</v>
      </c>
      <c r="B140" s="124" t="s">
        <v>260</v>
      </c>
      <c r="C140" s="589" t="s">
        <v>188</v>
      </c>
      <c r="D140" s="125" t="s">
        <v>263</v>
      </c>
      <c r="E140" s="125" t="s">
        <v>264</v>
      </c>
      <c r="F140" s="125" t="s">
        <v>187</v>
      </c>
      <c r="G140" s="125" t="s">
        <v>188</v>
      </c>
      <c r="H140" s="909" t="s">
        <v>265</v>
      </c>
      <c r="I140" s="450" t="s">
        <v>1034</v>
      </c>
      <c r="J140" s="128" t="s">
        <v>65</v>
      </c>
      <c r="K140" s="129">
        <v>15</v>
      </c>
      <c r="L140" s="590"/>
      <c r="M140" s="158">
        <f>6811-5621</f>
        <v>1190</v>
      </c>
      <c r="N140" s="132">
        <f>16582-13836</f>
        <v>2746</v>
      </c>
      <c r="O140" s="501">
        <f>M140+N140</f>
        <v>3936</v>
      </c>
    </row>
    <row r="141" spans="1:20" s="157" customFormat="1" ht="30.75">
      <c r="A141" s="601" t="s">
        <v>26</v>
      </c>
      <c r="B141" s="124" t="s">
        <v>260</v>
      </c>
      <c r="C141" s="159" t="s">
        <v>188</v>
      </c>
      <c r="D141" s="462" t="s">
        <v>1035</v>
      </c>
      <c r="E141" s="515"/>
      <c r="F141" s="506" t="s">
        <v>187</v>
      </c>
      <c r="G141" s="506" t="s">
        <v>188</v>
      </c>
      <c r="H141" s="927" t="s">
        <v>1036</v>
      </c>
      <c r="I141" s="509">
        <v>36919</v>
      </c>
      <c r="J141" s="587" t="s">
        <v>65</v>
      </c>
      <c r="K141" s="583">
        <v>13</v>
      </c>
      <c r="L141" s="588"/>
      <c r="M141" s="160">
        <f>3947-3207</f>
        <v>740</v>
      </c>
      <c r="N141" s="511">
        <f>9482-7684</f>
        <v>1798</v>
      </c>
      <c r="O141" s="501">
        <f>M141+N141</f>
        <v>2538</v>
      </c>
    </row>
    <row r="142" spans="1:20" s="157" customFormat="1" ht="18">
      <c r="A142" s="575" t="s">
        <v>26</v>
      </c>
      <c r="B142" s="124" t="s">
        <v>260</v>
      </c>
      <c r="C142" s="159" t="s">
        <v>188</v>
      </c>
      <c r="D142" s="158" t="s">
        <v>266</v>
      </c>
      <c r="E142" s="161" t="s">
        <v>1444</v>
      </c>
      <c r="F142" s="159" t="s">
        <v>187</v>
      </c>
      <c r="G142" s="159" t="s">
        <v>188</v>
      </c>
      <c r="H142" s="764" t="s">
        <v>1031</v>
      </c>
      <c r="I142" s="158">
        <v>70968377</v>
      </c>
      <c r="J142" s="412" t="s">
        <v>28</v>
      </c>
      <c r="K142" s="584">
        <v>13</v>
      </c>
      <c r="L142" s="162">
        <f>16791-14646</f>
        <v>2145</v>
      </c>
      <c r="M142" s="163"/>
      <c r="N142" s="163"/>
      <c r="O142" s="160">
        <f t="shared" ref="O142:O148" si="1">L142</f>
        <v>2145</v>
      </c>
    </row>
    <row r="143" spans="1:20" s="157" customFormat="1" ht="18">
      <c r="A143" s="575" t="s">
        <v>26</v>
      </c>
      <c r="B143" s="124" t="s">
        <v>260</v>
      </c>
      <c r="C143" s="159" t="s">
        <v>188</v>
      </c>
      <c r="D143" s="158" t="s">
        <v>266</v>
      </c>
      <c r="E143" s="161"/>
      <c r="F143" s="159" t="s">
        <v>187</v>
      </c>
      <c r="G143" s="1516" t="s">
        <v>188</v>
      </c>
      <c r="H143" s="768" t="s">
        <v>1032</v>
      </c>
      <c r="I143" s="1517">
        <v>70543097</v>
      </c>
      <c r="J143" s="412" t="s">
        <v>28</v>
      </c>
      <c r="K143" s="584">
        <v>13</v>
      </c>
      <c r="L143" s="162">
        <f>2426-2012</f>
        <v>414</v>
      </c>
      <c r="M143" s="163"/>
      <c r="N143" s="163"/>
      <c r="O143" s="160">
        <f t="shared" si="1"/>
        <v>414</v>
      </c>
    </row>
    <row r="144" spans="1:20" s="157" customFormat="1" ht="29.25">
      <c r="A144" s="601" t="s">
        <v>26</v>
      </c>
      <c r="B144" s="759" t="s">
        <v>1840</v>
      </c>
      <c r="C144" s="112" t="s">
        <v>200</v>
      </c>
      <c r="D144" s="4"/>
      <c r="E144" s="23" t="s">
        <v>1402</v>
      </c>
      <c r="F144" s="200" t="s">
        <v>199</v>
      </c>
      <c r="G144" s="221" t="s">
        <v>200</v>
      </c>
      <c r="H144" s="764" t="s">
        <v>1836</v>
      </c>
      <c r="I144" s="22">
        <v>217919</v>
      </c>
      <c r="J144" s="486" t="s">
        <v>28</v>
      </c>
      <c r="K144" s="24">
        <v>17</v>
      </c>
      <c r="L144" s="32">
        <f>101444-47623</f>
        <v>53821</v>
      </c>
      <c r="M144" s="33"/>
      <c r="N144" s="33"/>
      <c r="O144" s="32">
        <f t="shared" si="1"/>
        <v>53821</v>
      </c>
      <c r="P144" s="70"/>
    </row>
    <row r="145" spans="1:17" s="157" customFormat="1" ht="29.25">
      <c r="A145" s="552" t="s">
        <v>26</v>
      </c>
      <c r="B145" s="399" t="s">
        <v>1392</v>
      </c>
      <c r="C145" s="756" t="s">
        <v>200</v>
      </c>
      <c r="D145" s="4"/>
      <c r="E145" s="4" t="s">
        <v>1246</v>
      </c>
      <c r="F145" s="4" t="s">
        <v>199</v>
      </c>
      <c r="G145" s="4" t="s">
        <v>200</v>
      </c>
      <c r="H145" s="908" t="s">
        <v>1393</v>
      </c>
      <c r="I145" s="4">
        <v>316657</v>
      </c>
      <c r="J145" s="487" t="s">
        <v>28</v>
      </c>
      <c r="K145" s="8">
        <v>5</v>
      </c>
      <c r="L145" s="32">
        <f>4333-3931</f>
        <v>402</v>
      </c>
      <c r="M145" s="33"/>
      <c r="N145" s="33"/>
      <c r="O145" s="32">
        <f t="shared" si="1"/>
        <v>402</v>
      </c>
      <c r="P145" s="70"/>
    </row>
    <row r="146" spans="1:17" s="157" customFormat="1" ht="18">
      <c r="A146" s="575" t="s">
        <v>26</v>
      </c>
      <c r="B146" s="759" t="s">
        <v>1839</v>
      </c>
      <c r="C146" s="227" t="s">
        <v>200</v>
      </c>
      <c r="D146" s="4"/>
      <c r="E146" s="4" t="s">
        <v>1395</v>
      </c>
      <c r="F146" s="4" t="s">
        <v>199</v>
      </c>
      <c r="G146" s="4" t="s">
        <v>200</v>
      </c>
      <c r="H146" s="908" t="s">
        <v>1837</v>
      </c>
      <c r="I146" s="4">
        <v>312114</v>
      </c>
      <c r="J146" s="487" t="s">
        <v>28</v>
      </c>
      <c r="K146" s="8">
        <v>10</v>
      </c>
      <c r="L146" s="32">
        <f>6063-5859</f>
        <v>204</v>
      </c>
      <c r="M146" s="33"/>
      <c r="N146" s="33"/>
      <c r="O146" s="32">
        <f t="shared" si="1"/>
        <v>204</v>
      </c>
      <c r="P146" s="70"/>
    </row>
    <row r="147" spans="1:17" s="157" customFormat="1" ht="18">
      <c r="A147" s="552" t="s">
        <v>26</v>
      </c>
      <c r="B147" s="976"/>
      <c r="C147" s="976" t="s">
        <v>267</v>
      </c>
      <c r="D147" s="182"/>
      <c r="E147" s="182" t="s">
        <v>1394</v>
      </c>
      <c r="F147" s="182" t="s">
        <v>187</v>
      </c>
      <c r="G147" s="182" t="s">
        <v>188</v>
      </c>
      <c r="H147" s="908" t="s">
        <v>1838</v>
      </c>
      <c r="I147" s="182">
        <v>237790</v>
      </c>
      <c r="J147" s="534" t="s">
        <v>28</v>
      </c>
      <c r="K147" s="267">
        <v>5</v>
      </c>
      <c r="L147" s="268">
        <f>191-125</f>
        <v>66</v>
      </c>
      <c r="M147" s="269"/>
      <c r="N147" s="269"/>
      <c r="O147" s="268">
        <f t="shared" si="1"/>
        <v>66</v>
      </c>
      <c r="P147" s="70"/>
    </row>
    <row r="148" spans="1:17" s="157" customFormat="1" ht="30" thickBot="1">
      <c r="A148" s="552" t="s">
        <v>26</v>
      </c>
      <c r="B148" s="759" t="s">
        <v>1841</v>
      </c>
      <c r="C148" s="227" t="s">
        <v>200</v>
      </c>
      <c r="D148" s="4" t="s">
        <v>318</v>
      </c>
      <c r="E148" s="4" t="s">
        <v>1396</v>
      </c>
      <c r="F148" s="4" t="s">
        <v>199</v>
      </c>
      <c r="G148" s="4" t="s">
        <v>200</v>
      </c>
      <c r="H148" s="908" t="s">
        <v>1842</v>
      </c>
      <c r="I148" s="4">
        <v>90342493</v>
      </c>
      <c r="J148" s="487" t="s">
        <v>28</v>
      </c>
      <c r="K148" s="8">
        <v>5</v>
      </c>
      <c r="L148" s="32">
        <f>552-131</f>
        <v>421</v>
      </c>
      <c r="M148" s="33"/>
      <c r="N148" s="33"/>
      <c r="O148" s="32">
        <f t="shared" si="1"/>
        <v>421</v>
      </c>
      <c r="P148" s="70"/>
    </row>
    <row r="149" spans="1:17" s="147" customFormat="1" ht="38.25" customHeight="1">
      <c r="B149" s="240" t="s">
        <v>22</v>
      </c>
      <c r="C149" s="241" t="s">
        <v>706</v>
      </c>
      <c r="D149" s="243"/>
      <c r="G149" s="1622" t="s">
        <v>1920</v>
      </c>
      <c r="H149" s="242" t="s">
        <v>1443</v>
      </c>
      <c r="I149" s="1518"/>
      <c r="O149" s="591">
        <f>SUM(O137:O148)</f>
        <v>666980.15</v>
      </c>
    </row>
    <row r="150" spans="1:17" s="147" customFormat="1" ht="18">
      <c r="A150" s="288"/>
      <c r="B150" s="244"/>
      <c r="C150" s="245" t="s">
        <v>1085</v>
      </c>
      <c r="D150" s="247"/>
      <c r="E150" s="166"/>
      <c r="F150" s="166"/>
      <c r="G150" s="1342"/>
      <c r="H150" s="246" t="s">
        <v>1027</v>
      </c>
      <c r="I150" s="1519"/>
      <c r="J150" s="168"/>
      <c r="K150" s="166"/>
      <c r="L150" s="169"/>
      <c r="M150" s="164"/>
      <c r="N150" s="165"/>
      <c r="O150" s="164"/>
      <c r="P150" s="165"/>
      <c r="Q150" s="167"/>
    </row>
    <row r="151" spans="1:17" s="147" customFormat="1" ht="18.75" thickBot="1">
      <c r="A151" s="288"/>
      <c r="B151" s="192"/>
      <c r="C151" s="246" t="s">
        <v>707</v>
      </c>
      <c r="D151" s="247"/>
      <c r="E151" s="166"/>
      <c r="F151" s="166"/>
      <c r="G151" s="1343"/>
      <c r="H151" s="250" t="s">
        <v>707</v>
      </c>
      <c r="I151" s="1520"/>
      <c r="J151" s="168"/>
      <c r="K151" s="166"/>
      <c r="L151" s="169"/>
      <c r="M151" s="164"/>
      <c r="N151" s="165"/>
      <c r="O151" s="164"/>
      <c r="P151" s="165"/>
    </row>
    <row r="152" spans="1:17" s="147" customFormat="1" ht="18">
      <c r="A152" s="288"/>
      <c r="B152" s="604" t="s">
        <v>160</v>
      </c>
      <c r="C152" s="1272">
        <v>8222147185</v>
      </c>
      <c r="D152" s="247"/>
      <c r="E152" s="166"/>
      <c r="F152" s="166"/>
      <c r="G152" s="166"/>
      <c r="H152" s="167"/>
      <c r="I152" s="167"/>
      <c r="J152" s="168"/>
      <c r="K152" s="166"/>
      <c r="L152" s="169"/>
      <c r="M152" s="164"/>
      <c r="N152" s="165"/>
      <c r="O152" s="164"/>
      <c r="P152" s="165"/>
    </row>
    <row r="153" spans="1:17" s="147" customFormat="1" ht="18.75" thickBot="1">
      <c r="A153" s="288"/>
      <c r="B153" s="465" t="s">
        <v>1061</v>
      </c>
      <c r="C153" s="1274" t="s">
        <v>1086</v>
      </c>
      <c r="D153" s="251"/>
      <c r="E153" s="166"/>
      <c r="F153" s="166"/>
      <c r="G153" s="166"/>
      <c r="H153" s="167"/>
      <c r="I153" s="167"/>
      <c r="J153" s="168"/>
      <c r="K153" s="166"/>
      <c r="L153" s="169"/>
      <c r="M153" s="164"/>
      <c r="N153" s="165"/>
      <c r="O153" s="164"/>
      <c r="P153" s="165"/>
    </row>
    <row r="154" spans="1:17" ht="14.25" customHeight="1" thickBot="1">
      <c r="A154" s="55"/>
      <c r="C154" s="54"/>
      <c r="M154" s="31"/>
      <c r="P154" s="31"/>
    </row>
    <row r="155" spans="1:17" ht="42" customHeight="1">
      <c r="A155" s="1670" t="s">
        <v>6</v>
      </c>
      <c r="B155" s="1673" t="s">
        <v>633</v>
      </c>
      <c r="C155" s="1676" t="s">
        <v>8</v>
      </c>
      <c r="D155" s="1676" t="s">
        <v>9</v>
      </c>
      <c r="E155" s="1656" t="s">
        <v>812</v>
      </c>
      <c r="F155" s="1656" t="s">
        <v>11</v>
      </c>
      <c r="G155" s="1676" t="s">
        <v>12</v>
      </c>
      <c r="H155" s="1656" t="s">
        <v>13</v>
      </c>
      <c r="I155" s="1656" t="s">
        <v>269</v>
      </c>
      <c r="J155" s="1656" t="s">
        <v>59</v>
      </c>
      <c r="K155" s="1665" t="s">
        <v>635</v>
      </c>
      <c r="L155" s="1725" t="s">
        <v>636</v>
      </c>
      <c r="M155" s="1719"/>
      <c r="N155" s="1719"/>
      <c r="O155" s="1726"/>
    </row>
    <row r="156" spans="1:17" ht="39" customHeight="1">
      <c r="A156" s="1671"/>
      <c r="B156" s="1674"/>
      <c r="C156" s="1677"/>
      <c r="D156" s="1677"/>
      <c r="E156" s="1657"/>
      <c r="F156" s="1657"/>
      <c r="G156" s="1677"/>
      <c r="H156" s="1657"/>
      <c r="I156" s="1657"/>
      <c r="J156" s="1657"/>
      <c r="K156" s="1666"/>
      <c r="L156" s="1679" t="s">
        <v>637</v>
      </c>
      <c r="M156" s="1654"/>
      <c r="N156" s="1654"/>
      <c r="O156" s="1680"/>
    </row>
    <row r="157" spans="1:17" ht="24.75" customHeight="1" thickBot="1">
      <c r="A157" s="1672"/>
      <c r="B157" s="1675"/>
      <c r="C157" s="1678"/>
      <c r="D157" s="1678"/>
      <c r="E157" s="1658"/>
      <c r="F157" s="1658"/>
      <c r="G157" s="1678"/>
      <c r="H157" s="1658"/>
      <c r="I157" s="1658"/>
      <c r="J157" s="1658"/>
      <c r="K157" s="1667"/>
      <c r="L157" s="467" t="s">
        <v>638</v>
      </c>
      <c r="M157" s="468" t="s">
        <v>639</v>
      </c>
      <c r="N157" s="468" t="s">
        <v>640</v>
      </c>
      <c r="O157" s="466" t="s">
        <v>16</v>
      </c>
    </row>
    <row r="158" spans="1:17" ht="39" customHeight="1" thickBot="1">
      <c r="A158" s="601" t="s">
        <v>26</v>
      </c>
      <c r="B158" s="359" t="s">
        <v>705</v>
      </c>
      <c r="C158" s="360" t="s">
        <v>188</v>
      </c>
      <c r="D158" s="360" t="s">
        <v>182</v>
      </c>
      <c r="E158" s="182">
        <v>36</v>
      </c>
      <c r="F158" s="182" t="s">
        <v>187</v>
      </c>
      <c r="G158" s="182" t="s">
        <v>188</v>
      </c>
      <c r="H158" s="710" t="s">
        <v>748</v>
      </c>
      <c r="I158" s="104">
        <v>248759</v>
      </c>
      <c r="J158" s="516" t="s">
        <v>28</v>
      </c>
      <c r="K158" s="267">
        <v>12</v>
      </c>
      <c r="L158" s="268">
        <f>15324-9179</f>
        <v>6145</v>
      </c>
      <c r="M158" s="269"/>
      <c r="N158" s="269"/>
      <c r="O158" s="268">
        <f>L158</f>
        <v>6145</v>
      </c>
    </row>
    <row r="159" spans="1:17" ht="36.75" customHeight="1">
      <c r="A159" s="1"/>
      <c r="B159" s="240" t="s">
        <v>22</v>
      </c>
      <c r="C159" s="241" t="s">
        <v>706</v>
      </c>
      <c r="D159" s="243"/>
      <c r="E159" s="1330"/>
      <c r="F159" s="1330"/>
      <c r="G159" s="1622" t="s">
        <v>1920</v>
      </c>
      <c r="H159" s="1331" t="s">
        <v>706</v>
      </c>
      <c r="K159" s="109"/>
      <c r="M159" s="31"/>
      <c r="N159" s="142" t="s">
        <v>23</v>
      </c>
      <c r="O159" s="593">
        <f>SUM(O158)</f>
        <v>6145</v>
      </c>
    </row>
    <row r="160" spans="1:17" ht="15">
      <c r="A160" s="1"/>
      <c r="B160" s="244"/>
      <c r="C160" s="245" t="s">
        <v>1085</v>
      </c>
      <c r="D160" s="247"/>
      <c r="E160" s="1330"/>
      <c r="F160" s="1330"/>
      <c r="G160" s="192"/>
      <c r="H160" s="1332" t="s">
        <v>1085</v>
      </c>
      <c r="K160" s="109"/>
      <c r="M160" s="31"/>
      <c r="N160" s="31"/>
      <c r="O160" s="31"/>
      <c r="P160" s="31"/>
    </row>
    <row r="161" spans="1:21" ht="15.75" thickBot="1">
      <c r="B161" s="192"/>
      <c r="C161" s="246" t="s">
        <v>707</v>
      </c>
      <c r="D161" s="247"/>
      <c r="E161" s="1330"/>
      <c r="F161" s="1330"/>
      <c r="G161" s="193"/>
      <c r="H161" s="251" t="s">
        <v>707</v>
      </c>
    </row>
    <row r="162" spans="1:21" ht="15">
      <c r="B162" s="604" t="s">
        <v>818</v>
      </c>
      <c r="C162" s="1272">
        <v>8222147185</v>
      </c>
      <c r="D162" s="247"/>
      <c r="E162" s="1330"/>
      <c r="F162" s="1330"/>
      <c r="G162" s="1330"/>
      <c r="H162" s="1330"/>
    </row>
    <row r="163" spans="1:21" ht="15.75" thickBot="1">
      <c r="A163" s="287"/>
      <c r="B163" s="465" t="s">
        <v>1061</v>
      </c>
      <c r="C163" s="1274" t="s">
        <v>1086</v>
      </c>
      <c r="D163" s="251"/>
      <c r="E163" s="1330"/>
      <c r="F163" s="1330"/>
      <c r="G163" s="1330"/>
      <c r="H163" s="1330"/>
    </row>
    <row r="164" spans="1:21">
      <c r="A164" s="287"/>
      <c r="B164" s="54"/>
      <c r="C164" s="54"/>
      <c r="D164" s="54"/>
    </row>
    <row r="165" spans="1:21" ht="15" thickBot="1">
      <c r="A165" s="287"/>
    </row>
    <row r="166" spans="1:21" ht="44.25" customHeight="1">
      <c r="A166" s="1662" t="s">
        <v>6</v>
      </c>
      <c r="B166" s="1656" t="s">
        <v>7</v>
      </c>
      <c r="C166" s="1656" t="s">
        <v>8</v>
      </c>
      <c r="D166" s="1656" t="s">
        <v>9</v>
      </c>
      <c r="E166" s="1656" t="s">
        <v>812</v>
      </c>
      <c r="F166" s="1656" t="s">
        <v>11</v>
      </c>
      <c r="G166" s="1656" t="s">
        <v>12</v>
      </c>
      <c r="H166" s="1695" t="s">
        <v>13</v>
      </c>
      <c r="I166" s="1695" t="s">
        <v>269</v>
      </c>
      <c r="J166" s="1695" t="s">
        <v>59</v>
      </c>
      <c r="K166" s="1735" t="s">
        <v>15</v>
      </c>
      <c r="L166" s="1650" t="s">
        <v>641</v>
      </c>
      <c r="M166" s="1650"/>
      <c r="N166" s="1650"/>
      <c r="O166" s="1669"/>
      <c r="P166" s="608"/>
      <c r="Q166" s="608"/>
      <c r="R166" s="608"/>
      <c r="S166" s="608"/>
      <c r="T166" s="609"/>
      <c r="U166" s="609"/>
    </row>
    <row r="167" spans="1:21">
      <c r="A167" s="1663"/>
      <c r="B167" s="1657"/>
      <c r="C167" s="1657"/>
      <c r="D167" s="1657"/>
      <c r="E167" s="1657"/>
      <c r="F167" s="1657"/>
      <c r="G167" s="1657"/>
      <c r="H167" s="1696"/>
      <c r="I167" s="1696"/>
      <c r="J167" s="1696"/>
      <c r="K167" s="1736"/>
      <c r="L167" s="1654" t="s">
        <v>638</v>
      </c>
      <c r="M167" s="1654" t="s">
        <v>639</v>
      </c>
      <c r="N167" s="1654" t="s">
        <v>640</v>
      </c>
      <c r="O167" s="1680" t="s">
        <v>643</v>
      </c>
      <c r="P167" s="608"/>
      <c r="Q167" s="608"/>
      <c r="R167" s="608"/>
      <c r="S167" s="608"/>
      <c r="T167" s="609"/>
      <c r="U167" s="609"/>
    </row>
    <row r="168" spans="1:21" ht="15" thickBot="1">
      <c r="A168" s="1664"/>
      <c r="B168" s="1658"/>
      <c r="C168" s="1658"/>
      <c r="D168" s="1658"/>
      <c r="E168" s="1658"/>
      <c r="F168" s="1658"/>
      <c r="G168" s="1658"/>
      <c r="H168" s="1697"/>
      <c r="I168" s="1697"/>
      <c r="J168" s="1697"/>
      <c r="K168" s="1741"/>
      <c r="L168" s="1655"/>
      <c r="M168" s="1655"/>
      <c r="N168" s="1655"/>
      <c r="O168" s="1734"/>
      <c r="P168" s="608"/>
      <c r="Q168" s="608"/>
      <c r="R168" s="608"/>
      <c r="S168" s="608"/>
      <c r="T168" s="609"/>
      <c r="U168" s="609"/>
    </row>
    <row r="169" spans="1:21" ht="18">
      <c r="A169" s="601" t="s">
        <v>26</v>
      </c>
      <c r="B169" s="182" t="s">
        <v>706</v>
      </c>
      <c r="C169" s="182" t="s">
        <v>743</v>
      </c>
      <c r="D169" s="182"/>
      <c r="E169" s="104" t="s">
        <v>744</v>
      </c>
      <c r="F169" s="104" t="s">
        <v>199</v>
      </c>
      <c r="G169" s="104" t="s">
        <v>200</v>
      </c>
      <c r="H169" s="710" t="s">
        <v>1091</v>
      </c>
      <c r="I169" s="104">
        <v>13351131</v>
      </c>
      <c r="J169" s="534" t="s">
        <v>28</v>
      </c>
      <c r="K169" s="672">
        <v>5</v>
      </c>
      <c r="L169" s="268">
        <f>15771-13731</f>
        <v>2040</v>
      </c>
      <c r="M169" s="269"/>
      <c r="N169" s="269"/>
      <c r="O169" s="268">
        <f>L169</f>
        <v>2040</v>
      </c>
      <c r="P169" s="59"/>
      <c r="Q169" s="59"/>
      <c r="R169" s="59"/>
      <c r="S169" s="59"/>
      <c r="T169" s="57"/>
      <c r="U169" s="57"/>
    </row>
    <row r="170" spans="1:21" ht="18">
      <c r="A170" s="575" t="s">
        <v>26</v>
      </c>
      <c r="B170" s="4" t="s">
        <v>706</v>
      </c>
      <c r="C170" s="4" t="s">
        <v>204</v>
      </c>
      <c r="D170" s="4" t="s">
        <v>239</v>
      </c>
      <c r="E170" s="4"/>
      <c r="F170" s="22" t="s">
        <v>187</v>
      </c>
      <c r="G170" s="22" t="s">
        <v>188</v>
      </c>
      <c r="H170" s="695" t="s">
        <v>1090</v>
      </c>
      <c r="I170" s="22">
        <v>70968774</v>
      </c>
      <c r="J170" s="487" t="s">
        <v>28</v>
      </c>
      <c r="K170" s="673">
        <v>20</v>
      </c>
      <c r="L170" s="32">
        <f>35408-25362</f>
        <v>10046</v>
      </c>
      <c r="M170" s="33"/>
      <c r="N170" s="33"/>
      <c r="O170" s="32">
        <f>L170</f>
        <v>10046</v>
      </c>
      <c r="P170" s="59"/>
      <c r="Q170" s="59"/>
      <c r="R170" s="59"/>
      <c r="S170" s="59"/>
      <c r="T170" s="57"/>
      <c r="U170" s="57"/>
    </row>
    <row r="171" spans="1:21" ht="18">
      <c r="A171" s="575" t="s">
        <v>26</v>
      </c>
      <c r="B171" s="4" t="s">
        <v>706</v>
      </c>
      <c r="C171" s="4" t="s">
        <v>188</v>
      </c>
      <c r="D171" s="4" t="s">
        <v>263</v>
      </c>
      <c r="E171" s="4"/>
      <c r="F171" s="22" t="s">
        <v>187</v>
      </c>
      <c r="G171" s="22" t="s">
        <v>188</v>
      </c>
      <c r="H171" s="695" t="s">
        <v>1092</v>
      </c>
      <c r="I171" s="22">
        <v>118149</v>
      </c>
      <c r="J171" s="487" t="s">
        <v>28</v>
      </c>
      <c r="K171" s="673">
        <v>14</v>
      </c>
      <c r="L171" s="32">
        <f>31536-22259</f>
        <v>9277</v>
      </c>
      <c r="M171" s="33"/>
      <c r="N171" s="33"/>
      <c r="O171" s="32">
        <f>L171</f>
        <v>9277</v>
      </c>
      <c r="P171" s="59"/>
      <c r="Q171" s="59"/>
      <c r="R171" s="59"/>
      <c r="S171" s="59"/>
      <c r="T171" s="57"/>
      <c r="U171" s="57"/>
    </row>
    <row r="172" spans="1:21" ht="18.75" thickBot="1">
      <c r="A172" s="575" t="s">
        <v>26</v>
      </c>
      <c r="B172" s="806" t="s">
        <v>231</v>
      </c>
      <c r="C172" s="807" t="s">
        <v>188</v>
      </c>
      <c r="D172" s="135" t="s">
        <v>162</v>
      </c>
      <c r="E172" s="135" t="s">
        <v>232</v>
      </c>
      <c r="F172" s="753" t="s">
        <v>187</v>
      </c>
      <c r="G172" s="135" t="s">
        <v>188</v>
      </c>
      <c r="H172" s="1059" t="s">
        <v>233</v>
      </c>
      <c r="I172" s="479" t="s">
        <v>949</v>
      </c>
      <c r="J172" s="138" t="s">
        <v>65</v>
      </c>
      <c r="K172" s="139">
        <v>31</v>
      </c>
      <c r="L172" s="155"/>
      <c r="M172" s="145">
        <f>11538-10127</f>
        <v>1411</v>
      </c>
      <c r="N172" s="145">
        <f>19583-17394</f>
        <v>2189</v>
      </c>
      <c r="O172" s="146">
        <f>SUM(M172:N172)</f>
        <v>3600</v>
      </c>
      <c r="P172" s="59"/>
      <c r="Q172" s="59"/>
      <c r="R172" s="59"/>
      <c r="S172" s="59"/>
      <c r="T172" s="57"/>
      <c r="U172" s="57"/>
    </row>
    <row r="173" spans="1:21" ht="33.75" customHeight="1">
      <c r="A173" s="287"/>
      <c r="B173" s="240" t="s">
        <v>22</v>
      </c>
      <c r="C173" s="241" t="s">
        <v>706</v>
      </c>
      <c r="D173" s="243"/>
      <c r="E173" s="1330"/>
      <c r="F173" s="1330"/>
      <c r="G173" s="1622" t="s">
        <v>1920</v>
      </c>
      <c r="H173" s="1331" t="s">
        <v>1830</v>
      </c>
      <c r="L173" s="31"/>
      <c r="M173" s="31"/>
      <c r="N173" s="142" t="s">
        <v>23</v>
      </c>
      <c r="O173" s="580">
        <f>SUM(O169:O172)</f>
        <v>24963</v>
      </c>
      <c r="P173" s="59"/>
      <c r="Q173" s="59"/>
      <c r="R173" s="164"/>
      <c r="S173" s="59"/>
      <c r="T173" s="57"/>
      <c r="U173" s="57"/>
    </row>
    <row r="174" spans="1:21" ht="15">
      <c r="B174" s="244"/>
      <c r="C174" s="245" t="s">
        <v>1085</v>
      </c>
      <c r="D174" s="247"/>
      <c r="E174" s="1330"/>
      <c r="F174" s="1330"/>
      <c r="G174" s="192"/>
      <c r="H174" s="1332" t="s">
        <v>1085</v>
      </c>
      <c r="L174" s="31"/>
      <c r="M174" s="31"/>
      <c r="N174" s="31"/>
      <c r="P174" s="57"/>
      <c r="Q174" s="59"/>
      <c r="R174" s="59"/>
      <c r="S174" s="59"/>
      <c r="T174" s="57"/>
      <c r="U174" s="57"/>
    </row>
    <row r="175" spans="1:21" ht="15.75" thickBot="1">
      <c r="B175" s="192"/>
      <c r="C175" s="246" t="s">
        <v>707</v>
      </c>
      <c r="D175" s="247"/>
      <c r="E175" s="1330"/>
      <c r="F175" s="1330"/>
      <c r="G175" s="193"/>
      <c r="H175" s="251" t="s">
        <v>707</v>
      </c>
      <c r="L175" s="31"/>
      <c r="M175" s="31"/>
      <c r="P175" s="31"/>
      <c r="Q175" s="31"/>
      <c r="R175" s="31"/>
      <c r="S175" s="31"/>
    </row>
    <row r="176" spans="1:21" ht="15">
      <c r="B176" s="604" t="s">
        <v>818</v>
      </c>
      <c r="C176" s="1272">
        <v>8222147185</v>
      </c>
      <c r="D176" s="247"/>
      <c r="E176" s="1330"/>
      <c r="F176" s="1330"/>
      <c r="G176" s="1330"/>
      <c r="H176" s="1330"/>
      <c r="Q176" s="31"/>
      <c r="R176" s="31"/>
      <c r="S176" s="31"/>
    </row>
    <row r="177" spans="1:19" ht="15.75" thickBot="1">
      <c r="A177" s="287"/>
      <c r="B177" s="465" t="s">
        <v>1061</v>
      </c>
      <c r="C177" s="1274" t="s">
        <v>1086</v>
      </c>
      <c r="D177" s="251"/>
      <c r="E177" s="1330"/>
      <c r="F177" s="1330"/>
      <c r="G177" s="1330"/>
      <c r="H177" s="1330"/>
      <c r="Q177" s="31"/>
      <c r="R177" s="31"/>
      <c r="S177" s="31"/>
    </row>
    <row r="178" spans="1:19">
      <c r="A178" s="741"/>
      <c r="B178" s="594"/>
      <c r="C178" s="335"/>
      <c r="D178" s="54"/>
      <c r="Q178" s="31"/>
      <c r="R178" s="31"/>
      <c r="S178" s="31"/>
    </row>
    <row r="179" spans="1:19" ht="15" thickBot="1">
      <c r="A179" s="741"/>
      <c r="B179" s="594"/>
      <c r="C179" s="335"/>
      <c r="D179" s="54"/>
      <c r="Q179" s="31"/>
      <c r="R179" s="31"/>
      <c r="S179" s="31"/>
    </row>
    <row r="180" spans="1:19" ht="50.25" customHeight="1">
      <c r="A180" s="1662" t="s">
        <v>6</v>
      </c>
      <c r="B180" s="1656" t="s">
        <v>7</v>
      </c>
      <c r="C180" s="1656" t="s">
        <v>8</v>
      </c>
      <c r="D180" s="1656" t="s">
        <v>9</v>
      </c>
      <c r="E180" s="1656" t="s">
        <v>812</v>
      </c>
      <c r="F180" s="1656" t="s">
        <v>11</v>
      </c>
      <c r="G180" s="1656" t="s">
        <v>12</v>
      </c>
      <c r="H180" s="1695" t="s">
        <v>13</v>
      </c>
      <c r="I180" s="1695" t="s">
        <v>269</v>
      </c>
      <c r="J180" s="1695" t="s">
        <v>59</v>
      </c>
      <c r="K180" s="1735" t="s">
        <v>15</v>
      </c>
      <c r="L180" s="1650" t="s">
        <v>641</v>
      </c>
      <c r="M180" s="1650"/>
      <c r="N180" s="1650"/>
      <c r="O180" s="1669"/>
      <c r="Q180" s="31"/>
      <c r="R180" s="31"/>
      <c r="S180" s="31"/>
    </row>
    <row r="181" spans="1:19" ht="20.25" customHeight="1">
      <c r="A181" s="1663"/>
      <c r="B181" s="1657"/>
      <c r="C181" s="1657"/>
      <c r="D181" s="1657"/>
      <c r="E181" s="1657"/>
      <c r="F181" s="1657"/>
      <c r="G181" s="1657"/>
      <c r="H181" s="1696"/>
      <c r="I181" s="1696"/>
      <c r="J181" s="1696"/>
      <c r="K181" s="1736"/>
      <c r="L181" s="1654" t="s">
        <v>638</v>
      </c>
      <c r="M181" s="1654" t="s">
        <v>639</v>
      </c>
      <c r="N181" s="1654" t="s">
        <v>640</v>
      </c>
      <c r="O181" s="1680" t="s">
        <v>643</v>
      </c>
      <c r="Q181" s="31"/>
      <c r="R181" s="31"/>
      <c r="S181" s="31"/>
    </row>
    <row r="182" spans="1:19" ht="15" thickBot="1">
      <c r="A182" s="1664"/>
      <c r="B182" s="1740"/>
      <c r="C182" s="1740"/>
      <c r="D182" s="1740"/>
      <c r="E182" s="1740"/>
      <c r="F182" s="1740"/>
      <c r="G182" s="1740"/>
      <c r="H182" s="1696"/>
      <c r="I182" s="1696"/>
      <c r="J182" s="1696"/>
      <c r="K182" s="1736"/>
      <c r="L182" s="1732"/>
      <c r="M182" s="1732"/>
      <c r="N182" s="1732"/>
      <c r="O182" s="1737"/>
      <c r="Q182" s="31"/>
      <c r="R182" s="31"/>
      <c r="S182" s="31"/>
    </row>
    <row r="183" spans="1:19" ht="33.75" customHeight="1">
      <c r="A183" s="601" t="s">
        <v>26</v>
      </c>
      <c r="B183" s="748" t="s">
        <v>1336</v>
      </c>
      <c r="C183" s="751" t="s">
        <v>188</v>
      </c>
      <c r="D183" s="742" t="s">
        <v>246</v>
      </c>
      <c r="E183" s="748">
        <v>7</v>
      </c>
      <c r="F183" s="752" t="s">
        <v>187</v>
      </c>
      <c r="G183" s="159" t="s">
        <v>188</v>
      </c>
      <c r="H183" s="903" t="s">
        <v>1194</v>
      </c>
      <c r="I183" s="158">
        <v>4143383</v>
      </c>
      <c r="J183" s="754" t="s">
        <v>21</v>
      </c>
      <c r="K183" s="755">
        <v>85</v>
      </c>
      <c r="L183" s="749">
        <f>(7557.73-3474.93)*30</f>
        <v>122483.99999999999</v>
      </c>
      <c r="M183" s="163"/>
      <c r="N183" s="163"/>
      <c r="O183" s="904">
        <f>L183</f>
        <v>122483.99999999999</v>
      </c>
      <c r="Q183" s="31"/>
      <c r="R183" s="31"/>
      <c r="S183" s="31"/>
    </row>
    <row r="184" spans="1:19" ht="36.75" customHeight="1" thickBot="1">
      <c r="A184" s="575" t="s">
        <v>26</v>
      </c>
      <c r="B184" s="806" t="s">
        <v>1337</v>
      </c>
      <c r="C184" s="807" t="s">
        <v>188</v>
      </c>
      <c r="D184" s="135" t="s">
        <v>210</v>
      </c>
      <c r="E184" s="137">
        <v>4</v>
      </c>
      <c r="F184" s="753" t="s">
        <v>187</v>
      </c>
      <c r="G184" s="747" t="s">
        <v>188</v>
      </c>
      <c r="H184" s="1340" t="s">
        <v>223</v>
      </c>
      <c r="I184" s="1341">
        <v>90976650</v>
      </c>
      <c r="J184" s="138" t="s">
        <v>65</v>
      </c>
      <c r="K184" s="139">
        <v>17</v>
      </c>
      <c r="L184" s="155"/>
      <c r="M184" s="145">
        <f>15182-13062</f>
        <v>2120</v>
      </c>
      <c r="N184" s="145">
        <f>39716-33844</f>
        <v>5872</v>
      </c>
      <c r="O184" s="146">
        <f>SUM(M184:N184)</f>
        <v>7992</v>
      </c>
      <c r="P184" s="31"/>
      <c r="Q184" s="31"/>
      <c r="R184" s="31"/>
    </row>
    <row r="185" spans="1:19" ht="36.75" customHeight="1">
      <c r="A185" s="741"/>
      <c r="B185" s="240" t="s">
        <v>22</v>
      </c>
      <c r="C185" s="241" t="s">
        <v>706</v>
      </c>
      <c r="D185" s="243"/>
      <c r="E185" s="54"/>
      <c r="G185" s="1622" t="s">
        <v>1920</v>
      </c>
      <c r="H185" s="118" t="s">
        <v>1244</v>
      </c>
      <c r="I185" s="12"/>
      <c r="N185" s="142" t="s">
        <v>23</v>
      </c>
      <c r="O185" s="750">
        <f>SUM(O183:O184)</f>
        <v>130475.99999999999</v>
      </c>
      <c r="Q185" s="31"/>
      <c r="R185" s="31"/>
      <c r="S185" s="31"/>
    </row>
    <row r="186" spans="1:19" ht="15">
      <c r="A186" s="741"/>
      <c r="B186" s="244"/>
      <c r="C186" s="245" t="s">
        <v>1085</v>
      </c>
      <c r="D186" s="247"/>
      <c r="E186" s="54"/>
      <c r="G186" s="13"/>
      <c r="H186" s="700" t="s">
        <v>1245</v>
      </c>
      <c r="I186" s="15"/>
      <c r="Q186" s="31"/>
      <c r="R186" s="31"/>
      <c r="S186" s="31"/>
    </row>
    <row r="187" spans="1:19" ht="15.75" thickBot="1">
      <c r="A187" s="741"/>
      <c r="B187" s="192"/>
      <c r="C187" s="246" t="s">
        <v>707</v>
      </c>
      <c r="D187" s="247"/>
      <c r="E187" s="54"/>
      <c r="G187" s="71"/>
      <c r="H187" s="702" t="s">
        <v>707</v>
      </c>
      <c r="I187" s="18"/>
      <c r="Q187" s="31"/>
      <c r="R187" s="31"/>
      <c r="S187" s="31"/>
    </row>
    <row r="188" spans="1:19" ht="15">
      <c r="A188" s="741"/>
      <c r="B188" s="604" t="s">
        <v>160</v>
      </c>
      <c r="C188" s="1272">
        <v>8222147185</v>
      </c>
      <c r="D188" s="247"/>
      <c r="E188" s="54"/>
      <c r="Q188" s="31"/>
      <c r="R188" s="31"/>
      <c r="S188" s="31"/>
    </row>
    <row r="189" spans="1:19" ht="15.75" thickBot="1">
      <c r="A189" s="741"/>
      <c r="B189" s="465" t="s">
        <v>1061</v>
      </c>
      <c r="C189" s="1274" t="s">
        <v>1086</v>
      </c>
      <c r="D189" s="251"/>
      <c r="E189" s="54"/>
      <c r="Q189" s="31"/>
      <c r="R189" s="31"/>
      <c r="S189" s="31"/>
    </row>
    <row r="190" spans="1:19">
      <c r="A190" s="741"/>
      <c r="B190" s="594"/>
      <c r="C190" s="335"/>
      <c r="D190" s="54"/>
      <c r="E190" s="54"/>
      <c r="Q190" s="31"/>
      <c r="R190" s="31"/>
      <c r="S190" s="31"/>
    </row>
    <row r="191" spans="1:19" ht="15" thickBot="1">
      <c r="A191" s="895"/>
      <c r="B191" s="594"/>
      <c r="C191" s="335"/>
      <c r="D191" s="54"/>
      <c r="E191" s="54"/>
      <c r="Q191" s="31"/>
      <c r="R191" s="31"/>
      <c r="S191" s="31"/>
    </row>
    <row r="192" spans="1:19" ht="54.75" customHeight="1">
      <c r="A192" s="1662" t="s">
        <v>6</v>
      </c>
      <c r="B192" s="1656" t="s">
        <v>7</v>
      </c>
      <c r="C192" s="1656" t="s">
        <v>8</v>
      </c>
      <c r="D192" s="1656" t="s">
        <v>9</v>
      </c>
      <c r="E192" s="1656" t="s">
        <v>812</v>
      </c>
      <c r="F192" s="1656" t="s">
        <v>11</v>
      </c>
      <c r="G192" s="1656" t="s">
        <v>12</v>
      </c>
      <c r="H192" s="1695" t="s">
        <v>13</v>
      </c>
      <c r="I192" s="1695" t="s">
        <v>269</v>
      </c>
      <c r="J192" s="1695" t="s">
        <v>59</v>
      </c>
      <c r="K192" s="1735" t="s">
        <v>15</v>
      </c>
      <c r="L192" s="1650" t="s">
        <v>641</v>
      </c>
      <c r="M192" s="1650"/>
      <c r="N192" s="1650"/>
      <c r="O192" s="1669"/>
      <c r="Q192" s="31"/>
      <c r="R192" s="31"/>
      <c r="S192" s="31"/>
    </row>
    <row r="193" spans="1:19" ht="54.75" customHeight="1">
      <c r="A193" s="1663"/>
      <c r="B193" s="1657"/>
      <c r="C193" s="1657"/>
      <c r="D193" s="1657"/>
      <c r="E193" s="1657"/>
      <c r="F193" s="1657"/>
      <c r="G193" s="1657"/>
      <c r="H193" s="1696"/>
      <c r="I193" s="1696"/>
      <c r="J193" s="1696"/>
      <c r="K193" s="1736"/>
      <c r="L193" s="1654" t="s">
        <v>638</v>
      </c>
      <c r="M193" s="1654" t="s">
        <v>639</v>
      </c>
      <c r="N193" s="1654" t="s">
        <v>640</v>
      </c>
      <c r="O193" s="1680" t="s">
        <v>643</v>
      </c>
      <c r="Q193" s="31"/>
      <c r="R193" s="31"/>
      <c r="S193" s="31"/>
    </row>
    <row r="194" spans="1:19">
      <c r="A194" s="1718"/>
      <c r="B194" s="1740"/>
      <c r="C194" s="1740"/>
      <c r="D194" s="1740"/>
      <c r="E194" s="1740"/>
      <c r="F194" s="1740"/>
      <c r="G194" s="1740"/>
      <c r="H194" s="1696"/>
      <c r="I194" s="1696"/>
      <c r="J194" s="1696"/>
      <c r="K194" s="1736"/>
      <c r="L194" s="1732"/>
      <c r="M194" s="1732"/>
      <c r="N194" s="1732"/>
      <c r="O194" s="1737"/>
      <c r="Q194" s="31"/>
      <c r="R194" s="31"/>
      <c r="S194" s="31"/>
    </row>
    <row r="195" spans="1:19" ht="34.5" customHeight="1" thickBot="1">
      <c r="A195" s="575" t="s">
        <v>26</v>
      </c>
      <c r="B195" s="1515" t="s">
        <v>1834</v>
      </c>
      <c r="C195" s="200" t="s">
        <v>188</v>
      </c>
      <c r="D195" s="200" t="s">
        <v>249</v>
      </c>
      <c r="E195" s="900">
        <v>12</v>
      </c>
      <c r="F195" s="183" t="s">
        <v>187</v>
      </c>
      <c r="G195" s="190" t="s">
        <v>188</v>
      </c>
      <c r="H195" s="1338" t="s">
        <v>960</v>
      </c>
      <c r="I195" s="1339">
        <v>218240</v>
      </c>
      <c r="J195" s="901" t="s">
        <v>28</v>
      </c>
      <c r="K195" s="975">
        <v>15</v>
      </c>
      <c r="L195" s="902">
        <f>10600-7484</f>
        <v>3116</v>
      </c>
      <c r="M195" s="400"/>
      <c r="N195" s="400"/>
      <c r="O195" s="902">
        <f>L195</f>
        <v>3116</v>
      </c>
      <c r="Q195" s="31"/>
      <c r="R195" s="31"/>
      <c r="S195" s="31"/>
    </row>
    <row r="196" spans="1:19" ht="30">
      <c r="A196" s="895"/>
      <c r="B196" s="240" t="s">
        <v>22</v>
      </c>
      <c r="C196" s="241" t="s">
        <v>706</v>
      </c>
      <c r="D196" s="243"/>
      <c r="E196" s="54"/>
      <c r="G196" s="1622" t="s">
        <v>1920</v>
      </c>
      <c r="H196" s="118" t="s">
        <v>1390</v>
      </c>
      <c r="I196" s="12"/>
      <c r="N196" s="142" t="s">
        <v>23</v>
      </c>
      <c r="O196" s="750">
        <f>SUM(O195)</f>
        <v>3116</v>
      </c>
      <c r="Q196" s="31"/>
      <c r="R196" s="31"/>
      <c r="S196" s="31"/>
    </row>
    <row r="197" spans="1:19" ht="15">
      <c r="A197" s="895"/>
      <c r="B197" s="244"/>
      <c r="C197" s="245" t="s">
        <v>1085</v>
      </c>
      <c r="D197" s="247"/>
      <c r="E197" s="54"/>
      <c r="G197" s="13"/>
      <c r="H197" s="700" t="s">
        <v>1391</v>
      </c>
      <c r="I197" s="15"/>
      <c r="Q197" s="31"/>
      <c r="R197" s="31"/>
      <c r="S197" s="31"/>
    </row>
    <row r="198" spans="1:19" ht="15.75" thickBot="1">
      <c r="A198" s="1290"/>
      <c r="B198" s="192"/>
      <c r="C198" s="246" t="s">
        <v>707</v>
      </c>
      <c r="D198" s="247"/>
      <c r="E198" s="54"/>
      <c r="G198" s="71"/>
      <c r="H198" s="702" t="s">
        <v>707</v>
      </c>
      <c r="I198" s="18"/>
      <c r="Q198" s="31"/>
      <c r="R198" s="31"/>
      <c r="S198" s="31"/>
    </row>
    <row r="199" spans="1:19" ht="15">
      <c r="A199" s="1290"/>
      <c r="B199" s="604" t="s">
        <v>160</v>
      </c>
      <c r="C199" s="1272">
        <v>8222147185</v>
      </c>
      <c r="D199" s="247"/>
      <c r="E199" s="54"/>
      <c r="H199" s="335"/>
      <c r="Q199" s="31"/>
      <c r="R199" s="31"/>
      <c r="S199" s="31"/>
    </row>
    <row r="200" spans="1:19" ht="15.75" thickBot="1">
      <c r="A200" s="895"/>
      <c r="B200" s="465" t="s">
        <v>1061</v>
      </c>
      <c r="C200" s="1274" t="s">
        <v>1086</v>
      </c>
      <c r="D200" s="251"/>
      <c r="E200" s="54"/>
      <c r="Q200" s="31"/>
      <c r="R200" s="31"/>
      <c r="S200" s="31"/>
    </row>
    <row r="201" spans="1:19" ht="17.25" customHeight="1">
      <c r="A201" s="895"/>
      <c r="B201" s="594"/>
      <c r="C201" s="335"/>
      <c r="D201" s="54"/>
      <c r="E201" s="54"/>
      <c r="Q201" s="31"/>
      <c r="R201" s="31"/>
      <c r="S201" s="31"/>
    </row>
    <row r="202" spans="1:19" ht="17.25" customHeight="1" thickBot="1">
      <c r="A202" s="924"/>
      <c r="B202" s="594"/>
      <c r="C202" s="335"/>
      <c r="D202" s="54"/>
      <c r="E202" s="54"/>
      <c r="Q202" s="31"/>
      <c r="R202" s="31"/>
      <c r="S202" s="31"/>
    </row>
    <row r="203" spans="1:19" ht="51" customHeight="1">
      <c r="A203" s="1662" t="s">
        <v>6</v>
      </c>
      <c r="B203" s="1656" t="s">
        <v>7</v>
      </c>
      <c r="C203" s="1656" t="s">
        <v>8</v>
      </c>
      <c r="D203" s="1656" t="s">
        <v>9</v>
      </c>
      <c r="E203" s="1656" t="s">
        <v>812</v>
      </c>
      <c r="F203" s="1656" t="s">
        <v>11</v>
      </c>
      <c r="G203" s="1656" t="s">
        <v>12</v>
      </c>
      <c r="H203" s="1695" t="s">
        <v>13</v>
      </c>
      <c r="I203" s="1695" t="s">
        <v>269</v>
      </c>
      <c r="J203" s="1695" t="s">
        <v>59</v>
      </c>
      <c r="K203" s="1735" t="s">
        <v>15</v>
      </c>
      <c r="L203" s="1650" t="s">
        <v>641</v>
      </c>
      <c r="M203" s="1650"/>
      <c r="N203" s="1650"/>
      <c r="O203" s="1669"/>
      <c r="Q203" s="31"/>
      <c r="R203" s="31"/>
      <c r="S203" s="31"/>
    </row>
    <row r="204" spans="1:19" ht="51" customHeight="1">
      <c r="A204" s="1663"/>
      <c r="B204" s="1657"/>
      <c r="C204" s="1657"/>
      <c r="D204" s="1657"/>
      <c r="E204" s="1657"/>
      <c r="F204" s="1657"/>
      <c r="G204" s="1657"/>
      <c r="H204" s="1696"/>
      <c r="I204" s="1696"/>
      <c r="J204" s="1696"/>
      <c r="K204" s="1736"/>
      <c r="L204" s="1654" t="s">
        <v>638</v>
      </c>
      <c r="M204" s="1654" t="s">
        <v>639</v>
      </c>
      <c r="N204" s="1654" t="s">
        <v>640</v>
      </c>
      <c r="O204" s="1680" t="s">
        <v>643</v>
      </c>
      <c r="Q204" s="31"/>
      <c r="R204" s="31"/>
      <c r="S204" s="31"/>
    </row>
    <row r="205" spans="1:19" ht="17.25" customHeight="1">
      <c r="A205" s="1718"/>
      <c r="B205" s="1740"/>
      <c r="C205" s="1740"/>
      <c r="D205" s="1740"/>
      <c r="E205" s="1740"/>
      <c r="F205" s="1740"/>
      <c r="G205" s="1740"/>
      <c r="H205" s="1696"/>
      <c r="I205" s="1696"/>
      <c r="J205" s="1696"/>
      <c r="K205" s="1736"/>
      <c r="L205" s="1732"/>
      <c r="M205" s="1732"/>
      <c r="N205" s="1732"/>
      <c r="O205" s="1737"/>
      <c r="Q205" s="31"/>
      <c r="R205" s="31"/>
      <c r="S205" s="31"/>
    </row>
    <row r="206" spans="1:19" ht="46.5" customHeight="1">
      <c r="A206" s="575" t="s">
        <v>26</v>
      </c>
      <c r="B206" s="9" t="s">
        <v>138</v>
      </c>
      <c r="C206" s="6" t="s">
        <v>188</v>
      </c>
      <c r="D206" s="6" t="s">
        <v>724</v>
      </c>
      <c r="E206" s="20" t="s">
        <v>745</v>
      </c>
      <c r="F206" s="22" t="s">
        <v>187</v>
      </c>
      <c r="G206" s="22" t="s">
        <v>188</v>
      </c>
      <c r="H206" s="695" t="s">
        <v>1087</v>
      </c>
      <c r="I206" s="22">
        <v>70968307</v>
      </c>
      <c r="J206" s="487" t="s">
        <v>28</v>
      </c>
      <c r="K206" s="673">
        <v>7.5</v>
      </c>
      <c r="L206" s="32">
        <f>2683-2464</f>
        <v>219</v>
      </c>
      <c r="M206" s="33"/>
      <c r="N206" s="33"/>
      <c r="O206" s="32">
        <f>L206</f>
        <v>219</v>
      </c>
      <c r="Q206" s="31"/>
      <c r="R206" s="31"/>
      <c r="S206" s="31"/>
    </row>
    <row r="207" spans="1:19" ht="46.5" customHeight="1" thickBot="1">
      <c r="A207" s="575" t="s">
        <v>26</v>
      </c>
      <c r="B207" s="3" t="s">
        <v>138</v>
      </c>
      <c r="C207" s="4" t="s">
        <v>188</v>
      </c>
      <c r="D207" s="4" t="s">
        <v>266</v>
      </c>
      <c r="E207" s="22" t="s">
        <v>746</v>
      </c>
      <c r="F207" s="22" t="s">
        <v>187</v>
      </c>
      <c r="G207" s="20" t="s">
        <v>188</v>
      </c>
      <c r="H207" s="771" t="s">
        <v>1088</v>
      </c>
      <c r="I207" s="20">
        <v>70653368</v>
      </c>
      <c r="J207" s="487" t="s">
        <v>28</v>
      </c>
      <c r="K207" s="673">
        <v>7.5</v>
      </c>
      <c r="L207" s="32">
        <f>1882-1875</f>
        <v>7</v>
      </c>
      <c r="M207" s="33"/>
      <c r="N207" s="33"/>
      <c r="O207" s="32">
        <f>L207</f>
        <v>7</v>
      </c>
      <c r="Q207" s="31"/>
      <c r="R207" s="31"/>
      <c r="S207" s="31"/>
    </row>
    <row r="208" spans="1:19" ht="38.25" customHeight="1">
      <c r="A208" s="924"/>
      <c r="B208" s="240" t="s">
        <v>22</v>
      </c>
      <c r="C208" s="241" t="s">
        <v>706</v>
      </c>
      <c r="D208" s="243"/>
      <c r="E208" s="54"/>
      <c r="G208" s="1622" t="s">
        <v>1920</v>
      </c>
      <c r="H208" s="11" t="s">
        <v>1443</v>
      </c>
      <c r="I208" s="12"/>
      <c r="N208" s="142" t="s">
        <v>23</v>
      </c>
      <c r="O208" s="750">
        <f>SUM(O206:O207)</f>
        <v>226</v>
      </c>
      <c r="Q208" s="31"/>
      <c r="R208" s="31"/>
      <c r="S208" s="31"/>
    </row>
    <row r="209" spans="1:19" ht="17.25" customHeight="1">
      <c r="A209" s="924"/>
      <c r="B209" s="244"/>
      <c r="C209" s="245" t="s">
        <v>1085</v>
      </c>
      <c r="D209" s="247"/>
      <c r="E209" s="54"/>
      <c r="G209" s="13"/>
      <c r="H209" s="14" t="s">
        <v>1027</v>
      </c>
      <c r="I209" s="15"/>
      <c r="Q209" s="31"/>
      <c r="R209" s="31"/>
      <c r="S209" s="31"/>
    </row>
    <row r="210" spans="1:19" ht="17.25" customHeight="1" thickBot="1">
      <c r="A210" s="924"/>
      <c r="B210" s="192"/>
      <c r="C210" s="246" t="s">
        <v>707</v>
      </c>
      <c r="D210" s="247"/>
      <c r="E210" s="54"/>
      <c r="G210" s="71"/>
      <c r="H210" s="17" t="s">
        <v>707</v>
      </c>
      <c r="I210" s="18"/>
      <c r="Q210" s="31"/>
      <c r="R210" s="31"/>
      <c r="S210" s="31"/>
    </row>
    <row r="211" spans="1:19" ht="17.25" customHeight="1">
      <c r="A211" s="924"/>
      <c r="B211" s="604" t="s">
        <v>160</v>
      </c>
      <c r="C211" s="1272">
        <v>8222147185</v>
      </c>
      <c r="D211" s="247"/>
      <c r="E211" s="54"/>
      <c r="Q211" s="31"/>
      <c r="R211" s="31"/>
      <c r="S211" s="31"/>
    </row>
    <row r="212" spans="1:19" ht="17.25" customHeight="1" thickBot="1">
      <c r="A212" s="924"/>
      <c r="B212" s="465" t="s">
        <v>1061</v>
      </c>
      <c r="C212" s="1274" t="s">
        <v>1086</v>
      </c>
      <c r="D212" s="251"/>
      <c r="E212" s="54"/>
      <c r="Q212" s="31"/>
      <c r="R212" s="31"/>
      <c r="S212" s="31"/>
    </row>
    <row r="213" spans="1:19" ht="21" customHeight="1">
      <c r="A213" s="741"/>
      <c r="B213" s="594"/>
      <c r="C213" s="335"/>
      <c r="D213" s="54"/>
      <c r="E213" s="54"/>
      <c r="L213" s="36" t="s">
        <v>62</v>
      </c>
      <c r="M213" s="31">
        <f>O32+O42+O53+O73+O83+O94+O105+O116+O127+O149+O159+O173+O185+O196+O208</f>
        <v>1245936.1499999999</v>
      </c>
      <c r="Q213" s="31"/>
      <c r="R213" s="31"/>
      <c r="S213" s="31"/>
    </row>
    <row r="214" spans="1:19" ht="15" thickBot="1">
      <c r="A214" s="287"/>
      <c r="B214" s="594"/>
      <c r="C214" s="335"/>
      <c r="D214" s="54"/>
      <c r="Q214" s="31"/>
      <c r="R214" s="31"/>
      <c r="S214" s="31"/>
    </row>
    <row r="215" spans="1:19" ht="49.5" customHeight="1">
      <c r="J215" s="1738" t="s">
        <v>59</v>
      </c>
      <c r="K215" s="1708" t="s">
        <v>644</v>
      </c>
      <c r="L215" s="1709"/>
      <c r="M215" s="1710"/>
      <c r="N215" s="1711" t="s">
        <v>60</v>
      </c>
    </row>
    <row r="216" spans="1:19" ht="24" customHeight="1" thickBot="1">
      <c r="J216" s="1739"/>
      <c r="K216" s="274" t="s">
        <v>61</v>
      </c>
      <c r="L216" s="274" t="s">
        <v>639</v>
      </c>
      <c r="M216" s="274" t="s">
        <v>640</v>
      </c>
      <c r="N216" s="1712"/>
    </row>
    <row r="217" spans="1:19" ht="21" customHeight="1">
      <c r="J217" s="977" t="s">
        <v>28</v>
      </c>
      <c r="K217" s="959">
        <f>O21+O28+O29+O30+O145+O31+O52+O68+O71+O142+O143+O158+O169+O170+O171+O195+O206+O207+O72+O146+O147+O148+O144</f>
        <v>135621</v>
      </c>
      <c r="L217" s="216"/>
      <c r="M217" s="979"/>
      <c r="N217" s="794">
        <v>23</v>
      </c>
    </row>
    <row r="218" spans="1:19" ht="21" customHeight="1">
      <c r="J218" s="977" t="s">
        <v>21</v>
      </c>
      <c r="K218" s="959">
        <f>O115+O183</f>
        <v>170780.99999999997</v>
      </c>
      <c r="L218" s="216"/>
      <c r="M218" s="979"/>
      <c r="N218" s="794">
        <v>2</v>
      </c>
    </row>
    <row r="219" spans="1:19" ht="21" customHeight="1">
      <c r="J219" s="977" t="s">
        <v>70</v>
      </c>
      <c r="K219" s="968"/>
      <c r="L219" s="171">
        <f>M137</f>
        <v>119770.40000000001</v>
      </c>
      <c r="M219" s="965">
        <f>N137</f>
        <v>287171.20000000001</v>
      </c>
      <c r="N219" s="952">
        <v>1</v>
      </c>
    </row>
    <row r="220" spans="1:19" ht="21" customHeight="1">
      <c r="A220" s="287"/>
      <c r="J220" s="977" t="s">
        <v>259</v>
      </c>
      <c r="K220" s="980"/>
      <c r="L220" s="289">
        <f>M138</f>
        <v>115957.35</v>
      </c>
      <c r="M220" s="981">
        <f>N138</f>
        <v>78397.2</v>
      </c>
      <c r="N220" s="985">
        <v>1</v>
      </c>
    </row>
    <row r="221" spans="1:19" ht="21" customHeight="1" thickBot="1">
      <c r="H221" s="31"/>
      <c r="J221" s="795" t="s">
        <v>65</v>
      </c>
      <c r="K221" s="982"/>
      <c r="L221" s="983">
        <f>M18+M19+M20+M22+M23+M24+M25+M26+M27+M41+M52+M63+M64+M65+M66+M67+M69+M70+M82+M93+M104+M126+M139+M140+M141+M172+M184</f>
        <v>104533</v>
      </c>
      <c r="M221" s="984">
        <f>N18+N19+N20+N22+N23+N24+N25+N26+N27+N41+N52+N63+N64+N65+N66+N67+N69+N70+N82+N93+N104+N126+N139+N140+N141+N172+N184</f>
        <v>233705</v>
      </c>
      <c r="N221" s="953">
        <v>27</v>
      </c>
    </row>
    <row r="222" spans="1:19" ht="21" customHeight="1" thickBot="1">
      <c r="J222" s="341" t="s">
        <v>62</v>
      </c>
      <c r="K222" s="291">
        <f>SUM(K217:K221)</f>
        <v>306402</v>
      </c>
      <c r="L222" s="292">
        <f>SUM(L217:L221)</f>
        <v>340260.75</v>
      </c>
      <c r="M222" s="173">
        <f>SUM(M217:M221)</f>
        <v>599273.4</v>
      </c>
      <c r="N222" s="802">
        <f>SUM(N217:N221)</f>
        <v>54</v>
      </c>
    </row>
    <row r="223" spans="1:19" ht="21" customHeight="1" thickBot="1">
      <c r="K223" s="123" t="s">
        <v>63</v>
      </c>
      <c r="L223" s="694">
        <f>SUM(K222:M222)</f>
        <v>1245936.1499999999</v>
      </c>
      <c r="M223" s="31"/>
      <c r="N223" s="31"/>
    </row>
    <row r="228" spans="14:14">
      <c r="N228" s="31"/>
    </row>
  </sheetData>
  <mergeCells count="213">
    <mergeCell ref="J180:J182"/>
    <mergeCell ref="K180:K182"/>
    <mergeCell ref="N181:N182"/>
    <mergeCell ref="L181:L182"/>
    <mergeCell ref="M181:M182"/>
    <mergeCell ref="A192:A194"/>
    <mergeCell ref="B192:B194"/>
    <mergeCell ref="C192:C194"/>
    <mergeCell ref="D192:D194"/>
    <mergeCell ref="E192:E194"/>
    <mergeCell ref="F192:F194"/>
    <mergeCell ref="G192:G194"/>
    <mergeCell ref="H192:H194"/>
    <mergeCell ref="I192:I194"/>
    <mergeCell ref="J192:J194"/>
    <mergeCell ref="K192:K194"/>
    <mergeCell ref="L192:O192"/>
    <mergeCell ref="L193:L194"/>
    <mergeCell ref="M193:M194"/>
    <mergeCell ref="N193:N194"/>
    <mergeCell ref="O193:O194"/>
    <mergeCell ref="A180:A182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G166:G168"/>
    <mergeCell ref="H166:H168"/>
    <mergeCell ref="I166:I168"/>
    <mergeCell ref="A166:A168"/>
    <mergeCell ref="B166:B168"/>
    <mergeCell ref="C166:C168"/>
    <mergeCell ref="D166:D168"/>
    <mergeCell ref="E166:E168"/>
    <mergeCell ref="F166:F168"/>
    <mergeCell ref="J166:J168"/>
    <mergeCell ref="K166:K168"/>
    <mergeCell ref="L166:O166"/>
    <mergeCell ref="K155:K157"/>
    <mergeCell ref="O167:O168"/>
    <mergeCell ref="L156:O156"/>
    <mergeCell ref="L167:L168"/>
    <mergeCell ref="M167:M168"/>
    <mergeCell ref="N167:N168"/>
    <mergeCell ref="J155:J157"/>
    <mergeCell ref="A155:A157"/>
    <mergeCell ref="B155:B157"/>
    <mergeCell ref="C155:C157"/>
    <mergeCell ref="D155:D157"/>
    <mergeCell ref="E155:E157"/>
    <mergeCell ref="F155:F157"/>
    <mergeCell ref="G15:G17"/>
    <mergeCell ref="I15:I17"/>
    <mergeCell ref="H15:H17"/>
    <mergeCell ref="G38:G40"/>
    <mergeCell ref="G155:G157"/>
    <mergeCell ref="I155:I157"/>
    <mergeCell ref="H155:H157"/>
    <mergeCell ref="H123:H125"/>
    <mergeCell ref="I38:I40"/>
    <mergeCell ref="G101:G103"/>
    <mergeCell ref="J15:J17"/>
    <mergeCell ref="K15:K17"/>
    <mergeCell ref="L15:O15"/>
    <mergeCell ref="L16:O16"/>
    <mergeCell ref="L38:O38"/>
    <mergeCell ref="J49:J51"/>
    <mergeCell ref="I123:I125"/>
    <mergeCell ref="I60:I62"/>
    <mergeCell ref="H60:H62"/>
    <mergeCell ref="J101:J103"/>
    <mergeCell ref="L80:O80"/>
    <mergeCell ref="G79:G81"/>
    <mergeCell ref="I79:I81"/>
    <mergeCell ref="H79:H81"/>
    <mergeCell ref="L61:O61"/>
    <mergeCell ref="G60:G62"/>
    <mergeCell ref="L39:O39"/>
    <mergeCell ref="H38:H40"/>
    <mergeCell ref="J38:J40"/>
    <mergeCell ref="K38:K40"/>
    <mergeCell ref="A15:A17"/>
    <mergeCell ref="B15:B17"/>
    <mergeCell ref="C15:C17"/>
    <mergeCell ref="D15:D17"/>
    <mergeCell ref="E15:E17"/>
    <mergeCell ref="F15:F17"/>
    <mergeCell ref="O181:O182"/>
    <mergeCell ref="L102:O102"/>
    <mergeCell ref="L155:O155"/>
    <mergeCell ref="L113:O113"/>
    <mergeCell ref="G112:G114"/>
    <mergeCell ref="I112:I114"/>
    <mergeCell ref="H112:H114"/>
    <mergeCell ref="J112:J114"/>
    <mergeCell ref="K112:K114"/>
    <mergeCell ref="J123:J125"/>
    <mergeCell ref="K123:K125"/>
    <mergeCell ref="L123:O123"/>
    <mergeCell ref="L134:O134"/>
    <mergeCell ref="L135:O135"/>
    <mergeCell ref="K134:K136"/>
    <mergeCell ref="L180:O180"/>
    <mergeCell ref="I101:I103"/>
    <mergeCell ref="H101:H103"/>
    <mergeCell ref="A49:A51"/>
    <mergeCell ref="B49:B51"/>
    <mergeCell ref="C49:C51"/>
    <mergeCell ref="D49:D51"/>
    <mergeCell ref="E49:E51"/>
    <mergeCell ref="F49:F51"/>
    <mergeCell ref="A38:A40"/>
    <mergeCell ref="B38:B40"/>
    <mergeCell ref="C38:C40"/>
    <mergeCell ref="D38:D40"/>
    <mergeCell ref="E38:E40"/>
    <mergeCell ref="F38:F40"/>
    <mergeCell ref="A90:A92"/>
    <mergeCell ref="B90:B92"/>
    <mergeCell ref="C90:C92"/>
    <mergeCell ref="D90:D92"/>
    <mergeCell ref="E90:E92"/>
    <mergeCell ref="F90:F92"/>
    <mergeCell ref="L60:O60"/>
    <mergeCell ref="A79:A81"/>
    <mergeCell ref="B79:B81"/>
    <mergeCell ref="C79:C81"/>
    <mergeCell ref="D79:D81"/>
    <mergeCell ref="E79:E81"/>
    <mergeCell ref="F79:F81"/>
    <mergeCell ref="J79:J81"/>
    <mergeCell ref="K79:K81"/>
    <mergeCell ref="L79:O79"/>
    <mergeCell ref="A60:A62"/>
    <mergeCell ref="B60:B62"/>
    <mergeCell ref="C60:C62"/>
    <mergeCell ref="D60:D62"/>
    <mergeCell ref="E60:E62"/>
    <mergeCell ref="F60:F62"/>
    <mergeCell ref="J60:J62"/>
    <mergeCell ref="K60:K62"/>
    <mergeCell ref="A112:A114"/>
    <mergeCell ref="B112:B114"/>
    <mergeCell ref="C112:C114"/>
    <mergeCell ref="D112:D114"/>
    <mergeCell ref="E112:E114"/>
    <mergeCell ref="F112:F114"/>
    <mergeCell ref="A101:A103"/>
    <mergeCell ref="B101:B103"/>
    <mergeCell ref="C101:C103"/>
    <mergeCell ref="D101:D103"/>
    <mergeCell ref="E101:E103"/>
    <mergeCell ref="F101:F103"/>
    <mergeCell ref="A134:A136"/>
    <mergeCell ref="B134:B136"/>
    <mergeCell ref="C134:C136"/>
    <mergeCell ref="D134:D136"/>
    <mergeCell ref="E134:E136"/>
    <mergeCell ref="G134:G136"/>
    <mergeCell ref="F134:F136"/>
    <mergeCell ref="A123:A125"/>
    <mergeCell ref="B123:B125"/>
    <mergeCell ref="C123:C125"/>
    <mergeCell ref="D123:D125"/>
    <mergeCell ref="E123:E125"/>
    <mergeCell ref="F123:F125"/>
    <mergeCell ref="J134:J136"/>
    <mergeCell ref="L124:O124"/>
    <mergeCell ref="B3:J3"/>
    <mergeCell ref="B5:J5"/>
    <mergeCell ref="B1:I1"/>
    <mergeCell ref="I134:I136"/>
    <mergeCell ref="H134:H136"/>
    <mergeCell ref="G90:G92"/>
    <mergeCell ref="G123:G125"/>
    <mergeCell ref="I90:I92"/>
    <mergeCell ref="K49:K51"/>
    <mergeCell ref="L49:O49"/>
    <mergeCell ref="L112:O112"/>
    <mergeCell ref="L91:O91"/>
    <mergeCell ref="H90:H92"/>
    <mergeCell ref="J90:J92"/>
    <mergeCell ref="K90:K92"/>
    <mergeCell ref="L90:O90"/>
    <mergeCell ref="K101:K103"/>
    <mergeCell ref="L101:O101"/>
    <mergeCell ref="L50:O50"/>
    <mergeCell ref="G49:G51"/>
    <mergeCell ref="I49:I51"/>
    <mergeCell ref="H49:H51"/>
    <mergeCell ref="J215:J216"/>
    <mergeCell ref="K215:M215"/>
    <mergeCell ref="N215:N216"/>
    <mergeCell ref="A203:A205"/>
    <mergeCell ref="B203:B205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O203"/>
    <mergeCell ref="L204:L205"/>
    <mergeCell ref="M204:M205"/>
    <mergeCell ref="N204:N205"/>
    <mergeCell ref="O204:O205"/>
  </mergeCells>
  <pageMargins left="0.7" right="0.7" top="0.75" bottom="0.75" header="0.3" footer="0.3"/>
  <pageSetup paperSize="9" orientation="portrait" r:id="rId1"/>
  <ignoredErrors>
    <ignoredError sqref="E82 I172" numberStoredAsText="1"/>
    <ignoredError sqref="O21 O6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7"/>
  <sheetViews>
    <sheetView tabSelected="1" topLeftCell="A91" zoomScale="80" zoomScaleNormal="80" workbookViewId="0">
      <selection activeCell="E116" sqref="E116"/>
    </sheetView>
  </sheetViews>
  <sheetFormatPr defaultRowHeight="14.25"/>
  <cols>
    <col min="1" max="1" width="11.875" style="1" customWidth="1"/>
    <col min="2" max="2" width="25.625" style="1" customWidth="1"/>
    <col min="3" max="3" width="16.875" style="1" customWidth="1"/>
    <col min="4" max="4" width="17.25" style="1" customWidth="1"/>
    <col min="5" max="5" width="10.875" style="1" customWidth="1"/>
    <col min="6" max="6" width="9" style="1"/>
    <col min="7" max="7" width="14" style="1" customWidth="1"/>
    <col min="8" max="8" width="17.625" style="1" customWidth="1"/>
    <col min="9" max="9" width="25.875" style="1" customWidth="1"/>
    <col min="10" max="10" width="11.125" style="1" customWidth="1"/>
    <col min="11" max="11" width="10.75" style="7" customWidth="1"/>
    <col min="12" max="12" width="16.125" style="1" customWidth="1"/>
    <col min="13" max="13" width="14.5" style="1" customWidth="1"/>
    <col min="14" max="14" width="16.875" style="1" customWidth="1"/>
    <col min="15" max="15" width="16.375" style="1" customWidth="1"/>
    <col min="16" max="16" width="13.75" style="1" customWidth="1"/>
    <col min="17" max="17" width="13.25" style="1" customWidth="1"/>
    <col min="18" max="18" width="15" style="1" customWidth="1"/>
    <col min="19" max="19" width="16.625" style="1" customWidth="1"/>
    <col min="20" max="20" width="20.625" style="1" customWidth="1"/>
    <col min="21" max="21" width="21.25" style="1" customWidth="1"/>
    <col min="22" max="16384" width="9" style="1"/>
  </cols>
  <sheetData>
    <row r="1" spans="1:15" ht="18">
      <c r="B1" s="1691" t="s">
        <v>1174</v>
      </c>
      <c r="C1" s="1691"/>
      <c r="D1" s="1691"/>
      <c r="E1" s="1691"/>
      <c r="F1" s="1691"/>
      <c r="G1" s="1691"/>
      <c r="H1" s="1691"/>
      <c r="I1" s="1691"/>
    </row>
    <row r="3" spans="1:15" ht="29.25" customHeight="1">
      <c r="B3" s="1684" t="s">
        <v>697</v>
      </c>
      <c r="C3" s="1685"/>
      <c r="D3" s="1685"/>
      <c r="E3" s="1685"/>
      <c r="F3" s="1685"/>
      <c r="G3" s="1685"/>
      <c r="H3" s="1685"/>
      <c r="I3" s="1686"/>
      <c r="J3" s="471"/>
    </row>
    <row r="4" spans="1:15" ht="15">
      <c r="B4" s="469"/>
      <c r="C4" s="469"/>
      <c r="D4" s="469"/>
      <c r="E4" s="469"/>
      <c r="F4" s="469"/>
      <c r="G4" s="469"/>
      <c r="H4" s="469"/>
      <c r="I4" s="469"/>
      <c r="J4" s="471"/>
    </row>
    <row r="5" spans="1:15" ht="15">
      <c r="B5" s="1687" t="s">
        <v>1053</v>
      </c>
      <c r="C5" s="1687"/>
      <c r="D5" s="1687"/>
      <c r="E5" s="1687"/>
      <c r="F5" s="1687"/>
      <c r="G5" s="1687"/>
      <c r="H5" s="1687"/>
      <c r="I5" s="1687"/>
      <c r="J5" s="1687"/>
    </row>
    <row r="6" spans="1:15" ht="15">
      <c r="B6" s="469"/>
      <c r="C6" s="469"/>
      <c r="D6" s="469"/>
      <c r="E6" s="469"/>
      <c r="F6" s="469"/>
      <c r="G6" s="469"/>
      <c r="H6" s="469"/>
      <c r="I6" s="472"/>
      <c r="J6" s="471"/>
    </row>
    <row r="7" spans="1:15" ht="15.75">
      <c r="B7" s="470" t="s">
        <v>1</v>
      </c>
      <c r="C7" s="471"/>
      <c r="D7" s="469"/>
      <c r="E7" s="469"/>
      <c r="F7" s="469"/>
      <c r="G7" s="471"/>
      <c r="H7" s="469"/>
      <c r="I7" s="472"/>
      <c r="J7" s="471"/>
    </row>
    <row r="8" spans="1:15" ht="15.75">
      <c r="B8" s="1307" t="s">
        <v>1921</v>
      </c>
      <c r="C8" s="471"/>
      <c r="D8" s="469"/>
      <c r="E8" s="469"/>
      <c r="F8" s="469"/>
      <c r="G8" s="471"/>
      <c r="H8" s="469"/>
      <c r="I8" s="472"/>
      <c r="J8" s="471"/>
    </row>
    <row r="9" spans="1:15" ht="15.75">
      <c r="B9" s="473" t="s">
        <v>1872</v>
      </c>
      <c r="C9" s="471"/>
      <c r="D9" s="474"/>
      <c r="E9" s="469"/>
      <c r="F9" s="469"/>
      <c r="G9" s="471"/>
      <c r="H9" s="469"/>
      <c r="I9" s="472"/>
      <c r="J9" s="471"/>
    </row>
    <row r="10" spans="1:15" ht="15.75">
      <c r="B10" s="473" t="s">
        <v>1045</v>
      </c>
      <c r="C10" s="471"/>
      <c r="D10" s="474"/>
      <c r="E10" s="469"/>
      <c r="F10" s="469"/>
      <c r="G10" s="471"/>
      <c r="H10" s="469"/>
      <c r="I10" s="472"/>
      <c r="J10" s="471"/>
    </row>
    <row r="11" spans="1:15" ht="15">
      <c r="B11" s="471" t="s">
        <v>1044</v>
      </c>
      <c r="C11" s="471"/>
      <c r="D11" s="471"/>
      <c r="E11" s="471"/>
      <c r="F11" s="471"/>
      <c r="G11" s="471"/>
      <c r="H11" s="469"/>
      <c r="I11" s="472"/>
      <c r="J11" s="471"/>
    </row>
    <row r="12" spans="1:15" ht="15.75">
      <c r="B12" s="475" t="s">
        <v>2</v>
      </c>
      <c r="C12" s="476" t="s">
        <v>3</v>
      </c>
      <c r="D12" s="474"/>
      <c r="E12" s="474"/>
      <c r="F12" s="474"/>
      <c r="G12" s="474"/>
      <c r="H12" s="474"/>
      <c r="I12" s="157"/>
      <c r="J12" s="471"/>
    </row>
    <row r="13" spans="1:15" ht="16.5" thickBot="1">
      <c r="B13" s="475" t="s">
        <v>4</v>
      </c>
      <c r="C13" s="470" t="s">
        <v>5</v>
      </c>
      <c r="D13" s="474"/>
      <c r="E13" s="474"/>
      <c r="F13" s="474"/>
      <c r="G13" s="474"/>
      <c r="H13" s="477"/>
      <c r="I13" s="157"/>
      <c r="J13" s="471"/>
    </row>
    <row r="14" spans="1:15" ht="27.75" customHeight="1" thickBot="1">
      <c r="A14" s="57"/>
      <c r="B14" s="56"/>
      <c r="C14" s="57"/>
      <c r="D14" s="57"/>
      <c r="E14" s="57"/>
      <c r="F14" s="57"/>
      <c r="G14" s="1742" t="s">
        <v>1030</v>
      </c>
      <c r="H14" s="1743"/>
      <c r="I14" s="57"/>
    </row>
    <row r="15" spans="1:15" ht="45" customHeight="1">
      <c r="A15" s="1670" t="s">
        <v>6</v>
      </c>
      <c r="B15" s="1673" t="s">
        <v>633</v>
      </c>
      <c r="C15" s="1676" t="s">
        <v>8</v>
      </c>
      <c r="D15" s="1676" t="s">
        <v>9</v>
      </c>
      <c r="E15" s="1656" t="s">
        <v>634</v>
      </c>
      <c r="F15" s="1656" t="s">
        <v>11</v>
      </c>
      <c r="G15" s="1676" t="s">
        <v>12</v>
      </c>
      <c r="H15" s="1656" t="s">
        <v>757</v>
      </c>
      <c r="I15" s="1656" t="s">
        <v>13</v>
      </c>
      <c r="J15" s="1656" t="s">
        <v>59</v>
      </c>
      <c r="K15" s="1665" t="s">
        <v>635</v>
      </c>
      <c r="L15" s="1725" t="s">
        <v>636</v>
      </c>
      <c r="M15" s="1719"/>
      <c r="N15" s="1719"/>
      <c r="O15" s="1726"/>
    </row>
    <row r="16" spans="1:15" ht="40.5" customHeight="1">
      <c r="A16" s="1671"/>
      <c r="B16" s="1674"/>
      <c r="C16" s="1677"/>
      <c r="D16" s="1677"/>
      <c r="E16" s="1657"/>
      <c r="F16" s="1657"/>
      <c r="G16" s="1677"/>
      <c r="H16" s="1657"/>
      <c r="I16" s="1657"/>
      <c r="J16" s="1657"/>
      <c r="K16" s="1666"/>
      <c r="L16" s="1679" t="s">
        <v>637</v>
      </c>
      <c r="M16" s="1654"/>
      <c r="N16" s="1654"/>
      <c r="O16" s="1680"/>
    </row>
    <row r="17" spans="1:15" ht="35.25" customHeight="1" thickBot="1">
      <c r="A17" s="1672"/>
      <c r="B17" s="1675"/>
      <c r="C17" s="1678"/>
      <c r="D17" s="1678"/>
      <c r="E17" s="1658"/>
      <c r="F17" s="1658"/>
      <c r="G17" s="1678"/>
      <c r="H17" s="1658"/>
      <c r="I17" s="1658"/>
      <c r="J17" s="1658"/>
      <c r="K17" s="1667"/>
      <c r="L17" s="263" t="s">
        <v>638</v>
      </c>
      <c r="M17" s="270" t="s">
        <v>639</v>
      </c>
      <c r="N17" s="270" t="s">
        <v>640</v>
      </c>
      <c r="O17" s="265" t="s">
        <v>16</v>
      </c>
    </row>
    <row r="18" spans="1:15" ht="30" thickBot="1">
      <c r="A18" s="575" t="s">
        <v>26</v>
      </c>
      <c r="B18" s="9" t="s">
        <v>1860</v>
      </c>
      <c r="C18" s="9" t="s">
        <v>270</v>
      </c>
      <c r="D18" s="6"/>
      <c r="E18" s="9" t="s">
        <v>1861</v>
      </c>
      <c r="F18" s="4" t="s">
        <v>20</v>
      </c>
      <c r="G18" s="3" t="s">
        <v>18</v>
      </c>
      <c r="H18" s="22">
        <v>88035176</v>
      </c>
      <c r="I18" s="695" t="s">
        <v>760</v>
      </c>
      <c r="J18" s="29" t="s">
        <v>65</v>
      </c>
      <c r="K18" s="174">
        <v>13</v>
      </c>
      <c r="L18" s="33"/>
      <c r="M18" s="34">
        <f>1153-581</f>
        <v>572</v>
      </c>
      <c r="N18" s="34">
        <f>3392-1473</f>
        <v>1919</v>
      </c>
      <c r="O18" s="32">
        <f>SUM(M18:N18)</f>
        <v>2491</v>
      </c>
    </row>
    <row r="19" spans="1:15" ht="36.75" customHeight="1">
      <c r="B19" s="10" t="s">
        <v>158</v>
      </c>
      <c r="C19" s="80" t="s">
        <v>271</v>
      </c>
      <c r="D19" s="11"/>
      <c r="E19" s="42"/>
      <c r="H19" s="1622" t="s">
        <v>1920</v>
      </c>
      <c r="I19" s="87" t="s">
        <v>1847</v>
      </c>
      <c r="J19" s="121"/>
      <c r="K19" s="121"/>
      <c r="L19" s="887"/>
      <c r="N19" s="4" t="s">
        <v>23</v>
      </c>
      <c r="O19" s="556">
        <f>SUM(O18)</f>
        <v>2491</v>
      </c>
    </row>
    <row r="20" spans="1:15" ht="15">
      <c r="B20" s="13"/>
      <c r="C20" s="68" t="s">
        <v>272</v>
      </c>
      <c r="D20" s="14"/>
      <c r="E20" s="40"/>
      <c r="H20" s="16"/>
      <c r="I20" s="73" t="s">
        <v>1648</v>
      </c>
      <c r="J20" s="43"/>
      <c r="K20" s="43"/>
      <c r="L20" s="27"/>
    </row>
    <row r="21" spans="1:15" ht="15.75" thickBot="1">
      <c r="B21" s="13"/>
      <c r="C21" s="68" t="s">
        <v>25</v>
      </c>
      <c r="D21" s="14"/>
      <c r="E21" s="15"/>
      <c r="H21" s="1124"/>
      <c r="I21" s="72" t="s">
        <v>25</v>
      </c>
      <c r="J21" s="113"/>
      <c r="K21" s="113"/>
      <c r="L21" s="889"/>
    </row>
    <row r="22" spans="1:15" ht="15.75" thickBot="1">
      <c r="B22" s="71"/>
      <c r="C22" s="97" t="s">
        <v>273</v>
      </c>
      <c r="D22" s="17"/>
      <c r="E22" s="18"/>
    </row>
    <row r="24" spans="1:15" ht="15" thickBot="1"/>
    <row r="25" spans="1:15" ht="47.25" customHeight="1">
      <c r="A25" s="1670" t="s">
        <v>6</v>
      </c>
      <c r="B25" s="1673" t="s">
        <v>633</v>
      </c>
      <c r="C25" s="1676" t="s">
        <v>8</v>
      </c>
      <c r="D25" s="1676" t="s">
        <v>9</v>
      </c>
      <c r="E25" s="1656" t="s">
        <v>634</v>
      </c>
      <c r="F25" s="1656" t="s">
        <v>11</v>
      </c>
      <c r="G25" s="1676" t="s">
        <v>12</v>
      </c>
      <c r="H25" s="1656" t="s">
        <v>269</v>
      </c>
      <c r="I25" s="1656" t="s">
        <v>13</v>
      </c>
      <c r="J25" s="1656" t="s">
        <v>59</v>
      </c>
      <c r="K25" s="1665" t="s">
        <v>635</v>
      </c>
      <c r="L25" s="1725" t="s">
        <v>636</v>
      </c>
      <c r="M25" s="1719"/>
      <c r="N25" s="1719"/>
      <c r="O25" s="1726"/>
    </row>
    <row r="26" spans="1:15" ht="40.5" customHeight="1">
      <c r="A26" s="1671"/>
      <c r="B26" s="1674"/>
      <c r="C26" s="1677"/>
      <c r="D26" s="1677"/>
      <c r="E26" s="1657"/>
      <c r="F26" s="1657"/>
      <c r="G26" s="1677"/>
      <c r="H26" s="1657"/>
      <c r="I26" s="1657"/>
      <c r="J26" s="1657"/>
      <c r="K26" s="1666"/>
      <c r="L26" s="1679" t="s">
        <v>637</v>
      </c>
      <c r="M26" s="1654"/>
      <c r="N26" s="1654"/>
      <c r="O26" s="1680"/>
    </row>
    <row r="27" spans="1:15" ht="36" customHeight="1" thickBot="1">
      <c r="A27" s="1672"/>
      <c r="B27" s="1675"/>
      <c r="C27" s="1678"/>
      <c r="D27" s="1678"/>
      <c r="E27" s="1658"/>
      <c r="F27" s="1658"/>
      <c r="G27" s="1678"/>
      <c r="H27" s="1658"/>
      <c r="I27" s="1658"/>
      <c r="J27" s="1658"/>
      <c r="K27" s="1667"/>
      <c r="L27" s="263" t="s">
        <v>638</v>
      </c>
      <c r="M27" s="270" t="s">
        <v>639</v>
      </c>
      <c r="N27" s="270" t="s">
        <v>640</v>
      </c>
      <c r="O27" s="265" t="s">
        <v>16</v>
      </c>
    </row>
    <row r="28" spans="1:15" ht="37.5" customHeight="1">
      <c r="A28" s="575" t="s">
        <v>26</v>
      </c>
      <c r="B28" s="3" t="s">
        <v>283</v>
      </c>
      <c r="C28" s="3" t="s">
        <v>27</v>
      </c>
      <c r="D28" s="3" t="s">
        <v>284</v>
      </c>
      <c r="E28" s="4"/>
      <c r="F28" s="4" t="s">
        <v>20</v>
      </c>
      <c r="G28" s="3" t="s">
        <v>18</v>
      </c>
      <c r="H28" s="22">
        <v>234586</v>
      </c>
      <c r="I28" s="695" t="s">
        <v>285</v>
      </c>
      <c r="J28" s="29" t="s">
        <v>65</v>
      </c>
      <c r="K28" s="174">
        <v>2.5</v>
      </c>
      <c r="L28" s="33"/>
      <c r="M28" s="32">
        <f>949-639</f>
        <v>310</v>
      </c>
      <c r="N28" s="32">
        <f>1077-258</f>
        <v>819</v>
      </c>
      <c r="O28" s="32">
        <f t="shared" ref="O28:O43" si="0">SUM(M28:N28)</f>
        <v>1129</v>
      </c>
    </row>
    <row r="29" spans="1:15" ht="37.5" customHeight="1">
      <c r="A29" s="575" t="s">
        <v>26</v>
      </c>
      <c r="B29" s="3" t="s">
        <v>286</v>
      </c>
      <c r="C29" s="3" t="s">
        <v>27</v>
      </c>
      <c r="D29" s="3" t="s">
        <v>284</v>
      </c>
      <c r="E29" s="4"/>
      <c r="F29" s="4" t="s">
        <v>20</v>
      </c>
      <c r="G29" s="3" t="s">
        <v>18</v>
      </c>
      <c r="H29" s="22">
        <v>160789</v>
      </c>
      <c r="I29" s="695" t="s">
        <v>287</v>
      </c>
      <c r="J29" s="29" t="s">
        <v>65</v>
      </c>
      <c r="K29" s="174">
        <v>2.5</v>
      </c>
      <c r="L29" s="33"/>
      <c r="M29" s="32">
        <f>14990-14918</f>
        <v>72</v>
      </c>
      <c r="N29" s="32">
        <f>267-96</f>
        <v>171</v>
      </c>
      <c r="O29" s="32">
        <f>SUM(M29:N29)</f>
        <v>243</v>
      </c>
    </row>
    <row r="30" spans="1:15" ht="37.5" customHeight="1">
      <c r="A30" s="647" t="s">
        <v>26</v>
      </c>
      <c r="B30" s="3"/>
      <c r="C30" s="4" t="s">
        <v>270</v>
      </c>
      <c r="D30" s="4" t="s">
        <v>778</v>
      </c>
      <c r="E30" s="4" t="s">
        <v>781</v>
      </c>
      <c r="F30" s="4" t="s">
        <v>20</v>
      </c>
      <c r="G30" s="3" t="s">
        <v>18</v>
      </c>
      <c r="H30" s="22">
        <v>90032623</v>
      </c>
      <c r="I30" s="695" t="s">
        <v>788</v>
      </c>
      <c r="J30" s="29" t="s">
        <v>65</v>
      </c>
      <c r="K30" s="174">
        <v>4</v>
      </c>
      <c r="L30" s="33"/>
      <c r="M30" s="34">
        <f>(1632-756)-38</f>
        <v>838</v>
      </c>
      <c r="N30" s="34">
        <f>(4448-1926)-187</f>
        <v>2335</v>
      </c>
      <c r="O30" s="32">
        <f t="shared" si="0"/>
        <v>3173</v>
      </c>
    </row>
    <row r="31" spans="1:15" ht="37.5" customHeight="1">
      <c r="A31" s="647" t="s">
        <v>26</v>
      </c>
      <c r="B31" s="3"/>
      <c r="C31" s="4" t="s">
        <v>270</v>
      </c>
      <c r="D31" s="3" t="s">
        <v>779</v>
      </c>
      <c r="E31" s="4" t="s">
        <v>782</v>
      </c>
      <c r="F31" s="4" t="s">
        <v>20</v>
      </c>
      <c r="G31" s="3" t="s">
        <v>18</v>
      </c>
      <c r="H31" s="22">
        <v>83426080</v>
      </c>
      <c r="I31" s="695" t="s">
        <v>789</v>
      </c>
      <c r="J31" s="29" t="s">
        <v>65</v>
      </c>
      <c r="K31" s="174">
        <v>1</v>
      </c>
      <c r="L31" s="33"/>
      <c r="M31" s="34">
        <f>200-60</f>
        <v>140</v>
      </c>
      <c r="N31" s="34">
        <f>545-125</f>
        <v>420</v>
      </c>
      <c r="O31" s="32">
        <f>SUM(M31:N31)</f>
        <v>560</v>
      </c>
    </row>
    <row r="32" spans="1:15" ht="37.5" customHeight="1">
      <c r="A32" s="647" t="s">
        <v>26</v>
      </c>
      <c r="B32" s="3"/>
      <c r="C32" s="4" t="s">
        <v>270</v>
      </c>
      <c r="D32" s="3" t="s">
        <v>480</v>
      </c>
      <c r="E32" s="4" t="s">
        <v>783</v>
      </c>
      <c r="F32" s="4" t="s">
        <v>20</v>
      </c>
      <c r="G32" s="3" t="s">
        <v>18</v>
      </c>
      <c r="H32" s="22">
        <v>90016520</v>
      </c>
      <c r="I32" s="695" t="s">
        <v>790</v>
      </c>
      <c r="J32" s="29" t="s">
        <v>65</v>
      </c>
      <c r="K32" s="174">
        <v>4</v>
      </c>
      <c r="L32" s="33"/>
      <c r="M32" s="34">
        <f>556-229</f>
        <v>327</v>
      </c>
      <c r="N32" s="34">
        <f>1476-582</f>
        <v>894</v>
      </c>
      <c r="O32" s="32">
        <f t="shared" si="0"/>
        <v>1221</v>
      </c>
    </row>
    <row r="33" spans="1:15" ht="37.5" customHeight="1">
      <c r="A33" s="647" t="s">
        <v>26</v>
      </c>
      <c r="B33" s="3"/>
      <c r="C33" s="4" t="s">
        <v>270</v>
      </c>
      <c r="D33" s="3" t="s">
        <v>778</v>
      </c>
      <c r="E33" s="4" t="s">
        <v>784</v>
      </c>
      <c r="F33" s="4" t="s">
        <v>20</v>
      </c>
      <c r="G33" s="3" t="s">
        <v>18</v>
      </c>
      <c r="H33" s="22">
        <v>90033215</v>
      </c>
      <c r="I33" s="695" t="s">
        <v>791</v>
      </c>
      <c r="J33" s="29" t="s">
        <v>65</v>
      </c>
      <c r="K33" s="174">
        <v>4</v>
      </c>
      <c r="L33" s="33"/>
      <c r="M33" s="34">
        <f>2900-1336</f>
        <v>1564</v>
      </c>
      <c r="N33" s="34">
        <f>7900-3626</f>
        <v>4274</v>
      </c>
      <c r="O33" s="32">
        <f t="shared" si="0"/>
        <v>5838</v>
      </c>
    </row>
    <row r="34" spans="1:15" ht="37.5" customHeight="1">
      <c r="A34" s="647" t="s">
        <v>26</v>
      </c>
      <c r="B34" s="3"/>
      <c r="C34" s="4" t="s">
        <v>270</v>
      </c>
      <c r="D34" s="3" t="s">
        <v>780</v>
      </c>
      <c r="E34" s="4">
        <v>54</v>
      </c>
      <c r="F34" s="4" t="s">
        <v>20</v>
      </c>
      <c r="G34" s="3" t="s">
        <v>18</v>
      </c>
      <c r="H34" s="22">
        <v>1399807</v>
      </c>
      <c r="I34" s="695" t="s">
        <v>787</v>
      </c>
      <c r="J34" s="29" t="s">
        <v>65</v>
      </c>
      <c r="K34" s="174">
        <v>1</v>
      </c>
      <c r="L34" s="33"/>
      <c r="M34" s="34">
        <f>9574-9537</f>
        <v>37</v>
      </c>
      <c r="N34" s="34">
        <f>16762-16647</f>
        <v>115</v>
      </c>
      <c r="O34" s="32">
        <f t="shared" si="0"/>
        <v>152</v>
      </c>
    </row>
    <row r="35" spans="1:15" ht="37.5" customHeight="1">
      <c r="A35" s="647" t="s">
        <v>26</v>
      </c>
      <c r="B35" s="3"/>
      <c r="C35" s="4" t="s">
        <v>270</v>
      </c>
      <c r="D35" s="3" t="s">
        <v>754</v>
      </c>
      <c r="E35" s="4" t="s">
        <v>785</v>
      </c>
      <c r="F35" s="4" t="s">
        <v>20</v>
      </c>
      <c r="G35" s="3" t="s">
        <v>18</v>
      </c>
      <c r="H35" s="22">
        <v>83426551</v>
      </c>
      <c r="I35" s="695" t="s">
        <v>786</v>
      </c>
      <c r="J35" s="29" t="s">
        <v>65</v>
      </c>
      <c r="K35" s="174">
        <v>1</v>
      </c>
      <c r="L35" s="33"/>
      <c r="M35" s="34">
        <f>90-43</f>
        <v>47</v>
      </c>
      <c r="N35" s="34">
        <f>267-122</f>
        <v>145</v>
      </c>
      <c r="O35" s="32">
        <f>SUM(M35:N35)</f>
        <v>192</v>
      </c>
    </row>
    <row r="36" spans="1:15" ht="37.5" customHeight="1">
      <c r="A36" s="601" t="s">
        <v>26</v>
      </c>
      <c r="B36" s="45" t="s">
        <v>138</v>
      </c>
      <c r="C36" s="4" t="s">
        <v>1150</v>
      </c>
      <c r="D36" s="46" t="s">
        <v>1148</v>
      </c>
      <c r="E36" s="46" t="s">
        <v>1149</v>
      </c>
      <c r="F36" s="4" t="s">
        <v>20</v>
      </c>
      <c r="G36" s="3" t="s">
        <v>18</v>
      </c>
      <c r="H36" s="4">
        <v>117217</v>
      </c>
      <c r="I36" s="695" t="s">
        <v>1286</v>
      </c>
      <c r="J36" s="29" t="s">
        <v>65</v>
      </c>
      <c r="K36" s="8">
        <v>4</v>
      </c>
      <c r="L36" s="33"/>
      <c r="M36" s="34">
        <f>1094-982</f>
        <v>112</v>
      </c>
      <c r="N36" s="34">
        <f>844-508</f>
        <v>336</v>
      </c>
      <c r="O36" s="32">
        <f t="shared" si="0"/>
        <v>448</v>
      </c>
    </row>
    <row r="37" spans="1:15" ht="37.5" customHeight="1">
      <c r="A37" s="601" t="s">
        <v>26</v>
      </c>
      <c r="B37" s="45" t="s">
        <v>138</v>
      </c>
      <c r="C37" s="4" t="s">
        <v>1150</v>
      </c>
      <c r="D37" s="46"/>
      <c r="E37" s="46" t="s">
        <v>1151</v>
      </c>
      <c r="F37" s="4" t="s">
        <v>20</v>
      </c>
      <c r="G37" s="3" t="s">
        <v>18</v>
      </c>
      <c r="H37" s="4">
        <v>243725</v>
      </c>
      <c r="I37" s="695" t="s">
        <v>1285</v>
      </c>
      <c r="J37" s="29" t="s">
        <v>65</v>
      </c>
      <c r="K37" s="8">
        <v>4</v>
      </c>
      <c r="L37" s="33"/>
      <c r="M37" s="34">
        <f>1595-1520</f>
        <v>75</v>
      </c>
      <c r="N37" s="34">
        <f>1610-1380</f>
        <v>230</v>
      </c>
      <c r="O37" s="32">
        <f t="shared" si="0"/>
        <v>305</v>
      </c>
    </row>
    <row r="38" spans="1:15" ht="37.5" customHeight="1">
      <c r="A38" s="601" t="s">
        <v>26</v>
      </c>
      <c r="B38" s="46"/>
      <c r="C38" s="4" t="s">
        <v>300</v>
      </c>
      <c r="D38" s="46"/>
      <c r="E38" s="46" t="s">
        <v>1152</v>
      </c>
      <c r="F38" s="4" t="s">
        <v>20</v>
      </c>
      <c r="G38" s="3" t="s">
        <v>18</v>
      </c>
      <c r="H38" s="4">
        <v>4137411</v>
      </c>
      <c r="I38" s="695" t="s">
        <v>1289</v>
      </c>
      <c r="J38" s="29" t="s">
        <v>65</v>
      </c>
      <c r="K38" s="8">
        <v>10</v>
      </c>
      <c r="L38" s="33"/>
      <c r="M38" s="32">
        <f>254-83</f>
        <v>171</v>
      </c>
      <c r="N38" s="32">
        <f>673-194</f>
        <v>479</v>
      </c>
      <c r="O38" s="32">
        <f>SUM(M38:N38)</f>
        <v>650</v>
      </c>
    </row>
    <row r="39" spans="1:15" ht="37.5" customHeight="1">
      <c r="A39" s="601" t="s">
        <v>26</v>
      </c>
      <c r="B39" s="45" t="s">
        <v>1153</v>
      </c>
      <c r="C39" s="4" t="s">
        <v>1154</v>
      </c>
      <c r="D39" s="46"/>
      <c r="E39" s="46" t="s">
        <v>1155</v>
      </c>
      <c r="F39" s="4" t="s">
        <v>20</v>
      </c>
      <c r="G39" s="3" t="s">
        <v>18</v>
      </c>
      <c r="H39" s="4">
        <v>4137395</v>
      </c>
      <c r="I39" s="695" t="s">
        <v>1284</v>
      </c>
      <c r="J39" s="29" t="s">
        <v>65</v>
      </c>
      <c r="K39" s="8">
        <v>10</v>
      </c>
      <c r="L39" s="33"/>
      <c r="M39" s="32">
        <f>656-155</f>
        <v>501</v>
      </c>
      <c r="N39" s="32">
        <f>1790-386</f>
        <v>1404</v>
      </c>
      <c r="O39" s="32">
        <f t="shared" si="0"/>
        <v>1905</v>
      </c>
    </row>
    <row r="40" spans="1:15" ht="37.5" customHeight="1">
      <c r="A40" s="601" t="s">
        <v>26</v>
      </c>
      <c r="B40" s="46"/>
      <c r="C40" s="4" t="s">
        <v>1154</v>
      </c>
      <c r="D40" s="46"/>
      <c r="E40" s="46" t="s">
        <v>1156</v>
      </c>
      <c r="F40" s="4" t="s">
        <v>20</v>
      </c>
      <c r="G40" s="3" t="s">
        <v>18</v>
      </c>
      <c r="H40" s="4">
        <v>4137388</v>
      </c>
      <c r="I40" s="695" t="s">
        <v>1283</v>
      </c>
      <c r="J40" s="29" t="s">
        <v>65</v>
      </c>
      <c r="K40" s="8">
        <v>10</v>
      </c>
      <c r="L40" s="33"/>
      <c r="M40" s="32">
        <f>464-119</f>
        <v>345</v>
      </c>
      <c r="N40" s="32">
        <f>1179-269</f>
        <v>910</v>
      </c>
      <c r="O40" s="32">
        <f t="shared" si="0"/>
        <v>1255</v>
      </c>
    </row>
    <row r="41" spans="1:15" ht="37.5" customHeight="1">
      <c r="A41" s="601" t="s">
        <v>26</v>
      </c>
      <c r="B41" s="45" t="s">
        <v>1157</v>
      </c>
      <c r="C41" s="4" t="s">
        <v>1154</v>
      </c>
      <c r="D41" s="46"/>
      <c r="E41" s="46" t="s">
        <v>1158</v>
      </c>
      <c r="F41" s="4" t="s">
        <v>20</v>
      </c>
      <c r="G41" s="3" t="s">
        <v>18</v>
      </c>
      <c r="H41" s="4">
        <v>4137403</v>
      </c>
      <c r="I41" s="695" t="s">
        <v>1288</v>
      </c>
      <c r="J41" s="29" t="s">
        <v>65</v>
      </c>
      <c r="K41" s="8">
        <v>10</v>
      </c>
      <c r="L41" s="33"/>
      <c r="M41" s="32">
        <f>763-233</f>
        <v>530</v>
      </c>
      <c r="N41" s="32">
        <f>1851-491</f>
        <v>1360</v>
      </c>
      <c r="O41" s="32">
        <f t="shared" si="0"/>
        <v>1890</v>
      </c>
    </row>
    <row r="42" spans="1:15" ht="37.5" customHeight="1">
      <c r="A42" s="601" t="s">
        <v>26</v>
      </c>
      <c r="B42" s="45" t="s">
        <v>1157</v>
      </c>
      <c r="C42" s="4" t="s">
        <v>278</v>
      </c>
      <c r="D42" s="46"/>
      <c r="E42" s="46" t="s">
        <v>1160</v>
      </c>
      <c r="F42" s="4" t="s">
        <v>20</v>
      </c>
      <c r="G42" s="3" t="s">
        <v>18</v>
      </c>
      <c r="H42" s="4">
        <v>248513</v>
      </c>
      <c r="I42" s="695" t="s">
        <v>1282</v>
      </c>
      <c r="J42" s="29" t="s">
        <v>65</v>
      </c>
      <c r="K42" s="8">
        <v>16</v>
      </c>
      <c r="L42" s="33"/>
      <c r="M42" s="32">
        <f>5265-4017</f>
        <v>1248</v>
      </c>
      <c r="N42" s="32">
        <f>7647-4262</f>
        <v>3385</v>
      </c>
      <c r="O42" s="32">
        <f>SUM(M42:N42)</f>
        <v>4633</v>
      </c>
    </row>
    <row r="43" spans="1:15" ht="37.5" customHeight="1">
      <c r="A43" s="601" t="s">
        <v>26</v>
      </c>
      <c r="B43" s="45" t="s">
        <v>1159</v>
      </c>
      <c r="C43" s="4" t="s">
        <v>278</v>
      </c>
      <c r="D43" s="46"/>
      <c r="E43" s="46" t="s">
        <v>565</v>
      </c>
      <c r="F43" s="4" t="s">
        <v>20</v>
      </c>
      <c r="G43" s="3" t="s">
        <v>18</v>
      </c>
      <c r="H43" s="4">
        <v>121047</v>
      </c>
      <c r="I43" s="695" t="s">
        <v>1287</v>
      </c>
      <c r="J43" s="29" t="s">
        <v>65</v>
      </c>
      <c r="K43" s="8">
        <v>25</v>
      </c>
      <c r="L43" s="33"/>
      <c r="M43" s="32">
        <f>9771-6286</f>
        <v>3485</v>
      </c>
      <c r="N43" s="32">
        <f>15725-6191</f>
        <v>9534</v>
      </c>
      <c r="O43" s="32">
        <f t="shared" si="0"/>
        <v>13019</v>
      </c>
    </row>
    <row r="44" spans="1:15" ht="37.5" customHeight="1">
      <c r="A44" s="601" t="s">
        <v>26</v>
      </c>
      <c r="B44" s="45" t="s">
        <v>138</v>
      </c>
      <c r="C44" s="606" t="s">
        <v>299</v>
      </c>
      <c r="D44" s="46" t="s">
        <v>1093</v>
      </c>
      <c r="E44" s="45" t="s">
        <v>1843</v>
      </c>
      <c r="F44" s="669" t="s">
        <v>20</v>
      </c>
      <c r="G44" s="454" t="s">
        <v>18</v>
      </c>
      <c r="H44" s="44">
        <v>3516135</v>
      </c>
      <c r="I44" s="696" t="s">
        <v>1365</v>
      </c>
      <c r="J44" s="487" t="s">
        <v>28</v>
      </c>
      <c r="K44" s="8">
        <v>12</v>
      </c>
      <c r="L44" s="32">
        <f>2054-349</f>
        <v>1705</v>
      </c>
      <c r="M44" s="33"/>
      <c r="N44" s="33"/>
      <c r="O44" s="32">
        <f>L44</f>
        <v>1705</v>
      </c>
    </row>
    <row r="45" spans="1:15" ht="37.5" customHeight="1">
      <c r="A45" s="601" t="s">
        <v>26</v>
      </c>
      <c r="B45" s="45"/>
      <c r="C45" s="606" t="s">
        <v>1294</v>
      </c>
      <c r="D45" s="46" t="s">
        <v>1306</v>
      </c>
      <c r="E45" s="46" t="s">
        <v>1472</v>
      </c>
      <c r="F45" s="669" t="s">
        <v>20</v>
      </c>
      <c r="G45" s="454" t="s">
        <v>18</v>
      </c>
      <c r="H45" s="44">
        <v>90695780</v>
      </c>
      <c r="I45" s="695" t="s">
        <v>1473</v>
      </c>
      <c r="J45" s="29" t="s">
        <v>65</v>
      </c>
      <c r="K45" s="8">
        <v>6</v>
      </c>
      <c r="L45" s="33"/>
      <c r="M45" s="32">
        <f>411-53</f>
        <v>358</v>
      </c>
      <c r="N45" s="32">
        <f>1095-124</f>
        <v>971</v>
      </c>
      <c r="O45" s="32">
        <f>SUM(M45:N45)</f>
        <v>1329</v>
      </c>
    </row>
    <row r="46" spans="1:15" ht="37.5" customHeight="1">
      <c r="A46" s="830" t="s">
        <v>26</v>
      </c>
      <c r="B46" s="50"/>
      <c r="C46" s="770" t="s">
        <v>1294</v>
      </c>
      <c r="D46" s="51" t="s">
        <v>1474</v>
      </c>
      <c r="E46" s="51" t="s">
        <v>1475</v>
      </c>
      <c r="F46" s="550" t="s">
        <v>20</v>
      </c>
      <c r="G46" s="551" t="s">
        <v>18</v>
      </c>
      <c r="H46" s="581">
        <v>90695791</v>
      </c>
      <c r="I46" s="771" t="s">
        <v>1476</v>
      </c>
      <c r="J46" s="1023" t="s">
        <v>65</v>
      </c>
      <c r="K46" s="745">
        <v>2</v>
      </c>
      <c r="L46" s="37"/>
      <c r="M46" s="115">
        <f>148-46</f>
        <v>102</v>
      </c>
      <c r="N46" s="115">
        <f>399-90</f>
        <v>309</v>
      </c>
      <c r="O46" s="32">
        <f>SUM(M46:N46)</f>
        <v>411</v>
      </c>
    </row>
    <row r="47" spans="1:15" ht="37.5" customHeight="1">
      <c r="A47" s="575" t="s">
        <v>26</v>
      </c>
      <c r="B47" s="45" t="s">
        <v>138</v>
      </c>
      <c r="C47" s="606" t="s">
        <v>306</v>
      </c>
      <c r="D47" s="46"/>
      <c r="E47" s="46" t="s">
        <v>1290</v>
      </c>
      <c r="F47" s="46" t="s">
        <v>20</v>
      </c>
      <c r="G47" s="45" t="s">
        <v>18</v>
      </c>
      <c r="H47" s="46">
        <v>3515711</v>
      </c>
      <c r="I47" s="695" t="s">
        <v>1477</v>
      </c>
      <c r="J47" s="487" t="s">
        <v>28</v>
      </c>
      <c r="K47" s="8">
        <v>12</v>
      </c>
      <c r="L47" s="32">
        <f>1311-392</f>
        <v>919</v>
      </c>
      <c r="M47" s="33"/>
      <c r="N47" s="33"/>
      <c r="O47" s="32">
        <f>L47</f>
        <v>919</v>
      </c>
    </row>
    <row r="48" spans="1:15" ht="37.5" customHeight="1">
      <c r="A48" s="601" t="s">
        <v>26</v>
      </c>
      <c r="B48" s="45" t="s">
        <v>1159</v>
      </c>
      <c r="C48" s="606" t="s">
        <v>310</v>
      </c>
      <c r="D48" s="46" t="s">
        <v>1301</v>
      </c>
      <c r="E48" s="46" t="s">
        <v>1302</v>
      </c>
      <c r="F48" s="669" t="s">
        <v>20</v>
      </c>
      <c r="G48" s="454" t="s">
        <v>18</v>
      </c>
      <c r="H48" s="669">
        <v>90033267</v>
      </c>
      <c r="I48" s="695" t="s">
        <v>1478</v>
      </c>
      <c r="J48" s="534" t="s">
        <v>28</v>
      </c>
      <c r="K48" s="267">
        <v>9</v>
      </c>
      <c r="L48" s="268">
        <f>5077-1182</f>
        <v>3895</v>
      </c>
      <c r="M48" s="269"/>
      <c r="N48" s="269"/>
      <c r="O48" s="32">
        <f t="shared" ref="O48:O56" si="1">L48</f>
        <v>3895</v>
      </c>
    </row>
    <row r="49" spans="1:15" ht="37.5" customHeight="1">
      <c r="A49" s="575" t="s">
        <v>26</v>
      </c>
      <c r="B49" s="45" t="s">
        <v>138</v>
      </c>
      <c r="C49" s="606" t="s">
        <v>310</v>
      </c>
      <c r="D49" s="46" t="s">
        <v>1306</v>
      </c>
      <c r="E49" s="46" t="s">
        <v>1307</v>
      </c>
      <c r="F49" s="46" t="s">
        <v>20</v>
      </c>
      <c r="G49" s="45" t="s">
        <v>18</v>
      </c>
      <c r="H49" s="44">
        <v>90055468</v>
      </c>
      <c r="I49" s="695" t="s">
        <v>1479</v>
      </c>
      <c r="J49" s="487" t="s">
        <v>28</v>
      </c>
      <c r="K49" s="8">
        <v>6</v>
      </c>
      <c r="L49" s="32">
        <f>1629-750</f>
        <v>879</v>
      </c>
      <c r="M49" s="33"/>
      <c r="N49" s="33"/>
      <c r="O49" s="32">
        <f t="shared" si="1"/>
        <v>879</v>
      </c>
    </row>
    <row r="50" spans="1:15" ht="37.5" customHeight="1">
      <c r="A50" s="601" t="s">
        <v>26</v>
      </c>
      <c r="B50" s="45" t="s">
        <v>1298</v>
      </c>
      <c r="C50" s="606" t="s">
        <v>310</v>
      </c>
      <c r="D50" s="46" t="s">
        <v>1299</v>
      </c>
      <c r="E50" s="46" t="s">
        <v>1300</v>
      </c>
      <c r="F50" s="669" t="s">
        <v>20</v>
      </c>
      <c r="G50" s="454" t="s">
        <v>18</v>
      </c>
      <c r="H50" s="669">
        <v>90032559</v>
      </c>
      <c r="I50" s="695" t="s">
        <v>1480</v>
      </c>
      <c r="J50" s="534" t="s">
        <v>28</v>
      </c>
      <c r="K50" s="267">
        <v>6</v>
      </c>
      <c r="L50" s="268">
        <f>788-350</f>
        <v>438</v>
      </c>
      <c r="M50" s="269"/>
      <c r="N50" s="269"/>
      <c r="O50" s="32">
        <f t="shared" si="1"/>
        <v>438</v>
      </c>
    </row>
    <row r="51" spans="1:15" ht="37.5" customHeight="1">
      <c r="A51" s="575" t="s">
        <v>26</v>
      </c>
      <c r="B51" s="45" t="s">
        <v>138</v>
      </c>
      <c r="C51" s="606" t="s">
        <v>1482</v>
      </c>
      <c r="D51" s="46" t="s">
        <v>112</v>
      </c>
      <c r="E51" s="46" t="s">
        <v>1303</v>
      </c>
      <c r="F51" s="669" t="s">
        <v>20</v>
      </c>
      <c r="G51" s="454" t="s">
        <v>18</v>
      </c>
      <c r="H51" s="669">
        <v>90114511</v>
      </c>
      <c r="I51" s="695" t="s">
        <v>1481</v>
      </c>
      <c r="J51" s="534" t="s">
        <v>28</v>
      </c>
      <c r="K51" s="267">
        <v>11</v>
      </c>
      <c r="L51" s="268">
        <f>4055-1441</f>
        <v>2614</v>
      </c>
      <c r="M51" s="269"/>
      <c r="N51" s="269"/>
      <c r="O51" s="32">
        <f t="shared" si="1"/>
        <v>2614</v>
      </c>
    </row>
    <row r="52" spans="1:15" ht="37.5" customHeight="1">
      <c r="A52" s="601" t="s">
        <v>26</v>
      </c>
      <c r="B52" s="45" t="s">
        <v>138</v>
      </c>
      <c r="C52" s="606" t="s">
        <v>1482</v>
      </c>
      <c r="D52" s="46" t="s">
        <v>1304</v>
      </c>
      <c r="E52" s="669" t="s">
        <v>1305</v>
      </c>
      <c r="F52" s="669" t="s">
        <v>20</v>
      </c>
      <c r="G52" s="454" t="s">
        <v>18</v>
      </c>
      <c r="H52" s="669">
        <v>90113883</v>
      </c>
      <c r="I52" s="695" t="s">
        <v>1483</v>
      </c>
      <c r="J52" s="534" t="s">
        <v>28</v>
      </c>
      <c r="K52" s="267">
        <v>9</v>
      </c>
      <c r="L52" s="268">
        <f>3600-1404</f>
        <v>2196</v>
      </c>
      <c r="M52" s="269"/>
      <c r="N52" s="269"/>
      <c r="O52" s="32">
        <f t="shared" si="1"/>
        <v>2196</v>
      </c>
    </row>
    <row r="53" spans="1:15" ht="37.5" customHeight="1">
      <c r="A53" s="575" t="s">
        <v>26</v>
      </c>
      <c r="B53" s="45" t="s">
        <v>138</v>
      </c>
      <c r="C53" s="45" t="s">
        <v>306</v>
      </c>
      <c r="D53" s="46" t="s">
        <v>1308</v>
      </c>
      <c r="E53" s="669" t="s">
        <v>1309</v>
      </c>
      <c r="F53" s="669" t="s">
        <v>20</v>
      </c>
      <c r="G53" s="454" t="s">
        <v>18</v>
      </c>
      <c r="H53" s="669">
        <v>90054962</v>
      </c>
      <c r="I53" s="695" t="s">
        <v>1484</v>
      </c>
      <c r="J53" s="534" t="s">
        <v>28</v>
      </c>
      <c r="K53" s="267">
        <v>12</v>
      </c>
      <c r="L53" s="268">
        <f>4700-1929</f>
        <v>2771</v>
      </c>
      <c r="M53" s="269"/>
      <c r="N53" s="269"/>
      <c r="O53" s="32">
        <f t="shared" si="1"/>
        <v>2771</v>
      </c>
    </row>
    <row r="54" spans="1:15" ht="37.5" customHeight="1">
      <c r="A54" s="601" t="s">
        <v>26</v>
      </c>
      <c r="B54" s="50" t="s">
        <v>138</v>
      </c>
      <c r="C54" s="50" t="s">
        <v>306</v>
      </c>
      <c r="D54" s="51" t="s">
        <v>239</v>
      </c>
      <c r="E54" s="46" t="s">
        <v>1310</v>
      </c>
      <c r="F54" s="46" t="s">
        <v>20</v>
      </c>
      <c r="G54" s="454" t="s">
        <v>18</v>
      </c>
      <c r="H54" s="669">
        <v>90054952</v>
      </c>
      <c r="I54" s="695" t="s">
        <v>1485</v>
      </c>
      <c r="J54" s="534" t="s">
        <v>28</v>
      </c>
      <c r="K54" s="267">
        <v>25</v>
      </c>
      <c r="L54" s="268">
        <f>11000-3701</f>
        <v>7299</v>
      </c>
      <c r="M54" s="269"/>
      <c r="N54" s="269"/>
      <c r="O54" s="32">
        <f t="shared" si="1"/>
        <v>7299</v>
      </c>
    </row>
    <row r="55" spans="1:15" ht="37.5" customHeight="1">
      <c r="A55" s="575" t="s">
        <v>26</v>
      </c>
      <c r="B55" s="45" t="s">
        <v>1153</v>
      </c>
      <c r="C55" s="45" t="s">
        <v>306</v>
      </c>
      <c r="D55" s="46" t="s">
        <v>1292</v>
      </c>
      <c r="E55" s="46" t="s">
        <v>1293</v>
      </c>
      <c r="F55" s="46" t="s">
        <v>20</v>
      </c>
      <c r="G55" s="454" t="s">
        <v>18</v>
      </c>
      <c r="H55" s="669">
        <v>90032564</v>
      </c>
      <c r="I55" s="695" t="s">
        <v>1486</v>
      </c>
      <c r="J55" s="534" t="s">
        <v>28</v>
      </c>
      <c r="K55" s="267">
        <v>10</v>
      </c>
      <c r="L55" s="268">
        <f>12134-3742</f>
        <v>8392</v>
      </c>
      <c r="M55" s="269"/>
      <c r="N55" s="269"/>
      <c r="O55" s="32">
        <f t="shared" si="1"/>
        <v>8392</v>
      </c>
    </row>
    <row r="56" spans="1:15" ht="37.5" customHeight="1">
      <c r="A56" s="601" t="s">
        <v>26</v>
      </c>
      <c r="B56" s="45" t="s">
        <v>519</v>
      </c>
      <c r="C56" s="606" t="s">
        <v>1294</v>
      </c>
      <c r="D56" s="46" t="s">
        <v>550</v>
      </c>
      <c r="E56" s="46" t="s">
        <v>1297</v>
      </c>
      <c r="F56" s="669" t="s">
        <v>20</v>
      </c>
      <c r="G56" s="454" t="s">
        <v>18</v>
      </c>
      <c r="H56" s="669">
        <v>90032648</v>
      </c>
      <c r="I56" s="695" t="s">
        <v>1487</v>
      </c>
      <c r="J56" s="534" t="s">
        <v>28</v>
      </c>
      <c r="K56" s="267">
        <v>16</v>
      </c>
      <c r="L56" s="268">
        <f>917-385</f>
        <v>532</v>
      </c>
      <c r="M56" s="269"/>
      <c r="N56" s="269"/>
      <c r="O56" s="32">
        <f t="shared" si="1"/>
        <v>532</v>
      </c>
    </row>
    <row r="57" spans="1:15" ht="37.5" customHeight="1">
      <c r="A57" s="601" t="s">
        <v>26</v>
      </c>
      <c r="B57" s="45" t="s">
        <v>1157</v>
      </c>
      <c r="C57" s="606" t="s">
        <v>1294</v>
      </c>
      <c r="D57" s="46" t="s">
        <v>1295</v>
      </c>
      <c r="E57" s="46" t="s">
        <v>1296</v>
      </c>
      <c r="F57" s="46" t="s">
        <v>20</v>
      </c>
      <c r="G57" s="45" t="s">
        <v>18</v>
      </c>
      <c r="H57" s="669">
        <v>90032642</v>
      </c>
      <c r="I57" s="695" t="s">
        <v>1488</v>
      </c>
      <c r="J57" s="534" t="s">
        <v>28</v>
      </c>
      <c r="K57" s="267">
        <v>12</v>
      </c>
      <c r="L57" s="268">
        <f>4591-1485</f>
        <v>3106</v>
      </c>
      <c r="M57" s="269"/>
      <c r="N57" s="269"/>
      <c r="O57" s="32">
        <f>L57</f>
        <v>3106</v>
      </c>
    </row>
    <row r="58" spans="1:15" ht="37.5" customHeight="1">
      <c r="A58" s="601" t="s">
        <v>26</v>
      </c>
      <c r="B58" s="105" t="s">
        <v>138</v>
      </c>
      <c r="C58" s="104" t="s">
        <v>299</v>
      </c>
      <c r="D58" s="104" t="s">
        <v>298</v>
      </c>
      <c r="E58" s="104" t="s">
        <v>1489</v>
      </c>
      <c r="F58" s="104" t="s">
        <v>20</v>
      </c>
      <c r="G58" s="1522" t="s">
        <v>18</v>
      </c>
      <c r="H58" s="1524">
        <v>90695777</v>
      </c>
      <c r="I58" s="695" t="s">
        <v>1846</v>
      </c>
      <c r="J58" s="1348" t="s">
        <v>65</v>
      </c>
      <c r="K58" s="1349">
        <v>16</v>
      </c>
      <c r="L58" s="1312"/>
      <c r="M58" s="1350">
        <f>51*12</f>
        <v>612</v>
      </c>
      <c r="N58" s="1350">
        <f>106*12</f>
        <v>1272</v>
      </c>
      <c r="O58" s="1350">
        <f>SUM(M58:N58)</f>
        <v>1884</v>
      </c>
    </row>
    <row r="59" spans="1:15" ht="37.5" customHeight="1" thickBot="1">
      <c r="A59" s="601" t="s">
        <v>26</v>
      </c>
      <c r="B59" s="23" t="s">
        <v>138</v>
      </c>
      <c r="C59" s="22" t="s">
        <v>299</v>
      </c>
      <c r="D59" s="22" t="s">
        <v>239</v>
      </c>
      <c r="E59" s="22" t="s">
        <v>1845</v>
      </c>
      <c r="F59" s="22" t="s">
        <v>20</v>
      </c>
      <c r="G59" s="1523" t="s">
        <v>18</v>
      </c>
      <c r="H59" s="1339">
        <v>90599843</v>
      </c>
      <c r="I59" s="695" t="s">
        <v>1844</v>
      </c>
      <c r="J59" s="1131" t="s">
        <v>65</v>
      </c>
      <c r="K59" s="1132">
        <v>20</v>
      </c>
      <c r="L59" s="400"/>
      <c r="M59" s="902">
        <f>111*10</f>
        <v>1110</v>
      </c>
      <c r="N59" s="902">
        <f>481*10</f>
        <v>4810</v>
      </c>
      <c r="O59" s="1350">
        <f>SUM(M59:N59)</f>
        <v>5920</v>
      </c>
    </row>
    <row r="60" spans="1:15" ht="37.5" customHeight="1">
      <c r="B60" s="697" t="s">
        <v>22</v>
      </c>
      <c r="C60" s="80" t="s">
        <v>271</v>
      </c>
      <c r="D60" s="12"/>
      <c r="E60" s="19"/>
      <c r="F60" s="14"/>
      <c r="H60" s="1622" t="s">
        <v>1920</v>
      </c>
      <c r="I60" s="87" t="s">
        <v>293</v>
      </c>
      <c r="J60" s="121"/>
      <c r="K60" s="648"/>
      <c r="L60" s="31"/>
      <c r="N60" s="182" t="s">
        <v>23</v>
      </c>
      <c r="O60" s="567">
        <f>SUM(O28:O59)</f>
        <v>80903</v>
      </c>
    </row>
    <row r="61" spans="1:15" ht="15">
      <c r="B61" s="553"/>
      <c r="C61" s="68" t="s">
        <v>272</v>
      </c>
      <c r="D61" s="15"/>
      <c r="E61" s="19"/>
      <c r="F61" s="14"/>
      <c r="H61" s="16"/>
      <c r="I61" s="73" t="s">
        <v>1648</v>
      </c>
      <c r="J61" s="43"/>
      <c r="K61" s="176"/>
    </row>
    <row r="62" spans="1:15" ht="15.75" thickBot="1">
      <c r="B62" s="553"/>
      <c r="C62" s="68" t="s">
        <v>25</v>
      </c>
      <c r="D62" s="15"/>
      <c r="E62" s="14"/>
      <c r="F62" s="14"/>
      <c r="H62" s="1124"/>
      <c r="I62" s="72" t="s">
        <v>25</v>
      </c>
      <c r="J62" s="113"/>
      <c r="K62" s="177"/>
      <c r="L62" s="31"/>
    </row>
    <row r="63" spans="1:15" ht="15">
      <c r="B63" s="553" t="s">
        <v>160</v>
      </c>
      <c r="C63" s="68" t="s">
        <v>1710</v>
      </c>
      <c r="D63" s="15"/>
      <c r="E63" s="14"/>
      <c r="F63" s="14"/>
    </row>
    <row r="64" spans="1:15" ht="15.75" thickBot="1">
      <c r="B64" s="433" t="s">
        <v>1061</v>
      </c>
      <c r="C64" s="97" t="s">
        <v>1161</v>
      </c>
      <c r="D64" s="18"/>
      <c r="E64" s="14"/>
      <c r="F64" s="14"/>
    </row>
    <row r="65" spans="1:15" ht="15">
      <c r="B65" s="577"/>
      <c r="C65" s="68"/>
      <c r="D65" s="14"/>
      <c r="E65" s="14"/>
      <c r="F65" s="14"/>
    </row>
    <row r="66" spans="1:15" ht="15" thickBot="1"/>
    <row r="67" spans="1:15" ht="45" customHeight="1">
      <c r="A67" s="1670" t="s">
        <v>6</v>
      </c>
      <c r="B67" s="1673" t="s">
        <v>633</v>
      </c>
      <c r="C67" s="1676" t="s">
        <v>8</v>
      </c>
      <c r="D67" s="1676" t="s">
        <v>9</v>
      </c>
      <c r="E67" s="1656" t="s">
        <v>634</v>
      </c>
      <c r="F67" s="1656" t="s">
        <v>11</v>
      </c>
      <c r="G67" s="1676" t="s">
        <v>12</v>
      </c>
      <c r="H67" s="1656" t="s">
        <v>269</v>
      </c>
      <c r="I67" s="1656" t="s">
        <v>13</v>
      </c>
      <c r="J67" s="1656" t="s">
        <v>59</v>
      </c>
      <c r="K67" s="1665" t="s">
        <v>635</v>
      </c>
      <c r="L67" s="1725" t="s">
        <v>636</v>
      </c>
      <c r="M67" s="1719"/>
      <c r="N67" s="1719"/>
      <c r="O67" s="1726"/>
    </row>
    <row r="68" spans="1:15" ht="40.5" customHeight="1">
      <c r="A68" s="1671"/>
      <c r="B68" s="1674"/>
      <c r="C68" s="1677"/>
      <c r="D68" s="1677"/>
      <c r="E68" s="1657"/>
      <c r="F68" s="1657"/>
      <c r="G68" s="1677"/>
      <c r="H68" s="1657"/>
      <c r="I68" s="1657"/>
      <c r="J68" s="1657"/>
      <c r="K68" s="1666"/>
      <c r="L68" s="1679" t="s">
        <v>637</v>
      </c>
      <c r="M68" s="1654"/>
      <c r="N68" s="1654"/>
      <c r="O68" s="1680"/>
    </row>
    <row r="69" spans="1:15" ht="36" customHeight="1" thickBot="1">
      <c r="A69" s="1672"/>
      <c r="B69" s="1675"/>
      <c r="C69" s="1678"/>
      <c r="D69" s="1678"/>
      <c r="E69" s="1658"/>
      <c r="F69" s="1658"/>
      <c r="G69" s="1678"/>
      <c r="H69" s="1658"/>
      <c r="I69" s="1658"/>
      <c r="J69" s="1658"/>
      <c r="K69" s="1667"/>
      <c r="L69" s="263" t="s">
        <v>638</v>
      </c>
      <c r="M69" s="270" t="s">
        <v>639</v>
      </c>
      <c r="N69" s="270" t="s">
        <v>640</v>
      </c>
      <c r="O69" s="265" t="s">
        <v>16</v>
      </c>
    </row>
    <row r="70" spans="1:15" s="25" customFormat="1" ht="30" thickBot="1">
      <c r="A70" s="575" t="s">
        <v>26</v>
      </c>
      <c r="B70" s="20" t="s">
        <v>294</v>
      </c>
      <c r="C70" s="20" t="s">
        <v>295</v>
      </c>
      <c r="D70" s="21" t="s">
        <v>162</v>
      </c>
      <c r="E70" s="774"/>
      <c r="F70" s="22" t="s">
        <v>20</v>
      </c>
      <c r="G70" s="23" t="s">
        <v>18</v>
      </c>
      <c r="H70" s="22">
        <v>90030861</v>
      </c>
      <c r="I70" s="695" t="s">
        <v>759</v>
      </c>
      <c r="J70" s="541" t="s">
        <v>65</v>
      </c>
      <c r="K70" s="64">
        <v>26</v>
      </c>
      <c r="L70" s="33"/>
      <c r="M70" s="32">
        <f>11296-6271</f>
        <v>5025</v>
      </c>
      <c r="N70" s="32">
        <f>26852-15216</f>
        <v>11636</v>
      </c>
      <c r="O70" s="32">
        <f>SUM(M70:N70)</f>
        <v>16661</v>
      </c>
    </row>
    <row r="71" spans="1:15" ht="36.75" customHeight="1">
      <c r="B71" s="697" t="s">
        <v>22</v>
      </c>
      <c r="C71" s="80" t="s">
        <v>271</v>
      </c>
      <c r="D71" s="12"/>
      <c r="E71" s="19"/>
      <c r="H71" s="1622" t="s">
        <v>1920</v>
      </c>
      <c r="I71" s="87" t="s">
        <v>271</v>
      </c>
      <c r="J71" s="1127"/>
      <c r="K71" s="1128"/>
      <c r="N71" s="4" t="s">
        <v>23</v>
      </c>
      <c r="O71" s="556">
        <f>SUM(O62:O70)</f>
        <v>16661</v>
      </c>
    </row>
    <row r="72" spans="1:15" ht="15">
      <c r="B72" s="553"/>
      <c r="C72" s="68" t="s">
        <v>272</v>
      </c>
      <c r="D72" s="15"/>
      <c r="E72" s="19"/>
      <c r="H72" s="1129"/>
      <c r="I72" s="73" t="s">
        <v>272</v>
      </c>
      <c r="J72" s="58"/>
      <c r="K72" s="1062"/>
    </row>
    <row r="73" spans="1:15" ht="15.75" thickBot="1">
      <c r="B73" s="553"/>
      <c r="C73" s="68" t="s">
        <v>25</v>
      </c>
      <c r="D73" s="15"/>
      <c r="E73" s="14"/>
      <c r="H73" s="1138"/>
      <c r="I73" s="72" t="s">
        <v>25</v>
      </c>
      <c r="J73" s="1347"/>
      <c r="K73" s="685"/>
    </row>
    <row r="74" spans="1:15" ht="15">
      <c r="B74" s="553" t="s">
        <v>160</v>
      </c>
      <c r="C74" s="68" t="s">
        <v>1710</v>
      </c>
      <c r="D74" s="15"/>
      <c r="E74" s="14"/>
    </row>
    <row r="75" spans="1:15" ht="15.75" thickBot="1">
      <c r="B75" s="433" t="s">
        <v>1061</v>
      </c>
      <c r="C75" s="97" t="s">
        <v>1161</v>
      </c>
      <c r="D75" s="18"/>
      <c r="E75" s="14"/>
    </row>
    <row r="76" spans="1:15" ht="15" thickBot="1"/>
    <row r="77" spans="1:15" ht="47.25" customHeight="1">
      <c r="A77" s="1670" t="s">
        <v>6</v>
      </c>
      <c r="B77" s="1673" t="s">
        <v>633</v>
      </c>
      <c r="C77" s="1676" t="s">
        <v>8</v>
      </c>
      <c r="D77" s="1676" t="s">
        <v>9</v>
      </c>
      <c r="E77" s="1656" t="s">
        <v>634</v>
      </c>
      <c r="F77" s="1656" t="s">
        <v>11</v>
      </c>
      <c r="G77" s="1676" t="s">
        <v>12</v>
      </c>
      <c r="H77" s="1656" t="s">
        <v>269</v>
      </c>
      <c r="I77" s="1656" t="s">
        <v>13</v>
      </c>
      <c r="J77" s="1656" t="s">
        <v>59</v>
      </c>
      <c r="K77" s="1665" t="s">
        <v>635</v>
      </c>
      <c r="L77" s="1725" t="s">
        <v>636</v>
      </c>
      <c r="M77" s="1719"/>
      <c r="N77" s="1719"/>
      <c r="O77" s="1726"/>
    </row>
    <row r="78" spans="1:15" ht="40.5" customHeight="1">
      <c r="A78" s="1671"/>
      <c r="B78" s="1674"/>
      <c r="C78" s="1677"/>
      <c r="D78" s="1677"/>
      <c r="E78" s="1657"/>
      <c r="F78" s="1657"/>
      <c r="G78" s="1677"/>
      <c r="H78" s="1657"/>
      <c r="I78" s="1657"/>
      <c r="J78" s="1657"/>
      <c r="K78" s="1666"/>
      <c r="L78" s="1679" t="s">
        <v>637</v>
      </c>
      <c r="M78" s="1654"/>
      <c r="N78" s="1654"/>
      <c r="O78" s="1680"/>
    </row>
    <row r="79" spans="1:15" ht="32.25" customHeight="1" thickBot="1">
      <c r="A79" s="1672"/>
      <c r="B79" s="1675"/>
      <c r="C79" s="1678"/>
      <c r="D79" s="1678"/>
      <c r="E79" s="1658"/>
      <c r="F79" s="1658"/>
      <c r="G79" s="1678"/>
      <c r="H79" s="1658"/>
      <c r="I79" s="1658"/>
      <c r="J79" s="1658"/>
      <c r="K79" s="1667"/>
      <c r="L79" s="263" t="s">
        <v>638</v>
      </c>
      <c r="M79" s="270" t="s">
        <v>639</v>
      </c>
      <c r="N79" s="270" t="s">
        <v>640</v>
      </c>
      <c r="O79" s="265" t="s">
        <v>16</v>
      </c>
    </row>
    <row r="80" spans="1:15" s="25" customFormat="1" ht="29.25">
      <c r="A80" s="575" t="s">
        <v>26</v>
      </c>
      <c r="B80" s="23" t="s">
        <v>296</v>
      </c>
      <c r="C80" s="23" t="s">
        <v>18</v>
      </c>
      <c r="D80" s="23" t="s">
        <v>297</v>
      </c>
      <c r="E80" s="22">
        <v>14</v>
      </c>
      <c r="F80" s="22" t="s">
        <v>20</v>
      </c>
      <c r="G80" s="23" t="s">
        <v>18</v>
      </c>
      <c r="H80" s="22">
        <v>50437447</v>
      </c>
      <c r="I80" s="695" t="s">
        <v>762</v>
      </c>
      <c r="J80" s="388" t="s">
        <v>21</v>
      </c>
      <c r="K80" s="24">
        <v>50</v>
      </c>
      <c r="L80" s="34">
        <f>(7854.99-4236.52)*20</f>
        <v>72369.399999999994</v>
      </c>
      <c r="M80" s="30"/>
      <c r="N80" s="30"/>
      <c r="O80" s="34">
        <f>L80</f>
        <v>72369.399999999994</v>
      </c>
    </row>
    <row r="81" spans="1:15" s="25" customFormat="1" ht="29.25">
      <c r="A81" s="575" t="s">
        <v>26</v>
      </c>
      <c r="B81" s="22" t="s">
        <v>228</v>
      </c>
      <c r="C81" s="22" t="s">
        <v>275</v>
      </c>
      <c r="D81" s="23" t="s">
        <v>298</v>
      </c>
      <c r="E81" s="22">
        <v>8</v>
      </c>
      <c r="F81" s="22" t="s">
        <v>20</v>
      </c>
      <c r="G81" s="23" t="s">
        <v>18</v>
      </c>
      <c r="H81" s="22">
        <v>90032575</v>
      </c>
      <c r="I81" s="695" t="s">
        <v>758</v>
      </c>
      <c r="J81" s="541" t="s">
        <v>65</v>
      </c>
      <c r="K81" s="24">
        <v>6</v>
      </c>
      <c r="L81" s="33"/>
      <c r="M81" s="32">
        <f>42-35</f>
        <v>7</v>
      </c>
      <c r="N81" s="32">
        <f>70-55</f>
        <v>15</v>
      </c>
      <c r="O81" s="32">
        <f>SUM(M81:N81)</f>
        <v>22</v>
      </c>
    </row>
    <row r="82" spans="1:15" s="25" customFormat="1" ht="29.25">
      <c r="A82" s="575" t="s">
        <v>26</v>
      </c>
      <c r="B82" s="22" t="s">
        <v>228</v>
      </c>
      <c r="C82" s="22" t="s">
        <v>299</v>
      </c>
      <c r="D82" s="23" t="s">
        <v>239</v>
      </c>
      <c r="E82" s="22">
        <v>39</v>
      </c>
      <c r="F82" s="22" t="s">
        <v>20</v>
      </c>
      <c r="G82" s="23" t="s">
        <v>18</v>
      </c>
      <c r="H82" s="22">
        <v>879943</v>
      </c>
      <c r="I82" s="695" t="s">
        <v>764</v>
      </c>
      <c r="J82" s="541" t="s">
        <v>65</v>
      </c>
      <c r="K82" s="24">
        <v>6.6</v>
      </c>
      <c r="L82" s="33"/>
      <c r="M82" s="32">
        <v>269</v>
      </c>
      <c r="N82" s="32">
        <v>300</v>
      </c>
      <c r="O82" s="32">
        <f>SUM(M82:N82)</f>
        <v>569</v>
      </c>
    </row>
    <row r="83" spans="1:15" s="25" customFormat="1" ht="29.25">
      <c r="A83" s="575" t="s">
        <v>26</v>
      </c>
      <c r="B83" s="22" t="s">
        <v>228</v>
      </c>
      <c r="C83" s="22" t="s">
        <v>300</v>
      </c>
      <c r="D83" s="22"/>
      <c r="E83" s="22"/>
      <c r="F83" s="22" t="s">
        <v>20</v>
      </c>
      <c r="G83" s="23" t="s">
        <v>18</v>
      </c>
      <c r="H83" s="22">
        <v>879958</v>
      </c>
      <c r="I83" s="695" t="s">
        <v>765</v>
      </c>
      <c r="J83" s="405" t="s">
        <v>28</v>
      </c>
      <c r="K83" s="24">
        <v>4</v>
      </c>
      <c r="L83" s="34">
        <f>7310-4851</f>
        <v>2459</v>
      </c>
      <c r="M83" s="30"/>
      <c r="N83" s="30"/>
      <c r="O83" s="34">
        <f>L83</f>
        <v>2459</v>
      </c>
    </row>
    <row r="84" spans="1:15" s="25" customFormat="1" ht="30" thickBot="1">
      <c r="A84" s="575" t="s">
        <v>26</v>
      </c>
      <c r="B84" s="20" t="s">
        <v>228</v>
      </c>
      <c r="C84" s="20" t="s">
        <v>301</v>
      </c>
      <c r="D84" s="21" t="s">
        <v>302</v>
      </c>
      <c r="E84" s="22">
        <v>1</v>
      </c>
      <c r="F84" s="22" t="s">
        <v>20</v>
      </c>
      <c r="G84" s="23" t="s">
        <v>18</v>
      </c>
      <c r="H84" s="22">
        <v>879944</v>
      </c>
      <c r="I84" s="695" t="s">
        <v>763</v>
      </c>
      <c r="J84" s="541" t="s">
        <v>65</v>
      </c>
      <c r="K84" s="24">
        <v>5</v>
      </c>
      <c r="L84" s="33"/>
      <c r="M84" s="32">
        <v>3838</v>
      </c>
      <c r="N84" s="32">
        <v>6000</v>
      </c>
      <c r="O84" s="32">
        <f>SUM(M84:N84)</f>
        <v>9838</v>
      </c>
    </row>
    <row r="85" spans="1:15" ht="37.5" customHeight="1">
      <c r="B85" s="697" t="s">
        <v>22</v>
      </c>
      <c r="C85" s="80" t="s">
        <v>271</v>
      </c>
      <c r="D85" s="12"/>
      <c r="E85" s="19"/>
      <c r="H85" s="1622" t="s">
        <v>1920</v>
      </c>
      <c r="I85" s="87" t="s">
        <v>271</v>
      </c>
      <c r="J85" s="1127"/>
      <c r="K85" s="1128"/>
      <c r="L85" s="31"/>
      <c r="N85" s="4" t="s">
        <v>23</v>
      </c>
      <c r="O85" s="556">
        <f>SUM(O80:O84)</f>
        <v>85257.4</v>
      </c>
    </row>
    <row r="86" spans="1:15" ht="15">
      <c r="B86" s="553"/>
      <c r="C86" s="68" t="s">
        <v>272</v>
      </c>
      <c r="D86" s="15"/>
      <c r="E86" s="19"/>
      <c r="H86" s="1129"/>
      <c r="I86" s="73" t="s">
        <v>272</v>
      </c>
      <c r="J86" s="58"/>
      <c r="K86" s="1062"/>
      <c r="L86" s="31"/>
    </row>
    <row r="87" spans="1:15" ht="15.75" thickBot="1">
      <c r="B87" s="553"/>
      <c r="C87" s="68" t="s">
        <v>25</v>
      </c>
      <c r="D87" s="15"/>
      <c r="E87" s="14"/>
      <c r="H87" s="1138"/>
      <c r="I87" s="72" t="s">
        <v>25</v>
      </c>
      <c r="J87" s="1347"/>
      <c r="K87" s="685"/>
    </row>
    <row r="88" spans="1:15" ht="15">
      <c r="B88" s="553" t="s">
        <v>160</v>
      </c>
      <c r="C88" s="68" t="s">
        <v>1710</v>
      </c>
      <c r="D88" s="15"/>
      <c r="E88" s="14"/>
    </row>
    <row r="89" spans="1:15" ht="15.75" thickBot="1">
      <c r="B89" s="433" t="s">
        <v>1061</v>
      </c>
      <c r="C89" s="97" t="s">
        <v>1161</v>
      </c>
      <c r="D89" s="18"/>
      <c r="E89" s="14"/>
    </row>
    <row r="90" spans="1:15" ht="15" thickBot="1"/>
    <row r="91" spans="1:15" ht="45" customHeight="1">
      <c r="A91" s="1670" t="s">
        <v>6</v>
      </c>
      <c r="B91" s="1673" t="s">
        <v>633</v>
      </c>
      <c r="C91" s="1676" t="s">
        <v>8</v>
      </c>
      <c r="D91" s="1676" t="s">
        <v>9</v>
      </c>
      <c r="E91" s="1656" t="s">
        <v>634</v>
      </c>
      <c r="F91" s="1656" t="s">
        <v>11</v>
      </c>
      <c r="G91" s="1676" t="s">
        <v>12</v>
      </c>
      <c r="H91" s="1656" t="s">
        <v>269</v>
      </c>
      <c r="I91" s="1656" t="s">
        <v>13</v>
      </c>
      <c r="J91" s="1656" t="s">
        <v>59</v>
      </c>
      <c r="K91" s="1665" t="s">
        <v>635</v>
      </c>
      <c r="L91" s="1744" t="s">
        <v>1877</v>
      </c>
      <c r="M91" s="1745"/>
      <c r="N91" s="1745"/>
      <c r="O91" s="1746"/>
    </row>
    <row r="92" spans="1:15" ht="40.5" customHeight="1">
      <c r="A92" s="1671"/>
      <c r="B92" s="1674"/>
      <c r="C92" s="1677"/>
      <c r="D92" s="1677"/>
      <c r="E92" s="1657"/>
      <c r="F92" s="1657"/>
      <c r="G92" s="1677"/>
      <c r="H92" s="1657"/>
      <c r="I92" s="1657"/>
      <c r="J92" s="1657"/>
      <c r="K92" s="1666"/>
      <c r="L92" s="1679" t="s">
        <v>637</v>
      </c>
      <c r="M92" s="1654"/>
      <c r="N92" s="1654"/>
      <c r="O92" s="1680"/>
    </row>
    <row r="93" spans="1:15" ht="35.25" customHeight="1" thickBot="1">
      <c r="A93" s="1672"/>
      <c r="B93" s="1675"/>
      <c r="C93" s="1678"/>
      <c r="D93" s="1678"/>
      <c r="E93" s="1658"/>
      <c r="F93" s="1658"/>
      <c r="G93" s="1678"/>
      <c r="H93" s="1658"/>
      <c r="I93" s="1658"/>
      <c r="J93" s="1658"/>
      <c r="K93" s="1667"/>
      <c r="L93" s="263" t="s">
        <v>638</v>
      </c>
      <c r="M93" s="270" t="s">
        <v>639</v>
      </c>
      <c r="N93" s="270" t="s">
        <v>640</v>
      </c>
      <c r="O93" s="265" t="s">
        <v>16</v>
      </c>
    </row>
    <row r="94" spans="1:15" ht="30" thickBot="1">
      <c r="A94" s="575" t="s">
        <v>26</v>
      </c>
      <c r="B94" s="9" t="s">
        <v>1629</v>
      </c>
      <c r="C94" s="9" t="s">
        <v>304</v>
      </c>
      <c r="D94" s="6"/>
      <c r="E94" s="6">
        <v>42</v>
      </c>
      <c r="F94" s="6" t="s">
        <v>20</v>
      </c>
      <c r="G94" s="9" t="s">
        <v>18</v>
      </c>
      <c r="H94" s="20">
        <v>4143458</v>
      </c>
      <c r="I94" s="771" t="s">
        <v>767</v>
      </c>
      <c r="J94" s="1023" t="s">
        <v>65</v>
      </c>
      <c r="K94" s="745">
        <v>39</v>
      </c>
      <c r="L94" s="456"/>
      <c r="M94" s="34">
        <f>(12866/12)*10</f>
        <v>10721.666666666668</v>
      </c>
      <c r="N94" s="34">
        <f>(32268/12)*10</f>
        <v>26890</v>
      </c>
      <c r="O94" s="32">
        <f>M94+N94</f>
        <v>37611.666666666672</v>
      </c>
    </row>
    <row r="95" spans="1:15" customFormat="1" ht="23.25" customHeight="1">
      <c r="A95" s="697" t="s">
        <v>22</v>
      </c>
      <c r="B95" s="80" t="s">
        <v>271</v>
      </c>
      <c r="C95" s="12"/>
      <c r="D95" s="1628" t="s">
        <v>1922</v>
      </c>
      <c r="E95" s="1629" t="s">
        <v>1629</v>
      </c>
      <c r="F95" s="1630"/>
      <c r="G95" s="1630"/>
      <c r="H95" s="175" t="s">
        <v>1724</v>
      </c>
      <c r="I95" s="1635" t="s">
        <v>271</v>
      </c>
      <c r="J95" s="612"/>
      <c r="K95" s="12"/>
      <c r="L95" s="14"/>
      <c r="N95" s="4" t="s">
        <v>23</v>
      </c>
      <c r="O95" s="556">
        <f>SUM(O90:O94)</f>
        <v>37611.666666666672</v>
      </c>
    </row>
    <row r="96" spans="1:15" ht="15">
      <c r="A96" s="553"/>
      <c r="B96" s="68" t="s">
        <v>272</v>
      </c>
      <c r="C96" s="15"/>
      <c r="D96" s="1631"/>
      <c r="E96" s="1632" t="s">
        <v>1630</v>
      </c>
      <c r="F96" s="1632"/>
      <c r="G96" s="1632"/>
      <c r="H96" s="1129"/>
      <c r="I96" s="1636" t="s">
        <v>272</v>
      </c>
      <c r="J96" s="57"/>
      <c r="K96" s="15"/>
      <c r="L96" s="14"/>
    </row>
    <row r="97" spans="1:15" ht="15">
      <c r="A97" s="553"/>
      <c r="B97" s="68" t="s">
        <v>25</v>
      </c>
      <c r="C97" s="15"/>
      <c r="D97" s="1631"/>
      <c r="E97" s="1632" t="s">
        <v>25</v>
      </c>
      <c r="F97" s="1632"/>
      <c r="G97" s="1632"/>
      <c r="H97" s="1129"/>
      <c r="I97" s="1636" t="s">
        <v>25</v>
      </c>
      <c r="J97" s="57"/>
      <c r="K97" s="15"/>
      <c r="L97" s="14"/>
    </row>
    <row r="98" spans="1:15" ht="15">
      <c r="A98" s="553" t="s">
        <v>160</v>
      </c>
      <c r="B98" s="68" t="s">
        <v>1710</v>
      </c>
      <c r="C98" s="15"/>
      <c r="D98" s="13"/>
      <c r="E98" s="14"/>
      <c r="F98" s="14"/>
      <c r="G98" s="14"/>
      <c r="H98" s="13"/>
      <c r="I98" s="1637" t="s">
        <v>1926</v>
      </c>
      <c r="J98" s="14"/>
      <c r="K98" s="15"/>
      <c r="L98" s="14"/>
    </row>
    <row r="99" spans="1:15" ht="15.75" thickBot="1">
      <c r="A99" s="433" t="s">
        <v>1061</v>
      </c>
      <c r="B99" s="97" t="s">
        <v>1161</v>
      </c>
      <c r="C99" s="18"/>
      <c r="D99" s="71"/>
      <c r="E99" s="17"/>
      <c r="F99" s="17"/>
      <c r="G99" s="17"/>
      <c r="H99" s="13"/>
      <c r="I99" s="1637" t="s">
        <v>42</v>
      </c>
      <c r="J99" s="14"/>
      <c r="K99" s="15"/>
      <c r="L99" s="14"/>
    </row>
    <row r="100" spans="1:15" ht="15">
      <c r="H100" s="185"/>
      <c r="I100" s="1638" t="s">
        <v>272</v>
      </c>
      <c r="J100" s="54"/>
      <c r="K100" s="27"/>
    </row>
    <row r="101" spans="1:15" ht="15.75" thickBot="1">
      <c r="H101" s="188"/>
      <c r="I101" s="1639" t="s">
        <v>25</v>
      </c>
      <c r="J101" s="226"/>
      <c r="K101" s="28"/>
    </row>
    <row r="102" spans="1:15">
      <c r="K102" s="1"/>
    </row>
    <row r="103" spans="1:15" customFormat="1"/>
    <row r="104" spans="1:15" customFormat="1" ht="15" thickBot="1"/>
    <row r="105" spans="1:15" customFormat="1" ht="34.5" customHeight="1">
      <c r="A105" s="1670" t="s">
        <v>6</v>
      </c>
      <c r="B105" s="1673" t="s">
        <v>633</v>
      </c>
      <c r="C105" s="1676" t="s">
        <v>8</v>
      </c>
      <c r="D105" s="1676" t="s">
        <v>9</v>
      </c>
      <c r="E105" s="1656" t="s">
        <v>634</v>
      </c>
      <c r="F105" s="1656" t="s">
        <v>11</v>
      </c>
      <c r="G105" s="1676" t="s">
        <v>12</v>
      </c>
      <c r="H105" s="1656" t="s">
        <v>269</v>
      </c>
      <c r="I105" s="1656" t="s">
        <v>13</v>
      </c>
      <c r="J105" s="1656" t="s">
        <v>59</v>
      </c>
      <c r="K105" s="1665" t="s">
        <v>635</v>
      </c>
      <c r="L105" s="1744" t="s">
        <v>1877</v>
      </c>
      <c r="M105" s="1745"/>
      <c r="N105" s="1745"/>
      <c r="O105" s="1746"/>
    </row>
    <row r="106" spans="1:15" customFormat="1" ht="34.5" customHeight="1">
      <c r="A106" s="1671"/>
      <c r="B106" s="1674"/>
      <c r="C106" s="1677"/>
      <c r="D106" s="1677"/>
      <c r="E106" s="1657"/>
      <c r="F106" s="1657"/>
      <c r="G106" s="1677"/>
      <c r="H106" s="1657"/>
      <c r="I106" s="1657"/>
      <c r="J106" s="1657"/>
      <c r="K106" s="1666"/>
      <c r="L106" s="1679" t="s">
        <v>637</v>
      </c>
      <c r="M106" s="1654"/>
      <c r="N106" s="1654"/>
      <c r="O106" s="1680"/>
    </row>
    <row r="107" spans="1:15" customFormat="1" ht="34.5" customHeight="1" thickBot="1">
      <c r="A107" s="1672"/>
      <c r="B107" s="1675"/>
      <c r="C107" s="1678"/>
      <c r="D107" s="1678"/>
      <c r="E107" s="1658"/>
      <c r="F107" s="1658"/>
      <c r="G107" s="1678"/>
      <c r="H107" s="1658"/>
      <c r="I107" s="1658"/>
      <c r="J107" s="1658"/>
      <c r="K107" s="1667"/>
      <c r="L107" s="571" t="s">
        <v>638</v>
      </c>
      <c r="M107" s="1107" t="s">
        <v>639</v>
      </c>
      <c r="N107" s="1107" t="s">
        <v>640</v>
      </c>
      <c r="O107" s="1108" t="s">
        <v>16</v>
      </c>
    </row>
    <row r="108" spans="1:15" ht="30" thickBot="1">
      <c r="A108" s="575" t="s">
        <v>26</v>
      </c>
      <c r="B108" s="3" t="s">
        <v>1868</v>
      </c>
      <c r="C108" s="3" t="s">
        <v>270</v>
      </c>
      <c r="D108" s="9" t="s">
        <v>305</v>
      </c>
      <c r="E108" s="6">
        <v>20</v>
      </c>
      <c r="F108" s="6" t="s">
        <v>20</v>
      </c>
      <c r="G108" s="9" t="s">
        <v>18</v>
      </c>
      <c r="H108" s="20">
        <v>4146235</v>
      </c>
      <c r="I108" s="771" t="s">
        <v>766</v>
      </c>
      <c r="J108" s="1023" t="s">
        <v>65</v>
      </c>
      <c r="K108" s="745">
        <v>30</v>
      </c>
      <c r="L108" s="456"/>
      <c r="M108" s="34">
        <f>(12476.4/12)*10</f>
        <v>10397</v>
      </c>
      <c r="N108" s="34">
        <f>(22265.2/12)*10</f>
        <v>18554.333333333336</v>
      </c>
      <c r="O108" s="32">
        <f>M108+N108</f>
        <v>28951.333333333336</v>
      </c>
    </row>
    <row r="109" spans="1:15" customFormat="1" ht="23.25" customHeight="1">
      <c r="A109" s="697" t="s">
        <v>22</v>
      </c>
      <c r="B109" s="80" t="s">
        <v>271</v>
      </c>
      <c r="C109" s="12"/>
      <c r="D109" s="1628" t="s">
        <v>1922</v>
      </c>
      <c r="E109" s="1630" t="s">
        <v>1868</v>
      </c>
      <c r="F109" s="1630"/>
      <c r="G109" s="1630"/>
      <c r="H109" s="175" t="s">
        <v>1724</v>
      </c>
      <c r="I109" s="1635" t="s">
        <v>271</v>
      </c>
      <c r="J109" s="612"/>
      <c r="K109" s="12"/>
      <c r="L109" s="14"/>
      <c r="N109" s="4" t="s">
        <v>23</v>
      </c>
      <c r="O109" s="556">
        <f>SUM(O104:O108)</f>
        <v>28951.333333333336</v>
      </c>
    </row>
    <row r="110" spans="1:15" ht="15">
      <c r="A110" s="553"/>
      <c r="B110" s="68" t="s">
        <v>272</v>
      </c>
      <c r="C110" s="15"/>
      <c r="D110" s="1631"/>
      <c r="E110" s="1632" t="s">
        <v>1631</v>
      </c>
      <c r="F110" s="1632"/>
      <c r="G110" s="1632"/>
      <c r="H110" s="1129"/>
      <c r="I110" s="1636" t="s">
        <v>272</v>
      </c>
      <c r="J110" s="57"/>
      <c r="K110" s="15"/>
      <c r="L110" s="14"/>
    </row>
    <row r="111" spans="1:15" ht="15">
      <c r="A111" s="553"/>
      <c r="B111" s="68" t="s">
        <v>25</v>
      </c>
      <c r="C111" s="15"/>
      <c r="D111" s="1631"/>
      <c r="E111" s="1632" t="s">
        <v>1632</v>
      </c>
      <c r="F111" s="1632"/>
      <c r="G111" s="1632"/>
      <c r="H111" s="1129"/>
      <c r="I111" s="1636" t="s">
        <v>25</v>
      </c>
      <c r="J111" s="57"/>
      <c r="K111" s="15"/>
      <c r="L111" s="14"/>
    </row>
    <row r="112" spans="1:15" ht="15">
      <c r="A112" s="553" t="s">
        <v>160</v>
      </c>
      <c r="B112" s="68" t="s">
        <v>1710</v>
      </c>
      <c r="C112" s="15"/>
      <c r="D112" s="1631"/>
      <c r="E112" s="1632" t="s">
        <v>25</v>
      </c>
      <c r="F112" s="1632"/>
      <c r="G112" s="1632"/>
      <c r="H112" s="13"/>
      <c r="I112" s="1637" t="s">
        <v>1927</v>
      </c>
      <c r="J112" s="14"/>
      <c r="K112" s="15"/>
      <c r="L112" s="14"/>
    </row>
    <row r="113" spans="1:15" ht="15.75" thickBot="1">
      <c r="A113" s="433" t="s">
        <v>1061</v>
      </c>
      <c r="B113" s="97" t="s">
        <v>1161</v>
      </c>
      <c r="C113" s="18"/>
      <c r="D113" s="71"/>
      <c r="E113" s="17"/>
      <c r="F113" s="17"/>
      <c r="G113" s="17"/>
      <c r="H113" s="13"/>
      <c r="I113" s="1637" t="s">
        <v>1928</v>
      </c>
      <c r="J113" s="14"/>
      <c r="K113" s="15"/>
      <c r="L113" s="14"/>
    </row>
    <row r="114" spans="1:15" ht="15">
      <c r="A114" s="577"/>
      <c r="B114" s="68"/>
      <c r="C114" s="14"/>
      <c r="D114" s="14"/>
      <c r="E114" s="14"/>
      <c r="F114" s="14"/>
      <c r="G114" s="14"/>
      <c r="H114" s="13"/>
      <c r="I114" s="1637" t="s">
        <v>42</v>
      </c>
      <c r="J114" s="14"/>
      <c r="K114" s="15"/>
      <c r="L114" s="14"/>
    </row>
    <row r="115" spans="1:15" ht="15">
      <c r="A115" s="577"/>
      <c r="B115" s="68"/>
      <c r="C115" s="14"/>
      <c r="D115" s="14"/>
      <c r="E115" s="14"/>
      <c r="F115" s="14"/>
      <c r="G115" s="14"/>
      <c r="H115" s="13"/>
      <c r="I115" s="1638" t="s">
        <v>272</v>
      </c>
      <c r="J115" s="14"/>
      <c r="K115" s="15"/>
      <c r="L115" s="14"/>
    </row>
    <row r="116" spans="1:15" ht="15.75" thickBot="1">
      <c r="A116" s="577"/>
      <c r="B116" s="68"/>
      <c r="C116" s="14"/>
      <c r="D116" s="14"/>
      <c r="E116" s="14"/>
      <c r="F116" s="14"/>
      <c r="G116" s="14"/>
      <c r="H116" s="71"/>
      <c r="I116" s="1639" t="s">
        <v>25</v>
      </c>
      <c r="J116" s="17"/>
      <c r="K116" s="18"/>
      <c r="L116" s="14"/>
    </row>
    <row r="117" spans="1:15">
      <c r="K117" s="1"/>
    </row>
    <row r="118" spans="1:15">
      <c r="K118" s="1"/>
    </row>
    <row r="119" spans="1:15" customFormat="1"/>
    <row r="120" spans="1:15" customFormat="1" ht="15" thickBot="1"/>
    <row r="121" spans="1:15" customFormat="1" ht="33.75" customHeight="1">
      <c r="A121" s="1670" t="s">
        <v>6</v>
      </c>
      <c r="B121" s="1673" t="s">
        <v>633</v>
      </c>
      <c r="C121" s="1676" t="s">
        <v>8</v>
      </c>
      <c r="D121" s="1676" t="s">
        <v>9</v>
      </c>
      <c r="E121" s="1656" t="s">
        <v>634</v>
      </c>
      <c r="F121" s="1656" t="s">
        <v>11</v>
      </c>
      <c r="G121" s="1676" t="s">
        <v>12</v>
      </c>
      <c r="H121" s="1656" t="s">
        <v>269</v>
      </c>
      <c r="I121" s="1656" t="s">
        <v>13</v>
      </c>
      <c r="J121" s="1656" t="s">
        <v>59</v>
      </c>
      <c r="K121" s="1665" t="s">
        <v>635</v>
      </c>
      <c r="L121" s="1744" t="s">
        <v>1877</v>
      </c>
      <c r="M121" s="1745"/>
      <c r="N121" s="1745"/>
      <c r="O121" s="1746"/>
    </row>
    <row r="122" spans="1:15" customFormat="1" ht="33.75" customHeight="1">
      <c r="A122" s="1671"/>
      <c r="B122" s="1674"/>
      <c r="C122" s="1677"/>
      <c r="D122" s="1677"/>
      <c r="E122" s="1657"/>
      <c r="F122" s="1657"/>
      <c r="G122" s="1677"/>
      <c r="H122" s="1657"/>
      <c r="I122" s="1657"/>
      <c r="J122" s="1657"/>
      <c r="K122" s="1666"/>
      <c r="L122" s="1679" t="s">
        <v>637</v>
      </c>
      <c r="M122" s="1654"/>
      <c r="N122" s="1654"/>
      <c r="O122" s="1680"/>
    </row>
    <row r="123" spans="1:15" customFormat="1" ht="33.75" customHeight="1" thickBot="1">
      <c r="A123" s="1672"/>
      <c r="B123" s="1675"/>
      <c r="C123" s="1678"/>
      <c r="D123" s="1678"/>
      <c r="E123" s="1658"/>
      <c r="F123" s="1658"/>
      <c r="G123" s="1678"/>
      <c r="H123" s="1658"/>
      <c r="I123" s="1658"/>
      <c r="J123" s="1658"/>
      <c r="K123" s="1667"/>
      <c r="L123" s="571" t="s">
        <v>638</v>
      </c>
      <c r="M123" s="1107" t="s">
        <v>639</v>
      </c>
      <c r="N123" s="1107" t="s">
        <v>640</v>
      </c>
      <c r="O123" s="1108" t="s">
        <v>16</v>
      </c>
    </row>
    <row r="124" spans="1:15" ht="30" thickBot="1">
      <c r="A124" s="575" t="s">
        <v>26</v>
      </c>
      <c r="B124" s="21" t="s">
        <v>1863</v>
      </c>
      <c r="C124" s="9" t="s">
        <v>306</v>
      </c>
      <c r="D124" s="6" t="s">
        <v>1641</v>
      </c>
      <c r="E124" s="6">
        <v>144</v>
      </c>
      <c r="F124" s="6" t="s">
        <v>20</v>
      </c>
      <c r="G124" s="9" t="s">
        <v>18</v>
      </c>
      <c r="H124" s="20">
        <v>4099697</v>
      </c>
      <c r="I124" s="771" t="s">
        <v>761</v>
      </c>
      <c r="J124" s="1532" t="s">
        <v>70</v>
      </c>
      <c r="K124" s="1118">
        <v>60</v>
      </c>
      <c r="L124" s="1119"/>
      <c r="M124" s="32">
        <f>(39499/12)*10</f>
        <v>32915.833333333336</v>
      </c>
      <c r="N124" s="32">
        <f>(84382/12)*10</f>
        <v>70318.333333333328</v>
      </c>
      <c r="O124" s="32">
        <f>M124+N124</f>
        <v>103234.16666666666</v>
      </c>
    </row>
    <row r="125" spans="1:15" customFormat="1" ht="27" customHeight="1">
      <c r="A125" s="697" t="s">
        <v>22</v>
      </c>
      <c r="B125" s="80" t="s">
        <v>271</v>
      </c>
      <c r="C125" s="12"/>
      <c r="D125" s="1628" t="s">
        <v>1922</v>
      </c>
      <c r="E125" s="1630" t="s">
        <v>1863</v>
      </c>
      <c r="F125" s="1630"/>
      <c r="G125" s="1630"/>
      <c r="H125" s="1633"/>
      <c r="I125" s="175" t="s">
        <v>1724</v>
      </c>
      <c r="J125" s="1635" t="s">
        <v>271</v>
      </c>
      <c r="K125" s="612"/>
      <c r="L125" s="12"/>
      <c r="N125" s="4" t="s">
        <v>23</v>
      </c>
      <c r="O125" s="556">
        <f>SUM(O120:O124)</f>
        <v>103234.16666666666</v>
      </c>
    </row>
    <row r="126" spans="1:15" ht="15">
      <c r="A126" s="553"/>
      <c r="B126" s="68" t="s">
        <v>272</v>
      </c>
      <c r="C126" s="15"/>
      <c r="D126" s="1631"/>
      <c r="E126" s="1632" t="s">
        <v>306</v>
      </c>
      <c r="F126" s="1632"/>
      <c r="G126" s="1632"/>
      <c r="H126" s="1634"/>
      <c r="I126" s="1129"/>
      <c r="J126" s="1636" t="s">
        <v>272</v>
      </c>
      <c r="K126" s="57"/>
      <c r="L126" s="15"/>
    </row>
    <row r="127" spans="1:15" ht="15">
      <c r="A127" s="553"/>
      <c r="B127" s="68" t="s">
        <v>25</v>
      </c>
      <c r="C127" s="15"/>
      <c r="D127" s="1631"/>
      <c r="E127" s="1632" t="s">
        <v>1864</v>
      </c>
      <c r="F127" s="1632"/>
      <c r="G127" s="1632"/>
      <c r="H127" s="1634"/>
      <c r="I127" s="1129"/>
      <c r="J127" s="1636" t="s">
        <v>25</v>
      </c>
      <c r="K127" s="57"/>
      <c r="L127" s="15"/>
    </row>
    <row r="128" spans="1:15" ht="15">
      <c r="A128" s="553" t="s">
        <v>160</v>
      </c>
      <c r="B128" s="68" t="s">
        <v>1710</v>
      </c>
      <c r="C128" s="15"/>
      <c r="D128" s="1631"/>
      <c r="E128" s="1632" t="s">
        <v>25</v>
      </c>
      <c r="F128" s="1632"/>
      <c r="G128" s="1632"/>
      <c r="H128" s="1634"/>
      <c r="I128" s="13"/>
      <c r="J128" s="1637" t="s">
        <v>1927</v>
      </c>
      <c r="K128" s="14"/>
      <c r="L128" s="15"/>
    </row>
    <row r="129" spans="1:15" ht="15.75" thickBot="1">
      <c r="A129" s="433" t="s">
        <v>1061</v>
      </c>
      <c r="B129" s="97" t="s">
        <v>1161</v>
      </c>
      <c r="C129" s="18"/>
      <c r="D129" s="71"/>
      <c r="E129" s="17"/>
      <c r="F129" s="17"/>
      <c r="G129" s="17"/>
      <c r="H129" s="226"/>
      <c r="I129" s="13"/>
      <c r="J129" s="1637" t="s">
        <v>1928</v>
      </c>
      <c r="K129" s="14"/>
      <c r="L129" s="15"/>
    </row>
    <row r="130" spans="1:15" ht="15">
      <c r="I130" s="13"/>
      <c r="J130" s="1637" t="s">
        <v>42</v>
      </c>
      <c r="K130" s="14"/>
      <c r="L130" s="15"/>
    </row>
    <row r="131" spans="1:15" customFormat="1" ht="15">
      <c r="I131" s="13"/>
      <c r="J131" s="1638" t="s">
        <v>272</v>
      </c>
      <c r="K131" s="14"/>
      <c r="L131" s="15"/>
    </row>
    <row r="132" spans="1:15" ht="15.75" thickBot="1">
      <c r="I132" s="71"/>
      <c r="J132" s="1639" t="s">
        <v>25</v>
      </c>
      <c r="K132" s="17"/>
      <c r="L132" s="18"/>
    </row>
    <row r="133" spans="1:15" customFormat="1"/>
    <row r="134" spans="1:15" customFormat="1" ht="15" thickBot="1"/>
    <row r="135" spans="1:15" customFormat="1" ht="36.75" customHeight="1">
      <c r="A135" s="1670" t="s">
        <v>6</v>
      </c>
      <c r="B135" s="1673" t="s">
        <v>633</v>
      </c>
      <c r="C135" s="1676" t="s">
        <v>8</v>
      </c>
      <c r="D135" s="1676" t="s">
        <v>9</v>
      </c>
      <c r="E135" s="1656" t="s">
        <v>634</v>
      </c>
      <c r="F135" s="1656" t="s">
        <v>11</v>
      </c>
      <c r="G135" s="1676" t="s">
        <v>12</v>
      </c>
      <c r="H135" s="1656" t="s">
        <v>269</v>
      </c>
      <c r="I135" s="1656" t="s">
        <v>13</v>
      </c>
      <c r="J135" s="1656" t="s">
        <v>59</v>
      </c>
      <c r="K135" s="1665" t="s">
        <v>635</v>
      </c>
      <c r="L135" s="1744" t="s">
        <v>1878</v>
      </c>
      <c r="M135" s="1745"/>
      <c r="N135" s="1745"/>
      <c r="O135" s="1746"/>
    </row>
    <row r="136" spans="1:15" customFormat="1" ht="36.75" customHeight="1">
      <c r="A136" s="1671"/>
      <c r="B136" s="1674"/>
      <c r="C136" s="1677"/>
      <c r="D136" s="1677"/>
      <c r="E136" s="1657"/>
      <c r="F136" s="1657"/>
      <c r="G136" s="1677"/>
      <c r="H136" s="1657"/>
      <c r="I136" s="1657"/>
      <c r="J136" s="1657"/>
      <c r="K136" s="1666"/>
      <c r="L136" s="1679" t="s">
        <v>637</v>
      </c>
      <c r="M136" s="1654"/>
      <c r="N136" s="1654"/>
      <c r="O136" s="1680"/>
    </row>
    <row r="137" spans="1:15" customFormat="1" ht="36.75" customHeight="1" thickBot="1">
      <c r="A137" s="1672"/>
      <c r="B137" s="1675"/>
      <c r="C137" s="1678"/>
      <c r="D137" s="1678"/>
      <c r="E137" s="1658"/>
      <c r="F137" s="1658"/>
      <c r="G137" s="1678"/>
      <c r="H137" s="1658"/>
      <c r="I137" s="1658"/>
      <c r="J137" s="1658"/>
      <c r="K137" s="1667"/>
      <c r="L137" s="571" t="s">
        <v>638</v>
      </c>
      <c r="M137" s="1107" t="s">
        <v>639</v>
      </c>
      <c r="N137" s="1107" t="s">
        <v>640</v>
      </c>
      <c r="O137" s="1108" t="s">
        <v>16</v>
      </c>
    </row>
    <row r="138" spans="1:15" ht="48" customHeight="1" thickBot="1">
      <c r="A138" s="575" t="s">
        <v>26</v>
      </c>
      <c r="B138" s="9" t="s">
        <v>1866</v>
      </c>
      <c r="C138" s="9" t="s">
        <v>307</v>
      </c>
      <c r="D138" s="6"/>
      <c r="E138" s="9" t="s">
        <v>79</v>
      </c>
      <c r="F138" s="6" t="s">
        <v>20</v>
      </c>
      <c r="G138" s="9" t="s">
        <v>18</v>
      </c>
      <c r="H138" s="20">
        <v>4099764</v>
      </c>
      <c r="I138" s="771" t="s">
        <v>793</v>
      </c>
      <c r="J138" s="1023" t="s">
        <v>65</v>
      </c>
      <c r="K138" s="745">
        <v>39</v>
      </c>
      <c r="L138" s="456"/>
      <c r="M138" s="32">
        <v>3370</v>
      </c>
      <c r="N138" s="32">
        <v>8425</v>
      </c>
      <c r="O138" s="32">
        <f>M138+N138</f>
        <v>11795</v>
      </c>
    </row>
    <row r="139" spans="1:15" customFormat="1" ht="22.5" customHeight="1">
      <c r="A139" s="697" t="s">
        <v>22</v>
      </c>
      <c r="B139" s="80" t="s">
        <v>271</v>
      </c>
      <c r="C139" s="12"/>
      <c r="D139" s="1628" t="s">
        <v>1922</v>
      </c>
      <c r="E139" s="1630" t="s">
        <v>1633</v>
      </c>
      <c r="F139" s="1630"/>
      <c r="G139" s="1630"/>
      <c r="H139" s="175" t="s">
        <v>1724</v>
      </c>
      <c r="I139" s="1635" t="s">
        <v>271</v>
      </c>
      <c r="J139" s="612"/>
      <c r="K139" s="12"/>
      <c r="L139" s="14"/>
      <c r="N139" s="4" t="s">
        <v>23</v>
      </c>
      <c r="O139" s="556">
        <f>SUM(O134:O138)</f>
        <v>11795</v>
      </c>
    </row>
    <row r="140" spans="1:15" ht="15">
      <c r="A140" s="553"/>
      <c r="B140" s="68" t="s">
        <v>272</v>
      </c>
      <c r="C140" s="15"/>
      <c r="D140" s="1631"/>
      <c r="E140" s="1632" t="s">
        <v>1634</v>
      </c>
      <c r="F140" s="1632"/>
      <c r="G140" s="1632"/>
      <c r="H140" s="1129"/>
      <c r="I140" s="1636" t="s">
        <v>272</v>
      </c>
      <c r="J140" s="57"/>
      <c r="K140" s="15"/>
      <c r="L140" s="14"/>
    </row>
    <row r="141" spans="1:15" ht="15">
      <c r="A141" s="553"/>
      <c r="B141" s="68" t="s">
        <v>25</v>
      </c>
      <c r="C141" s="15"/>
      <c r="D141" s="1631"/>
      <c r="E141" s="1632" t="s">
        <v>1635</v>
      </c>
      <c r="F141" s="1632"/>
      <c r="G141" s="1632"/>
      <c r="H141" s="1129"/>
      <c r="I141" s="1636" t="s">
        <v>25</v>
      </c>
      <c r="J141" s="57"/>
      <c r="K141" s="15"/>
      <c r="L141" s="14"/>
    </row>
    <row r="142" spans="1:15" ht="15">
      <c r="A142" s="553" t="s">
        <v>160</v>
      </c>
      <c r="B142" s="68" t="s">
        <v>1710</v>
      </c>
      <c r="C142" s="15"/>
      <c r="D142" s="1631"/>
      <c r="E142" s="1632" t="s">
        <v>25</v>
      </c>
      <c r="F142" s="1632"/>
      <c r="G142" s="1632"/>
      <c r="H142" s="13"/>
      <c r="I142" s="1637" t="s">
        <v>1927</v>
      </c>
      <c r="J142" s="14"/>
      <c r="K142" s="15"/>
      <c r="L142" s="14"/>
    </row>
    <row r="143" spans="1:15" ht="15.75" thickBot="1">
      <c r="A143" s="433" t="s">
        <v>1061</v>
      </c>
      <c r="B143" s="97" t="s">
        <v>1161</v>
      </c>
      <c r="C143" s="18"/>
      <c r="D143" s="71"/>
      <c r="E143" s="17"/>
      <c r="F143" s="17"/>
      <c r="G143" s="17"/>
      <c r="H143" s="13"/>
      <c r="I143" s="1637" t="s">
        <v>1928</v>
      </c>
      <c r="J143" s="14"/>
      <c r="K143" s="15"/>
      <c r="L143" s="14"/>
    </row>
    <row r="144" spans="1:15" customFormat="1" ht="15">
      <c r="H144" s="13"/>
      <c r="I144" s="1637" t="s">
        <v>42</v>
      </c>
      <c r="J144" s="14"/>
      <c r="K144" s="15"/>
    </row>
    <row r="145" spans="1:15" ht="15">
      <c r="H145" s="13"/>
      <c r="I145" s="1638" t="s">
        <v>272</v>
      </c>
      <c r="J145" s="14"/>
      <c r="K145" s="15"/>
    </row>
    <row r="146" spans="1:15" ht="15.75" thickBot="1">
      <c r="H146" s="71"/>
      <c r="I146" s="1639" t="s">
        <v>25</v>
      </c>
      <c r="J146" s="17"/>
      <c r="K146" s="18"/>
    </row>
    <row r="147" spans="1:15" customFormat="1"/>
    <row r="148" spans="1:15" customFormat="1" ht="15" thickBot="1"/>
    <row r="149" spans="1:15" customFormat="1" ht="39.75" customHeight="1">
      <c r="A149" s="1670" t="s">
        <v>6</v>
      </c>
      <c r="B149" s="1673" t="s">
        <v>633</v>
      </c>
      <c r="C149" s="1676" t="s">
        <v>8</v>
      </c>
      <c r="D149" s="1676" t="s">
        <v>9</v>
      </c>
      <c r="E149" s="1656" t="s">
        <v>634</v>
      </c>
      <c r="F149" s="1656" t="s">
        <v>11</v>
      </c>
      <c r="G149" s="1676" t="s">
        <v>12</v>
      </c>
      <c r="H149" s="1656" t="s">
        <v>269</v>
      </c>
      <c r="I149" s="1656" t="s">
        <v>13</v>
      </c>
      <c r="J149" s="1656" t="s">
        <v>59</v>
      </c>
      <c r="K149" s="1665" t="s">
        <v>635</v>
      </c>
      <c r="L149" s="1744" t="s">
        <v>1879</v>
      </c>
      <c r="M149" s="1745"/>
      <c r="N149" s="1745"/>
      <c r="O149" s="1746"/>
    </row>
    <row r="150" spans="1:15" customFormat="1" ht="39.75" customHeight="1">
      <c r="A150" s="1671"/>
      <c r="B150" s="1674"/>
      <c r="C150" s="1677"/>
      <c r="D150" s="1677"/>
      <c r="E150" s="1657"/>
      <c r="F150" s="1657"/>
      <c r="G150" s="1677"/>
      <c r="H150" s="1657"/>
      <c r="I150" s="1657"/>
      <c r="J150" s="1657"/>
      <c r="K150" s="1666"/>
      <c r="L150" s="1679" t="s">
        <v>637</v>
      </c>
      <c r="M150" s="1654"/>
      <c r="N150" s="1654"/>
      <c r="O150" s="1680"/>
    </row>
    <row r="151" spans="1:15" customFormat="1" ht="39.75" customHeight="1" thickBot="1">
      <c r="A151" s="1672"/>
      <c r="B151" s="1675"/>
      <c r="C151" s="1678"/>
      <c r="D151" s="1678"/>
      <c r="E151" s="1658"/>
      <c r="F151" s="1658"/>
      <c r="G151" s="1678"/>
      <c r="H151" s="1658"/>
      <c r="I151" s="1658"/>
      <c r="J151" s="1658"/>
      <c r="K151" s="1667"/>
      <c r="L151" s="571" t="s">
        <v>638</v>
      </c>
      <c r="M151" s="1107" t="s">
        <v>639</v>
      </c>
      <c r="N151" s="1107" t="s">
        <v>640</v>
      </c>
      <c r="O151" s="1108" t="s">
        <v>16</v>
      </c>
    </row>
    <row r="152" spans="1:15" ht="30" thickBot="1">
      <c r="A152" s="575" t="s">
        <v>26</v>
      </c>
      <c r="B152" s="9" t="s">
        <v>1867</v>
      </c>
      <c r="C152" s="9" t="s">
        <v>27</v>
      </c>
      <c r="D152" s="9" t="s">
        <v>284</v>
      </c>
      <c r="E152" s="6">
        <v>18</v>
      </c>
      <c r="F152" s="9" t="s">
        <v>20</v>
      </c>
      <c r="G152" s="9" t="s">
        <v>18</v>
      </c>
      <c r="H152" s="20">
        <v>4099065</v>
      </c>
      <c r="I152" s="771" t="s">
        <v>794</v>
      </c>
      <c r="J152" s="1102" t="s">
        <v>70</v>
      </c>
      <c r="K152" s="745">
        <v>60</v>
      </c>
      <c r="L152" s="456"/>
      <c r="M152" s="32">
        <v>19180</v>
      </c>
      <c r="N152" s="32">
        <v>37815</v>
      </c>
      <c r="O152" s="32">
        <f>M152+N152</f>
        <v>56995</v>
      </c>
    </row>
    <row r="153" spans="1:15" customFormat="1" ht="25.5" customHeight="1">
      <c r="A153" s="697" t="s">
        <v>22</v>
      </c>
      <c r="B153" s="80" t="s">
        <v>271</v>
      </c>
      <c r="C153" s="12"/>
      <c r="D153" s="1628" t="s">
        <v>1922</v>
      </c>
      <c r="E153" s="1630" t="s">
        <v>1867</v>
      </c>
      <c r="F153" s="1630"/>
      <c r="G153" s="1630"/>
      <c r="H153" s="175" t="s">
        <v>1724</v>
      </c>
      <c r="I153" s="1635" t="s">
        <v>271</v>
      </c>
      <c r="J153" s="612"/>
      <c r="K153" s="12"/>
      <c r="L153" s="14"/>
      <c r="N153" s="4" t="s">
        <v>23</v>
      </c>
      <c r="O153" s="556">
        <f>SUM(O148:O152)</f>
        <v>56995</v>
      </c>
    </row>
    <row r="154" spans="1:15" ht="15">
      <c r="A154" s="553"/>
      <c r="B154" s="68" t="s">
        <v>272</v>
      </c>
      <c r="C154" s="15"/>
      <c r="D154" s="1631"/>
      <c r="E154" s="1632" t="s">
        <v>1636</v>
      </c>
      <c r="F154" s="1632"/>
      <c r="G154" s="1632"/>
      <c r="H154" s="1129"/>
      <c r="I154" s="1636" t="s">
        <v>272</v>
      </c>
      <c r="J154" s="57"/>
      <c r="K154" s="15"/>
      <c r="L154" s="14"/>
    </row>
    <row r="155" spans="1:15" ht="15">
      <c r="A155" s="553"/>
      <c r="B155" s="68" t="s">
        <v>25</v>
      </c>
      <c r="C155" s="15"/>
      <c r="D155" s="1631"/>
      <c r="E155" s="1632" t="s">
        <v>25</v>
      </c>
      <c r="F155" s="1632"/>
      <c r="G155" s="1632"/>
      <c r="H155" s="1129"/>
      <c r="I155" s="1636" t="s">
        <v>25</v>
      </c>
      <c r="J155" s="57"/>
      <c r="K155" s="15"/>
      <c r="L155" s="14"/>
    </row>
    <row r="156" spans="1:15" ht="15">
      <c r="A156" s="553" t="s">
        <v>160</v>
      </c>
      <c r="B156" s="68" t="s">
        <v>1710</v>
      </c>
      <c r="C156" s="15"/>
      <c r="D156" s="13"/>
      <c r="H156" s="13"/>
      <c r="I156" s="1637" t="s">
        <v>1927</v>
      </c>
      <c r="J156" s="14"/>
      <c r="K156" s="15"/>
      <c r="L156" s="14"/>
    </row>
    <row r="157" spans="1:15" ht="15.75" thickBot="1">
      <c r="A157" s="433" t="s">
        <v>1061</v>
      </c>
      <c r="B157" s="97" t="s">
        <v>1161</v>
      </c>
      <c r="C157" s="18"/>
      <c r="D157" s="71"/>
      <c r="E157" s="17"/>
      <c r="F157" s="17"/>
      <c r="G157" s="17"/>
      <c r="H157" s="13"/>
      <c r="I157" s="1637" t="s">
        <v>1928</v>
      </c>
      <c r="J157" s="14"/>
      <c r="K157" s="15"/>
      <c r="L157" s="14"/>
    </row>
    <row r="158" spans="1:15" ht="15">
      <c r="H158" s="13"/>
      <c r="I158" s="1637" t="s">
        <v>42</v>
      </c>
      <c r="J158" s="14"/>
      <c r="K158" s="15"/>
    </row>
    <row r="159" spans="1:15" customFormat="1" ht="15">
      <c r="H159" s="13"/>
      <c r="I159" s="1638" t="s">
        <v>272</v>
      </c>
      <c r="J159" s="14"/>
      <c r="K159" s="15"/>
    </row>
    <row r="160" spans="1:15" ht="15.75" thickBot="1">
      <c r="H160" s="71"/>
      <c r="I160" s="1639" t="s">
        <v>25</v>
      </c>
      <c r="J160" s="17"/>
      <c r="K160" s="18"/>
    </row>
    <row r="161" spans="1:15" customFormat="1"/>
    <row r="162" spans="1:15" customFormat="1" ht="15" thickBot="1"/>
    <row r="163" spans="1:15" customFormat="1" ht="38.25" customHeight="1">
      <c r="A163" s="1670" t="s">
        <v>6</v>
      </c>
      <c r="B163" s="1673" t="s">
        <v>633</v>
      </c>
      <c r="C163" s="1676" t="s">
        <v>8</v>
      </c>
      <c r="D163" s="1676" t="s">
        <v>9</v>
      </c>
      <c r="E163" s="1656" t="s">
        <v>634</v>
      </c>
      <c r="F163" s="1656" t="s">
        <v>11</v>
      </c>
      <c r="G163" s="1676" t="s">
        <v>12</v>
      </c>
      <c r="H163" s="1656" t="s">
        <v>269</v>
      </c>
      <c r="I163" s="1656" t="s">
        <v>13</v>
      </c>
      <c r="J163" s="1656" t="s">
        <v>59</v>
      </c>
      <c r="K163" s="1665" t="s">
        <v>635</v>
      </c>
      <c r="L163" s="1744" t="s">
        <v>1877</v>
      </c>
      <c r="M163" s="1745"/>
      <c r="N163" s="1745"/>
      <c r="O163" s="1746"/>
    </row>
    <row r="164" spans="1:15" customFormat="1" ht="38.25" customHeight="1">
      <c r="A164" s="1671"/>
      <c r="B164" s="1674"/>
      <c r="C164" s="1677"/>
      <c r="D164" s="1677"/>
      <c r="E164" s="1657"/>
      <c r="F164" s="1657"/>
      <c r="G164" s="1677"/>
      <c r="H164" s="1657"/>
      <c r="I164" s="1657"/>
      <c r="J164" s="1657"/>
      <c r="K164" s="1666"/>
      <c r="L164" s="1679" t="s">
        <v>637</v>
      </c>
      <c r="M164" s="1654"/>
      <c r="N164" s="1654"/>
      <c r="O164" s="1680"/>
    </row>
    <row r="165" spans="1:15" customFormat="1" ht="38.25" customHeight="1" thickBot="1">
      <c r="A165" s="1672"/>
      <c r="B165" s="1675"/>
      <c r="C165" s="1678"/>
      <c r="D165" s="1678"/>
      <c r="E165" s="1658"/>
      <c r="F165" s="1658"/>
      <c r="G165" s="1678"/>
      <c r="H165" s="1658"/>
      <c r="I165" s="1658"/>
      <c r="J165" s="1658"/>
      <c r="K165" s="1667"/>
      <c r="L165" s="571" t="s">
        <v>638</v>
      </c>
      <c r="M165" s="1107" t="s">
        <v>639</v>
      </c>
      <c r="N165" s="1107" t="s">
        <v>640</v>
      </c>
      <c r="O165" s="1108" t="s">
        <v>16</v>
      </c>
    </row>
    <row r="166" spans="1:15" ht="36" customHeight="1" thickBot="1">
      <c r="A166" s="575" t="s">
        <v>26</v>
      </c>
      <c r="B166" s="9" t="s">
        <v>1865</v>
      </c>
      <c r="C166" s="9" t="s">
        <v>275</v>
      </c>
      <c r="D166" s="9" t="s">
        <v>308</v>
      </c>
      <c r="E166" s="6">
        <v>34</v>
      </c>
      <c r="F166" s="6" t="s">
        <v>20</v>
      </c>
      <c r="G166" s="9" t="s">
        <v>18</v>
      </c>
      <c r="H166" s="20">
        <v>4146189</v>
      </c>
      <c r="I166" s="771" t="s">
        <v>769</v>
      </c>
      <c r="J166" s="1117" t="s">
        <v>70</v>
      </c>
      <c r="K166" s="1118">
        <v>60</v>
      </c>
      <c r="L166" s="456"/>
      <c r="M166" s="34">
        <f>(35106/12)*10</f>
        <v>29255</v>
      </c>
      <c r="N166" s="34">
        <f>(67603/12)*10</f>
        <v>56335.833333333328</v>
      </c>
      <c r="O166" s="32">
        <f>M166+N166</f>
        <v>85590.833333333328</v>
      </c>
    </row>
    <row r="167" spans="1:15" customFormat="1" ht="24.75" customHeight="1">
      <c r="A167" s="697" t="s">
        <v>22</v>
      </c>
      <c r="B167" s="80" t="s">
        <v>271</v>
      </c>
      <c r="C167" s="12"/>
      <c r="D167" s="1628" t="s">
        <v>1922</v>
      </c>
      <c r="E167" s="1630" t="s">
        <v>1865</v>
      </c>
      <c r="F167" s="1630"/>
      <c r="G167" s="1630"/>
      <c r="H167" s="175" t="s">
        <v>1724</v>
      </c>
      <c r="I167" s="1635" t="s">
        <v>271</v>
      </c>
      <c r="J167" s="612"/>
      <c r="K167" s="12"/>
      <c r="L167" s="14"/>
      <c r="N167" s="4" t="s">
        <v>23</v>
      </c>
      <c r="O167" s="556">
        <f>SUM(O162:O166)</f>
        <v>85590.833333333328</v>
      </c>
    </row>
    <row r="168" spans="1:15" customFormat="1" ht="15" customHeight="1">
      <c r="A168" s="553"/>
      <c r="B168" s="68" t="s">
        <v>272</v>
      </c>
      <c r="C168" s="15"/>
      <c r="D168" s="1631"/>
      <c r="E168" s="1632" t="s">
        <v>1637</v>
      </c>
      <c r="F168" s="1632"/>
      <c r="G168" s="1632"/>
      <c r="H168" s="1129"/>
      <c r="I168" s="1636" t="s">
        <v>272</v>
      </c>
      <c r="J168" s="57"/>
      <c r="K168" s="15"/>
      <c r="L168" s="14"/>
    </row>
    <row r="169" spans="1:15" customFormat="1" ht="15" customHeight="1">
      <c r="A169" s="553"/>
      <c r="B169" s="68" t="s">
        <v>25</v>
      </c>
      <c r="C169" s="15"/>
      <c r="D169" s="1631"/>
      <c r="E169" s="1632" t="s">
        <v>25</v>
      </c>
      <c r="F169" s="1632"/>
      <c r="G169" s="1632"/>
      <c r="H169" s="1129"/>
      <c r="I169" s="1636" t="s">
        <v>25</v>
      </c>
      <c r="J169" s="57"/>
      <c r="K169" s="15"/>
      <c r="L169" s="14"/>
    </row>
    <row r="170" spans="1:15" customFormat="1" ht="15" customHeight="1">
      <c r="A170" s="553" t="s">
        <v>160</v>
      </c>
      <c r="B170" s="68" t="s">
        <v>1710</v>
      </c>
      <c r="C170" s="15"/>
      <c r="D170" s="13"/>
      <c r="E170" s="14"/>
      <c r="F170" s="14"/>
      <c r="G170" s="14"/>
      <c r="H170" s="13"/>
      <c r="I170" s="1637" t="s">
        <v>1927</v>
      </c>
      <c r="J170" s="14"/>
      <c r="K170" s="15"/>
      <c r="L170" s="14"/>
    </row>
    <row r="171" spans="1:15" customFormat="1" ht="15" customHeight="1" thickBot="1">
      <c r="A171" s="433" t="s">
        <v>1061</v>
      </c>
      <c r="B171" s="97" t="s">
        <v>1161</v>
      </c>
      <c r="C171" s="18"/>
      <c r="D171" s="71"/>
      <c r="E171" s="17"/>
      <c r="F171" s="17"/>
      <c r="G171" s="17"/>
      <c r="H171" s="13"/>
      <c r="I171" s="1637" t="s">
        <v>1928</v>
      </c>
      <c r="J171" s="14"/>
      <c r="K171" s="15"/>
      <c r="L171" s="14"/>
    </row>
    <row r="172" spans="1:15" ht="15" customHeight="1">
      <c r="A172" s="577"/>
      <c r="B172" s="68"/>
      <c r="C172" s="14"/>
      <c r="D172" s="14"/>
      <c r="E172" s="14"/>
      <c r="F172" s="14"/>
      <c r="G172" s="14"/>
      <c r="H172" s="13"/>
      <c r="I172" s="1637" t="s">
        <v>42</v>
      </c>
      <c r="J172" s="14"/>
      <c r="K172" s="15"/>
      <c r="L172" s="14"/>
    </row>
    <row r="173" spans="1:15" ht="15" customHeight="1">
      <c r="A173" s="577"/>
      <c r="B173" s="68"/>
      <c r="C173" s="14"/>
      <c r="D173" s="14"/>
      <c r="E173" s="14"/>
      <c r="F173" s="14"/>
      <c r="G173" s="14"/>
      <c r="H173" s="13"/>
      <c r="I173" s="1638" t="s">
        <v>272</v>
      </c>
      <c r="J173" s="14"/>
      <c r="K173" s="15"/>
      <c r="L173" s="14"/>
    </row>
    <row r="174" spans="1:15" ht="15" customHeight="1" thickBot="1">
      <c r="A174" s="577"/>
      <c r="B174" s="68"/>
      <c r="C174" s="14"/>
      <c r="D174" s="14"/>
      <c r="E174" s="14"/>
      <c r="F174" s="14"/>
      <c r="G174" s="14"/>
      <c r="H174" s="71"/>
      <c r="I174" s="1639" t="s">
        <v>25</v>
      </c>
      <c r="J174" s="17"/>
      <c r="K174" s="18"/>
      <c r="L174" s="14"/>
    </row>
    <row r="175" spans="1:15" ht="15" customHeight="1">
      <c r="A175" s="577"/>
      <c r="B175" s="68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1:15" customFormat="1" ht="15" thickBot="1"/>
    <row r="177" spans="1:15" customFormat="1" ht="33" customHeight="1">
      <c r="A177" s="1670" t="s">
        <v>6</v>
      </c>
      <c r="B177" s="1673" t="s">
        <v>633</v>
      </c>
      <c r="C177" s="1676" t="s">
        <v>8</v>
      </c>
      <c r="D177" s="1676" t="s">
        <v>9</v>
      </c>
      <c r="E177" s="1656" t="s">
        <v>634</v>
      </c>
      <c r="F177" s="1656" t="s">
        <v>11</v>
      </c>
      <c r="G177" s="1676" t="s">
        <v>12</v>
      </c>
      <c r="H177" s="1656" t="s">
        <v>269</v>
      </c>
      <c r="I177" s="1656" t="s">
        <v>13</v>
      </c>
      <c r="J177" s="1656" t="s">
        <v>59</v>
      </c>
      <c r="K177" s="1665" t="s">
        <v>635</v>
      </c>
      <c r="L177" s="1744" t="s">
        <v>1878</v>
      </c>
      <c r="M177" s="1745"/>
      <c r="N177" s="1745"/>
      <c r="O177" s="1746"/>
    </row>
    <row r="178" spans="1:15" customFormat="1" ht="33" customHeight="1">
      <c r="A178" s="1671"/>
      <c r="B178" s="1674"/>
      <c r="C178" s="1677"/>
      <c r="D178" s="1677"/>
      <c r="E178" s="1657"/>
      <c r="F178" s="1657"/>
      <c r="G178" s="1677"/>
      <c r="H178" s="1657"/>
      <c r="I178" s="1657"/>
      <c r="J178" s="1657"/>
      <c r="K178" s="1666"/>
      <c r="L178" s="1679" t="s">
        <v>637</v>
      </c>
      <c r="M178" s="1654"/>
      <c r="N178" s="1654"/>
      <c r="O178" s="1680"/>
    </row>
    <row r="179" spans="1:15" customFormat="1" ht="33" customHeight="1" thickBot="1">
      <c r="A179" s="1672"/>
      <c r="B179" s="1675"/>
      <c r="C179" s="1678"/>
      <c r="D179" s="1678"/>
      <c r="E179" s="1658"/>
      <c r="F179" s="1658"/>
      <c r="G179" s="1678"/>
      <c r="H179" s="1658"/>
      <c r="I179" s="1658"/>
      <c r="J179" s="1658"/>
      <c r="K179" s="1667"/>
      <c r="L179" s="571" t="s">
        <v>638</v>
      </c>
      <c r="M179" s="1107" t="s">
        <v>639</v>
      </c>
      <c r="N179" s="1107" t="s">
        <v>640</v>
      </c>
      <c r="O179" s="1108" t="s">
        <v>16</v>
      </c>
    </row>
    <row r="180" spans="1:15" ht="30" thickBot="1">
      <c r="A180" s="575" t="s">
        <v>26</v>
      </c>
      <c r="B180" s="3" t="s">
        <v>1862</v>
      </c>
      <c r="C180" s="4" t="s">
        <v>309</v>
      </c>
      <c r="D180" s="6" t="s">
        <v>162</v>
      </c>
      <c r="E180" s="6">
        <v>20</v>
      </c>
      <c r="F180" s="6" t="s">
        <v>20</v>
      </c>
      <c r="G180" s="9" t="s">
        <v>18</v>
      </c>
      <c r="H180" s="20">
        <v>838158</v>
      </c>
      <c r="I180" s="771" t="s">
        <v>768</v>
      </c>
      <c r="J180" s="1117" t="s">
        <v>65</v>
      </c>
      <c r="K180" s="1118">
        <v>39</v>
      </c>
      <c r="L180" s="1119"/>
      <c r="M180" s="34">
        <v>2878</v>
      </c>
      <c r="N180" s="34">
        <v>6465</v>
      </c>
      <c r="O180" s="32">
        <f>M180+N180</f>
        <v>9343</v>
      </c>
    </row>
    <row r="181" spans="1:15" ht="26.25" customHeight="1">
      <c r="A181" s="697" t="s">
        <v>22</v>
      </c>
      <c r="B181" s="80" t="s">
        <v>271</v>
      </c>
      <c r="C181" s="12"/>
      <c r="D181" s="1628" t="s">
        <v>1922</v>
      </c>
      <c r="E181" s="1630" t="s">
        <v>1862</v>
      </c>
      <c r="F181" s="1630"/>
      <c r="G181" s="1630"/>
      <c r="H181" s="1633"/>
      <c r="I181" s="175" t="s">
        <v>1724</v>
      </c>
      <c r="J181" s="1635" t="s">
        <v>271</v>
      </c>
      <c r="K181" s="1630"/>
      <c r="L181" s="12"/>
      <c r="N181" s="4" t="s">
        <v>23</v>
      </c>
      <c r="O181" s="556">
        <f>SUM(O180)</f>
        <v>9343</v>
      </c>
    </row>
    <row r="182" spans="1:15" ht="15">
      <c r="A182" s="553"/>
      <c r="B182" s="68" t="s">
        <v>272</v>
      </c>
      <c r="C182" s="15"/>
      <c r="D182" s="1632"/>
      <c r="E182" s="1632" t="s">
        <v>1638</v>
      </c>
      <c r="F182" s="1632"/>
      <c r="G182" s="1632"/>
      <c r="H182" s="1634"/>
      <c r="I182" s="1129"/>
      <c r="J182" s="1636" t="s">
        <v>272</v>
      </c>
      <c r="K182" s="1632"/>
      <c r="L182" s="15"/>
    </row>
    <row r="183" spans="1:15" ht="15">
      <c r="A183" s="553"/>
      <c r="B183" s="68" t="s">
        <v>25</v>
      </c>
      <c r="C183" s="15"/>
      <c r="D183" s="1632"/>
      <c r="E183" s="1632" t="s">
        <v>25</v>
      </c>
      <c r="F183" s="1632"/>
      <c r="G183" s="1632"/>
      <c r="H183" s="1634"/>
      <c r="I183" s="1129"/>
      <c r="J183" s="1636" t="s">
        <v>25</v>
      </c>
      <c r="K183" s="1632"/>
      <c r="L183" s="15"/>
    </row>
    <row r="184" spans="1:15" ht="15.75" thickBot="1">
      <c r="A184" s="553" t="s">
        <v>160</v>
      </c>
      <c r="B184" s="68" t="s">
        <v>1710</v>
      </c>
      <c r="C184" s="15"/>
      <c r="D184" s="17"/>
      <c r="E184" s="1533"/>
      <c r="F184" s="17"/>
      <c r="G184" s="17"/>
      <c r="H184" s="226"/>
      <c r="I184" s="13"/>
      <c r="J184" s="1637" t="s">
        <v>1927</v>
      </c>
      <c r="K184" s="14"/>
      <c r="L184" s="15"/>
    </row>
    <row r="185" spans="1:15" ht="15.75" thickBot="1">
      <c r="A185" s="433" t="s">
        <v>1061</v>
      </c>
      <c r="B185" s="97" t="s">
        <v>1161</v>
      </c>
      <c r="C185" s="18"/>
      <c r="D185" s="14"/>
      <c r="E185" s="14"/>
      <c r="F185" s="14"/>
      <c r="G185" s="14"/>
      <c r="H185" s="54"/>
      <c r="I185" s="13"/>
      <c r="J185" s="1637" t="s">
        <v>1928</v>
      </c>
      <c r="K185" s="14"/>
      <c r="L185" s="15"/>
    </row>
    <row r="186" spans="1:15" ht="15">
      <c r="A186" s="577"/>
      <c r="B186" s="68"/>
      <c r="C186" s="14"/>
      <c r="D186" s="14"/>
      <c r="E186" s="14"/>
      <c r="F186" s="14"/>
      <c r="G186" s="14"/>
      <c r="H186" s="54"/>
      <c r="I186" s="13"/>
      <c r="J186" s="1637" t="s">
        <v>42</v>
      </c>
      <c r="K186" s="14"/>
      <c r="L186" s="15"/>
    </row>
    <row r="187" spans="1:15" ht="15">
      <c r="A187" s="577"/>
      <c r="B187" s="68"/>
      <c r="C187" s="14"/>
      <c r="D187" s="14"/>
      <c r="E187" s="14"/>
      <c r="F187" s="14"/>
      <c r="G187" s="14"/>
      <c r="H187" s="54"/>
      <c r="I187" s="13"/>
      <c r="J187" s="1638" t="s">
        <v>272</v>
      </c>
      <c r="K187" s="14"/>
      <c r="L187" s="15"/>
    </row>
    <row r="188" spans="1:15" ht="15.75" thickBot="1">
      <c r="A188" s="577"/>
      <c r="B188" s="68"/>
      <c r="C188" s="14"/>
      <c r="D188" s="14"/>
      <c r="E188" s="14"/>
      <c r="F188" s="14"/>
      <c r="G188" s="14"/>
      <c r="H188" s="54"/>
      <c r="I188" s="71"/>
      <c r="J188" s="1639" t="s">
        <v>25</v>
      </c>
      <c r="K188" s="17"/>
      <c r="L188" s="18"/>
    </row>
    <row r="189" spans="1:15" ht="15">
      <c r="B189" s="577"/>
      <c r="C189" s="54"/>
      <c r="D189" s="14"/>
      <c r="E189" s="14"/>
    </row>
    <row r="190" spans="1:15" ht="15.75" thickBot="1">
      <c r="B190" s="577"/>
      <c r="C190" s="54"/>
      <c r="D190" s="14"/>
      <c r="E190" s="14"/>
    </row>
    <row r="191" spans="1:15" ht="40.5" customHeight="1">
      <c r="A191" s="1670" t="s">
        <v>6</v>
      </c>
      <c r="B191" s="1673" t="s">
        <v>633</v>
      </c>
      <c r="C191" s="1676" t="s">
        <v>8</v>
      </c>
      <c r="D191" s="1676" t="s">
        <v>9</v>
      </c>
      <c r="E191" s="1656" t="s">
        <v>634</v>
      </c>
      <c r="F191" s="1656" t="s">
        <v>11</v>
      </c>
      <c r="G191" s="1676" t="s">
        <v>12</v>
      </c>
      <c r="H191" s="1656" t="s">
        <v>269</v>
      </c>
      <c r="I191" s="1656" t="s">
        <v>13</v>
      </c>
      <c r="J191" s="1656" t="s">
        <v>59</v>
      </c>
      <c r="K191" s="1665" t="s">
        <v>635</v>
      </c>
      <c r="L191" s="1744" t="s">
        <v>1877</v>
      </c>
      <c r="M191" s="1745"/>
      <c r="N191" s="1745"/>
      <c r="O191" s="1746"/>
    </row>
    <row r="192" spans="1:15" ht="29.25" customHeight="1">
      <c r="A192" s="1671"/>
      <c r="B192" s="1674"/>
      <c r="C192" s="1677"/>
      <c r="D192" s="1677"/>
      <c r="E192" s="1657"/>
      <c r="F192" s="1657"/>
      <c r="G192" s="1677"/>
      <c r="H192" s="1657"/>
      <c r="I192" s="1657"/>
      <c r="J192" s="1657"/>
      <c r="K192" s="1666"/>
      <c r="L192" s="1679" t="s">
        <v>637</v>
      </c>
      <c r="M192" s="1654"/>
      <c r="N192" s="1654"/>
      <c r="O192" s="1680"/>
    </row>
    <row r="193" spans="1:19" ht="29.25" customHeight="1" thickBot="1">
      <c r="A193" s="1672"/>
      <c r="B193" s="1675"/>
      <c r="C193" s="1678"/>
      <c r="D193" s="1678"/>
      <c r="E193" s="1658"/>
      <c r="F193" s="1658"/>
      <c r="G193" s="1678"/>
      <c r="H193" s="1658"/>
      <c r="I193" s="1658"/>
      <c r="J193" s="1658"/>
      <c r="K193" s="1667"/>
      <c r="L193" s="571" t="s">
        <v>638</v>
      </c>
      <c r="M193" s="772" t="s">
        <v>639</v>
      </c>
      <c r="N193" s="772" t="s">
        <v>640</v>
      </c>
      <c r="O193" s="773" t="s">
        <v>16</v>
      </c>
    </row>
    <row r="194" spans="1:19" ht="44.25" thickBot="1">
      <c r="A194" s="1149" t="s">
        <v>26</v>
      </c>
      <c r="B194" s="776" t="s">
        <v>795</v>
      </c>
      <c r="C194" s="776" t="s">
        <v>310</v>
      </c>
      <c r="D194" s="1092" t="s">
        <v>112</v>
      </c>
      <c r="E194" s="1068">
        <v>21</v>
      </c>
      <c r="F194" s="1068" t="s">
        <v>20</v>
      </c>
      <c r="G194" s="1092" t="s">
        <v>18</v>
      </c>
      <c r="H194" s="1116">
        <v>4138868</v>
      </c>
      <c r="I194" s="1104" t="s">
        <v>796</v>
      </c>
      <c r="J194" s="1117" t="s">
        <v>65</v>
      </c>
      <c r="K194" s="1118">
        <v>20</v>
      </c>
      <c r="L194" s="1119"/>
      <c r="M194" s="831">
        <f>(8841/12)*10</f>
        <v>7367.5</v>
      </c>
      <c r="N194" s="831">
        <f>(18062/12)*10</f>
        <v>15051.666666666668</v>
      </c>
      <c r="O194" s="775">
        <f>M194+N194</f>
        <v>22419.166666666668</v>
      </c>
    </row>
    <row r="195" spans="1:19" ht="36" customHeight="1">
      <c r="B195" s="1130" t="s">
        <v>22</v>
      </c>
      <c r="C195" s="87" t="s">
        <v>271</v>
      </c>
      <c r="D195" s="648"/>
      <c r="H195" s="1622" t="s">
        <v>1920</v>
      </c>
      <c r="I195" s="80" t="s">
        <v>1639</v>
      </c>
      <c r="J195" s="11"/>
      <c r="K195" s="11"/>
      <c r="L195" s="12"/>
      <c r="N195" s="4" t="s">
        <v>23</v>
      </c>
      <c r="O195" s="556">
        <f>SUM(O194)</f>
        <v>22419.166666666668</v>
      </c>
    </row>
    <row r="196" spans="1:19" ht="15">
      <c r="B196" s="1141"/>
      <c r="C196" s="73" t="s">
        <v>272</v>
      </c>
      <c r="D196" s="176"/>
      <c r="H196" s="13"/>
      <c r="I196" s="14" t="s">
        <v>1640</v>
      </c>
      <c r="J196" s="14"/>
      <c r="K196" s="14"/>
      <c r="L196" s="15"/>
    </row>
    <row r="197" spans="1:19" ht="15">
      <c r="B197" s="1141"/>
      <c r="C197" s="73" t="s">
        <v>25</v>
      </c>
      <c r="D197" s="176"/>
      <c r="H197" s="13"/>
      <c r="I197" s="68" t="s">
        <v>1291</v>
      </c>
      <c r="J197" s="14"/>
      <c r="K197" s="14"/>
      <c r="L197" s="15"/>
    </row>
    <row r="198" spans="1:19" ht="15">
      <c r="B198" s="1141" t="s">
        <v>160</v>
      </c>
      <c r="C198" s="73" t="s">
        <v>1710</v>
      </c>
      <c r="D198" s="176"/>
      <c r="H198" s="13"/>
      <c r="I198" s="68" t="s">
        <v>310</v>
      </c>
      <c r="J198" s="14"/>
      <c r="K198" s="14"/>
      <c r="L198" s="15"/>
    </row>
    <row r="199" spans="1:19" ht="15.75" thickBot="1">
      <c r="B199" s="1134" t="s">
        <v>1061</v>
      </c>
      <c r="C199" s="72" t="s">
        <v>1161</v>
      </c>
      <c r="D199" s="177"/>
      <c r="H199" s="71"/>
      <c r="I199" s="97" t="s">
        <v>25</v>
      </c>
      <c r="J199" s="226"/>
      <c r="K199" s="226"/>
      <c r="L199" s="18"/>
    </row>
    <row r="200" spans="1:19" ht="15.75" thickBot="1">
      <c r="B200" s="14"/>
      <c r="C200" s="68"/>
      <c r="D200" s="14"/>
      <c r="E200" s="14"/>
    </row>
    <row r="201" spans="1:19" ht="43.5" customHeight="1">
      <c r="A201" s="1670" t="s">
        <v>6</v>
      </c>
      <c r="B201" s="1673" t="s">
        <v>633</v>
      </c>
      <c r="C201" s="1676" t="s">
        <v>8</v>
      </c>
      <c r="D201" s="1676" t="s">
        <v>9</v>
      </c>
      <c r="E201" s="1656" t="s">
        <v>634</v>
      </c>
      <c r="F201" s="1656" t="s">
        <v>11</v>
      </c>
      <c r="G201" s="1676" t="s">
        <v>12</v>
      </c>
      <c r="H201" s="1656" t="s">
        <v>269</v>
      </c>
      <c r="I201" s="1656" t="s">
        <v>13</v>
      </c>
      <c r="J201" s="1656" t="s">
        <v>59</v>
      </c>
      <c r="K201" s="1665" t="s">
        <v>635</v>
      </c>
      <c r="L201" s="1725" t="s">
        <v>636</v>
      </c>
      <c r="M201" s="1719"/>
      <c r="N201" s="1719"/>
      <c r="O201" s="1726"/>
    </row>
    <row r="202" spans="1:19" ht="37.5" customHeight="1">
      <c r="A202" s="1671"/>
      <c r="B202" s="1674"/>
      <c r="C202" s="1677"/>
      <c r="D202" s="1677"/>
      <c r="E202" s="1657"/>
      <c r="F202" s="1657"/>
      <c r="G202" s="1677"/>
      <c r="H202" s="1657"/>
      <c r="I202" s="1657"/>
      <c r="J202" s="1657"/>
      <c r="K202" s="1666"/>
      <c r="L202" s="1679" t="s">
        <v>637</v>
      </c>
      <c r="M202" s="1654"/>
      <c r="N202" s="1654"/>
      <c r="O202" s="1680"/>
    </row>
    <row r="203" spans="1:19" ht="29.25" customHeight="1" thickBot="1">
      <c r="A203" s="1672"/>
      <c r="B203" s="1675"/>
      <c r="C203" s="1678"/>
      <c r="D203" s="1678"/>
      <c r="E203" s="1658"/>
      <c r="F203" s="1658"/>
      <c r="G203" s="1678"/>
      <c r="H203" s="1658"/>
      <c r="I203" s="1658"/>
      <c r="J203" s="1658"/>
      <c r="K203" s="1667"/>
      <c r="L203" s="571" t="s">
        <v>638</v>
      </c>
      <c r="M203" s="1291" t="s">
        <v>639</v>
      </c>
      <c r="N203" s="1291" t="s">
        <v>640</v>
      </c>
      <c r="O203" s="1292" t="s">
        <v>16</v>
      </c>
    </row>
    <row r="204" spans="1:19" ht="30" thickBot="1">
      <c r="A204" s="601" t="s">
        <v>26</v>
      </c>
      <c r="B204" s="550"/>
      <c r="C204" s="668" t="s">
        <v>310</v>
      </c>
      <c r="D204" s="550" t="s">
        <v>1162</v>
      </c>
      <c r="E204" s="669" t="s">
        <v>1163</v>
      </c>
      <c r="F204" s="669" t="s">
        <v>20</v>
      </c>
      <c r="G204" s="454" t="s">
        <v>18</v>
      </c>
      <c r="H204" s="669">
        <v>9878235</v>
      </c>
      <c r="I204" s="1521" t="s">
        <v>1311</v>
      </c>
      <c r="J204" s="534" t="s">
        <v>28</v>
      </c>
      <c r="K204" s="267">
        <v>5</v>
      </c>
      <c r="L204" s="268">
        <f>16800-11814</f>
        <v>4986</v>
      </c>
      <c r="M204" s="269"/>
      <c r="N204" s="269"/>
      <c r="O204" s="268">
        <f>L204</f>
        <v>4986</v>
      </c>
    </row>
    <row r="205" spans="1:19" ht="37.5" customHeight="1">
      <c r="B205" s="697" t="s">
        <v>22</v>
      </c>
      <c r="C205" s="80" t="s">
        <v>271</v>
      </c>
      <c r="D205" s="12"/>
      <c r="E205" s="14"/>
      <c r="H205" s="1622" t="s">
        <v>1920</v>
      </c>
      <c r="I205" s="87" t="s">
        <v>271</v>
      </c>
      <c r="J205" s="1127"/>
      <c r="K205" s="1128"/>
      <c r="L205" s="31"/>
      <c r="M205" s="31"/>
      <c r="N205" s="4" t="s">
        <v>23</v>
      </c>
      <c r="O205" s="556">
        <f>SUM(O204)</f>
        <v>4986</v>
      </c>
      <c r="P205" s="31"/>
      <c r="Q205" s="31"/>
      <c r="R205" s="31"/>
    </row>
    <row r="206" spans="1:19" ht="15">
      <c r="B206" s="553"/>
      <c r="C206" s="68" t="s">
        <v>272</v>
      </c>
      <c r="D206" s="15"/>
      <c r="E206" s="14"/>
      <c r="H206" s="1129"/>
      <c r="I206" s="73" t="s">
        <v>272</v>
      </c>
      <c r="J206" s="58"/>
      <c r="K206" s="1062"/>
      <c r="L206" s="31"/>
      <c r="M206" s="31"/>
      <c r="N206" s="31"/>
      <c r="O206" s="31"/>
      <c r="P206" s="31"/>
      <c r="Q206" s="31"/>
      <c r="R206" s="31"/>
      <c r="S206" s="31"/>
    </row>
    <row r="207" spans="1:19" ht="15.75" thickBot="1">
      <c r="B207" s="553"/>
      <c r="C207" s="68" t="s">
        <v>25</v>
      </c>
      <c r="D207" s="15"/>
      <c r="E207" s="14"/>
      <c r="H207" s="1138"/>
      <c r="I207" s="72" t="s">
        <v>25</v>
      </c>
      <c r="J207" s="1347"/>
      <c r="K207" s="685"/>
    </row>
    <row r="208" spans="1:19" ht="15">
      <c r="B208" s="553" t="s">
        <v>160</v>
      </c>
      <c r="C208" s="68" t="s">
        <v>1710</v>
      </c>
      <c r="D208" s="15"/>
      <c r="E208" s="14"/>
      <c r="M208" s="31"/>
    </row>
    <row r="209" spans="1:21" ht="15.75" thickBot="1">
      <c r="B209" s="433" t="s">
        <v>1061</v>
      </c>
      <c r="C209" s="97" t="s">
        <v>1161</v>
      </c>
      <c r="D209" s="18"/>
      <c r="E209" s="14"/>
      <c r="M209" s="31"/>
    </row>
    <row r="210" spans="1:21" ht="15.75" thickBot="1">
      <c r="B210" s="14"/>
      <c r="C210" s="73"/>
      <c r="D210" s="14"/>
      <c r="E210" s="14"/>
      <c r="M210" s="31"/>
    </row>
    <row r="211" spans="1:21" ht="50.25" customHeight="1">
      <c r="A211" s="1662" t="s">
        <v>6</v>
      </c>
      <c r="B211" s="1656" t="s">
        <v>7</v>
      </c>
      <c r="C211" s="1656" t="s">
        <v>8</v>
      </c>
      <c r="D211" s="1656" t="s">
        <v>9</v>
      </c>
      <c r="E211" s="1656" t="s">
        <v>10</v>
      </c>
      <c r="F211" s="1656" t="s">
        <v>11</v>
      </c>
      <c r="G211" s="1656" t="s">
        <v>12</v>
      </c>
      <c r="H211" s="1656" t="s">
        <v>14</v>
      </c>
      <c r="I211" s="1656" t="s">
        <v>269</v>
      </c>
      <c r="J211" s="1656" t="s">
        <v>59</v>
      </c>
      <c r="K211" s="1659" t="s">
        <v>15</v>
      </c>
      <c r="L211" s="1650" t="s">
        <v>641</v>
      </c>
      <c r="M211" s="1650"/>
      <c r="N211" s="1650"/>
      <c r="O211" s="1650"/>
      <c r="P211" s="1650" t="s">
        <v>642</v>
      </c>
      <c r="Q211" s="1650"/>
      <c r="R211" s="1650"/>
      <c r="S211" s="1650"/>
      <c r="T211" s="1695" t="s">
        <v>1175</v>
      </c>
      <c r="U211" s="1651" t="s">
        <v>1127</v>
      </c>
    </row>
    <row r="212" spans="1:21" ht="19.5" customHeight="1">
      <c r="A212" s="1663"/>
      <c r="B212" s="1657"/>
      <c r="C212" s="1657"/>
      <c r="D212" s="1657"/>
      <c r="E212" s="1657"/>
      <c r="F212" s="1657"/>
      <c r="G212" s="1657"/>
      <c r="H212" s="1657"/>
      <c r="I212" s="1657"/>
      <c r="J212" s="1657"/>
      <c r="K212" s="1660"/>
      <c r="L212" s="1654" t="s">
        <v>638</v>
      </c>
      <c r="M212" s="1654" t="s">
        <v>639</v>
      </c>
      <c r="N212" s="1654" t="s">
        <v>640</v>
      </c>
      <c r="O212" s="1654" t="s">
        <v>643</v>
      </c>
      <c r="P212" s="1654" t="s">
        <v>638</v>
      </c>
      <c r="Q212" s="1654" t="s">
        <v>639</v>
      </c>
      <c r="R212" s="1654" t="s">
        <v>640</v>
      </c>
      <c r="S212" s="1654" t="s">
        <v>643</v>
      </c>
      <c r="T212" s="1696"/>
      <c r="U212" s="1652"/>
    </row>
    <row r="213" spans="1:21" ht="30" customHeight="1" thickBot="1">
      <c r="A213" s="1664"/>
      <c r="B213" s="1658"/>
      <c r="C213" s="1740"/>
      <c r="D213" s="1740"/>
      <c r="E213" s="1658"/>
      <c r="F213" s="1658"/>
      <c r="G213" s="1658"/>
      <c r="H213" s="1658"/>
      <c r="I213" s="1658"/>
      <c r="J213" s="1658"/>
      <c r="K213" s="1661"/>
      <c r="L213" s="1655"/>
      <c r="M213" s="1655"/>
      <c r="N213" s="1655"/>
      <c r="O213" s="1655"/>
      <c r="P213" s="1655"/>
      <c r="Q213" s="1655"/>
      <c r="R213" s="1655"/>
      <c r="S213" s="1655"/>
      <c r="T213" s="1697"/>
      <c r="U213" s="1653"/>
    </row>
    <row r="214" spans="1:21" s="25" customFormat="1" ht="49.5" customHeight="1">
      <c r="A214" s="601" t="s">
        <v>17</v>
      </c>
      <c r="B214" s="550" t="s">
        <v>138</v>
      </c>
      <c r="C214" s="606" t="s">
        <v>1294</v>
      </c>
      <c r="D214" s="46" t="s">
        <v>1848</v>
      </c>
      <c r="E214" s="669" t="s">
        <v>1849</v>
      </c>
      <c r="F214" s="669" t="s">
        <v>20</v>
      </c>
      <c r="G214" s="454" t="s">
        <v>18</v>
      </c>
      <c r="H214" s="1530">
        <v>51262281</v>
      </c>
      <c r="I214" s="1116">
        <v>91260675</v>
      </c>
      <c r="J214" s="534" t="s">
        <v>65</v>
      </c>
      <c r="K214" s="267">
        <v>5</v>
      </c>
      <c r="L214" s="1119"/>
      <c r="M214" s="1525">
        <v>400</v>
      </c>
      <c r="N214" s="1525">
        <v>800</v>
      </c>
      <c r="O214" s="1526">
        <f t="shared" ref="O214:O219" si="2">M214+N214</f>
        <v>1200</v>
      </c>
      <c r="P214" s="1527"/>
      <c r="Q214" s="1528">
        <f t="shared" ref="Q214:R219" si="3">M214</f>
        <v>400</v>
      </c>
      <c r="R214" s="1528">
        <f t="shared" si="3"/>
        <v>800</v>
      </c>
      <c r="S214" s="1528">
        <f t="shared" ref="S214:S219" si="4">Q214+R214</f>
        <v>1200</v>
      </c>
      <c r="T214" s="266" t="s">
        <v>1456</v>
      </c>
      <c r="U214" s="182" t="s">
        <v>1752</v>
      </c>
    </row>
    <row r="215" spans="1:21" s="25" customFormat="1" ht="49.5" customHeight="1">
      <c r="A215" s="601" t="s">
        <v>17</v>
      </c>
      <c r="B215" s="46" t="s">
        <v>138</v>
      </c>
      <c r="C215" s="606" t="s">
        <v>1294</v>
      </c>
      <c r="D215" s="46" t="s">
        <v>1850</v>
      </c>
      <c r="E215" s="669" t="s">
        <v>1475</v>
      </c>
      <c r="F215" s="669" t="s">
        <v>20</v>
      </c>
      <c r="G215" s="454" t="s">
        <v>18</v>
      </c>
      <c r="H215" s="1530">
        <v>51277005</v>
      </c>
      <c r="I215" s="22">
        <v>91419326</v>
      </c>
      <c r="J215" s="534" t="s">
        <v>65</v>
      </c>
      <c r="K215" s="267">
        <v>3</v>
      </c>
      <c r="L215" s="33"/>
      <c r="M215" s="34">
        <v>1000</v>
      </c>
      <c r="N215" s="34">
        <v>3000</v>
      </c>
      <c r="O215" s="32">
        <f t="shared" si="2"/>
        <v>4000</v>
      </c>
      <c r="P215" s="400"/>
      <c r="Q215" s="902">
        <f t="shared" si="3"/>
        <v>1000</v>
      </c>
      <c r="R215" s="902">
        <f t="shared" si="3"/>
        <v>3000</v>
      </c>
      <c r="S215" s="902">
        <f t="shared" si="4"/>
        <v>4000</v>
      </c>
      <c r="T215" s="266" t="s">
        <v>1456</v>
      </c>
      <c r="U215" s="182" t="s">
        <v>1752</v>
      </c>
    </row>
    <row r="216" spans="1:21" s="25" customFormat="1" ht="49.5" customHeight="1">
      <c r="A216" s="601" t="s">
        <v>17</v>
      </c>
      <c r="B216" s="46" t="s">
        <v>1851</v>
      </c>
      <c r="C216" s="606" t="s">
        <v>1852</v>
      </c>
      <c r="D216" s="46" t="s">
        <v>1201</v>
      </c>
      <c r="E216" s="669" t="s">
        <v>1853</v>
      </c>
      <c r="F216" s="669" t="s">
        <v>20</v>
      </c>
      <c r="G216" s="454" t="s">
        <v>18</v>
      </c>
      <c r="H216" s="1530">
        <v>59000329</v>
      </c>
      <c r="I216" s="22">
        <v>91262780</v>
      </c>
      <c r="J216" s="534" t="s">
        <v>65</v>
      </c>
      <c r="K216" s="267">
        <v>15</v>
      </c>
      <c r="L216" s="33"/>
      <c r="M216" s="34">
        <v>400</v>
      </c>
      <c r="N216" s="34">
        <v>800</v>
      </c>
      <c r="O216" s="32">
        <f t="shared" si="2"/>
        <v>1200</v>
      </c>
      <c r="P216" s="400"/>
      <c r="Q216" s="902">
        <f t="shared" si="3"/>
        <v>400</v>
      </c>
      <c r="R216" s="902">
        <f t="shared" si="3"/>
        <v>800</v>
      </c>
      <c r="S216" s="902">
        <f t="shared" si="4"/>
        <v>1200</v>
      </c>
      <c r="T216" s="266" t="s">
        <v>1456</v>
      </c>
      <c r="U216" s="182" t="s">
        <v>1752</v>
      </c>
    </row>
    <row r="217" spans="1:21" s="25" customFormat="1" ht="49.5" customHeight="1">
      <c r="A217" s="601" t="s">
        <v>17</v>
      </c>
      <c r="B217" s="46" t="s">
        <v>1854</v>
      </c>
      <c r="C217" s="606" t="s">
        <v>1294</v>
      </c>
      <c r="D217" s="46"/>
      <c r="E217" s="669" t="s">
        <v>1855</v>
      </c>
      <c r="F217" s="669" t="s">
        <v>20</v>
      </c>
      <c r="G217" s="454" t="s">
        <v>18</v>
      </c>
      <c r="H217" s="1530">
        <v>53830013</v>
      </c>
      <c r="I217" s="22">
        <v>91419323</v>
      </c>
      <c r="J217" s="534" t="s">
        <v>65</v>
      </c>
      <c r="K217" s="267">
        <v>6</v>
      </c>
      <c r="L217" s="33"/>
      <c r="M217" s="34">
        <v>1000</v>
      </c>
      <c r="N217" s="34">
        <v>2000</v>
      </c>
      <c r="O217" s="32">
        <f t="shared" si="2"/>
        <v>3000</v>
      </c>
      <c r="P217" s="400"/>
      <c r="Q217" s="902">
        <f t="shared" si="3"/>
        <v>1000</v>
      </c>
      <c r="R217" s="902">
        <f t="shared" si="3"/>
        <v>2000</v>
      </c>
      <c r="S217" s="902">
        <f t="shared" si="4"/>
        <v>3000</v>
      </c>
      <c r="T217" s="266" t="s">
        <v>1456</v>
      </c>
      <c r="U217" s="182" t="s">
        <v>1752</v>
      </c>
    </row>
    <row r="218" spans="1:21" s="25" customFormat="1" ht="49.5" customHeight="1">
      <c r="A218" s="601" t="s">
        <v>17</v>
      </c>
      <c r="B218" s="46"/>
      <c r="C218" s="606" t="s">
        <v>1852</v>
      </c>
      <c r="D218" s="46" t="s">
        <v>1856</v>
      </c>
      <c r="E218" s="669" t="s">
        <v>1857</v>
      </c>
      <c r="F218" s="669" t="s">
        <v>20</v>
      </c>
      <c r="G218" s="454" t="s">
        <v>18</v>
      </c>
      <c r="H218" s="1530">
        <v>53830011</v>
      </c>
      <c r="I218" s="22">
        <v>91260722</v>
      </c>
      <c r="J218" s="534" t="s">
        <v>65</v>
      </c>
      <c r="K218" s="267">
        <v>15</v>
      </c>
      <c r="L218" s="33"/>
      <c r="M218" s="34">
        <v>400</v>
      </c>
      <c r="N218" s="34">
        <v>800</v>
      </c>
      <c r="O218" s="32">
        <f t="shared" si="2"/>
        <v>1200</v>
      </c>
      <c r="P218" s="400"/>
      <c r="Q218" s="902">
        <f t="shared" si="3"/>
        <v>400</v>
      </c>
      <c r="R218" s="902">
        <f t="shared" si="3"/>
        <v>800</v>
      </c>
      <c r="S218" s="902">
        <f t="shared" si="4"/>
        <v>1200</v>
      </c>
      <c r="T218" s="266" t="s">
        <v>1456</v>
      </c>
      <c r="U218" s="182" t="s">
        <v>1752</v>
      </c>
    </row>
    <row r="219" spans="1:21" s="25" customFormat="1" ht="49.5" customHeight="1" thickBot="1">
      <c r="A219" s="601" t="s">
        <v>17</v>
      </c>
      <c r="B219" s="551" t="s">
        <v>1858</v>
      </c>
      <c r="C219" s="668" t="s">
        <v>306</v>
      </c>
      <c r="D219" s="550" t="s">
        <v>480</v>
      </c>
      <c r="E219" s="669" t="s">
        <v>1859</v>
      </c>
      <c r="F219" s="669" t="s">
        <v>20</v>
      </c>
      <c r="G219" s="454" t="s">
        <v>18</v>
      </c>
      <c r="H219" s="1531">
        <v>53819085</v>
      </c>
      <c r="I219" s="103">
        <v>91262805</v>
      </c>
      <c r="J219" s="1090" t="s">
        <v>65</v>
      </c>
      <c r="K219" s="1529">
        <v>15</v>
      </c>
      <c r="L219" s="37"/>
      <c r="M219" s="34">
        <v>400</v>
      </c>
      <c r="N219" s="34">
        <v>800</v>
      </c>
      <c r="O219" s="32">
        <f t="shared" si="2"/>
        <v>1200</v>
      </c>
      <c r="P219" s="400"/>
      <c r="Q219" s="902">
        <f t="shared" si="3"/>
        <v>400</v>
      </c>
      <c r="R219" s="902">
        <f t="shared" si="3"/>
        <v>800</v>
      </c>
      <c r="S219" s="902">
        <f t="shared" si="4"/>
        <v>1200</v>
      </c>
      <c r="T219" s="266" t="s">
        <v>1456</v>
      </c>
      <c r="U219" s="182" t="s">
        <v>1752</v>
      </c>
    </row>
    <row r="220" spans="1:21" s="25" customFormat="1" ht="39.75" customHeight="1">
      <c r="A220" s="1"/>
      <c r="B220" s="10" t="s">
        <v>22</v>
      </c>
      <c r="C220" s="80" t="s">
        <v>271</v>
      </c>
      <c r="D220" s="12"/>
      <c r="E220" s="19"/>
      <c r="F220" s="14"/>
      <c r="G220" s="1"/>
      <c r="H220" s="1622" t="s">
        <v>1920</v>
      </c>
      <c r="I220" s="87" t="s">
        <v>1847</v>
      </c>
      <c r="J220" s="121"/>
      <c r="K220" s="121"/>
      <c r="L220" s="887"/>
      <c r="M220" s="448"/>
      <c r="N220" s="448"/>
      <c r="O220" s="448"/>
      <c r="P220" s="448"/>
      <c r="Q220" s="448"/>
      <c r="R220" s="182" t="s">
        <v>23</v>
      </c>
      <c r="S220" s="567">
        <f>SUM(S214:S219)</f>
        <v>11800</v>
      </c>
      <c r="T220" s="444"/>
      <c r="U220" s="444"/>
    </row>
    <row r="221" spans="1:21" s="25" customFormat="1" ht="18" customHeight="1">
      <c r="A221" s="1"/>
      <c r="B221" s="13"/>
      <c r="C221" s="68" t="s">
        <v>272</v>
      </c>
      <c r="D221" s="15"/>
      <c r="E221" s="19"/>
      <c r="F221" s="14"/>
      <c r="G221" s="1"/>
      <c r="H221" s="16"/>
      <c r="I221" s="73" t="s">
        <v>1648</v>
      </c>
      <c r="J221" s="43"/>
      <c r="K221" s="43"/>
      <c r="L221" s="27"/>
      <c r="M221" s="448"/>
      <c r="N221" s="448"/>
      <c r="O221" s="448"/>
      <c r="P221" s="448"/>
      <c r="Q221" s="448"/>
      <c r="R221" s="448"/>
      <c r="S221" s="448"/>
      <c r="T221" s="444"/>
      <c r="U221" s="444"/>
    </row>
    <row r="222" spans="1:21" s="25" customFormat="1" ht="18" customHeight="1" thickBot="1">
      <c r="A222" s="1"/>
      <c r="B222" s="13"/>
      <c r="C222" s="68" t="s">
        <v>25</v>
      </c>
      <c r="D222" s="15"/>
      <c r="E222" s="14"/>
      <c r="F222" s="14"/>
      <c r="G222" s="1"/>
      <c r="H222" s="1124"/>
      <c r="I222" s="72" t="s">
        <v>25</v>
      </c>
      <c r="J222" s="113"/>
      <c r="K222" s="113"/>
      <c r="L222" s="889"/>
      <c r="M222" s="448"/>
      <c r="N222" s="448"/>
      <c r="O222" s="448"/>
      <c r="P222" s="448"/>
      <c r="Q222" s="448"/>
      <c r="R222" s="448"/>
      <c r="S222" s="448"/>
      <c r="T222" s="444"/>
      <c r="U222" s="444"/>
    </row>
    <row r="223" spans="1:21" s="25" customFormat="1" ht="18" customHeight="1" thickBot="1">
      <c r="A223" s="1"/>
      <c r="B223" s="71"/>
      <c r="C223" s="97" t="s">
        <v>273</v>
      </c>
      <c r="D223" s="18"/>
      <c r="E223" s="14"/>
      <c r="F223" s="14"/>
      <c r="G223" s="1"/>
      <c r="H223" s="1"/>
      <c r="I223" s="1"/>
      <c r="J223" s="1"/>
      <c r="K223" s="7"/>
      <c r="L223" s="1"/>
      <c r="M223" s="448"/>
      <c r="N223" s="448"/>
      <c r="O223" s="448"/>
      <c r="P223" s="448"/>
      <c r="Q223" s="448"/>
      <c r="R223" s="448"/>
      <c r="S223" s="448"/>
      <c r="T223" s="444"/>
      <c r="U223" s="444"/>
    </row>
    <row r="224" spans="1:21" s="25" customFormat="1" ht="18" customHeight="1">
      <c r="A224" s="1"/>
      <c r="B224" s="14"/>
      <c r="C224" s="68"/>
      <c r="D224" s="14"/>
      <c r="E224" s="14"/>
      <c r="F224" s="14"/>
      <c r="G224" s="1"/>
      <c r="H224" s="1"/>
      <c r="I224" s="1"/>
      <c r="J224" s="1"/>
      <c r="K224" s="7"/>
      <c r="L224" s="1"/>
      <c r="M224" s="448"/>
      <c r="N224" s="448"/>
      <c r="O224" s="448"/>
      <c r="P224" s="448"/>
      <c r="Q224" s="448"/>
      <c r="R224" s="448"/>
      <c r="S224" s="448"/>
      <c r="T224" s="444"/>
      <c r="U224" s="444"/>
    </row>
    <row r="225" spans="1:21" s="25" customFormat="1" ht="18" customHeight="1" thickBot="1">
      <c r="A225" s="1"/>
      <c r="B225" s="14"/>
      <c r="C225" s="68"/>
      <c r="D225" s="14"/>
      <c r="E225" s="14"/>
      <c r="F225" s="14"/>
      <c r="G225" s="1"/>
      <c r="H225" s="1"/>
      <c r="I225" s="1"/>
      <c r="J225" s="1"/>
      <c r="K225" s="7"/>
      <c r="L225" s="1"/>
      <c r="M225" s="448"/>
      <c r="N225" s="448"/>
      <c r="O225" s="448"/>
      <c r="P225" s="448"/>
      <c r="Q225" s="448"/>
      <c r="R225" s="448"/>
      <c r="S225" s="448"/>
      <c r="T225" s="444"/>
      <c r="U225" s="444"/>
    </row>
    <row r="226" spans="1:21" s="25" customFormat="1" ht="48.75" customHeight="1">
      <c r="A226" s="1662" t="s">
        <v>6</v>
      </c>
      <c r="B226" s="1656" t="s">
        <v>7</v>
      </c>
      <c r="C226" s="1656" t="s">
        <v>8</v>
      </c>
      <c r="D226" s="1656" t="s">
        <v>9</v>
      </c>
      <c r="E226" s="1656" t="s">
        <v>10</v>
      </c>
      <c r="F226" s="1656" t="s">
        <v>11</v>
      </c>
      <c r="G226" s="1656" t="s">
        <v>12</v>
      </c>
      <c r="H226" s="1656" t="s">
        <v>14</v>
      </c>
      <c r="I226" s="1656" t="s">
        <v>269</v>
      </c>
      <c r="J226" s="1656" t="s">
        <v>59</v>
      </c>
      <c r="K226" s="1659" t="s">
        <v>15</v>
      </c>
      <c r="L226" s="1650" t="s">
        <v>641</v>
      </c>
      <c r="M226" s="1650"/>
      <c r="N226" s="1650"/>
      <c r="O226" s="1650"/>
      <c r="P226" s="1650" t="s">
        <v>642</v>
      </c>
      <c r="Q226" s="1650"/>
      <c r="R226" s="1650"/>
      <c r="S226" s="1650"/>
      <c r="T226" s="1695" t="s">
        <v>1175</v>
      </c>
      <c r="U226" s="1651" t="s">
        <v>1127</v>
      </c>
    </row>
    <row r="227" spans="1:21" s="25" customFormat="1" ht="48.75" customHeight="1">
      <c r="A227" s="1663"/>
      <c r="B227" s="1657"/>
      <c r="C227" s="1657"/>
      <c r="D227" s="1657"/>
      <c r="E227" s="1657"/>
      <c r="F227" s="1657"/>
      <c r="G227" s="1657"/>
      <c r="H227" s="1657"/>
      <c r="I227" s="1657"/>
      <c r="J227" s="1657"/>
      <c r="K227" s="1660"/>
      <c r="L227" s="1654" t="s">
        <v>638</v>
      </c>
      <c r="M227" s="1654" t="s">
        <v>639</v>
      </c>
      <c r="N227" s="1654" t="s">
        <v>640</v>
      </c>
      <c r="O227" s="1654" t="s">
        <v>643</v>
      </c>
      <c r="P227" s="1654" t="s">
        <v>638</v>
      </c>
      <c r="Q227" s="1654" t="s">
        <v>639</v>
      </c>
      <c r="R227" s="1654" t="s">
        <v>640</v>
      </c>
      <c r="S227" s="1654" t="s">
        <v>643</v>
      </c>
      <c r="T227" s="1696"/>
      <c r="U227" s="1652"/>
    </row>
    <row r="228" spans="1:21" s="25" customFormat="1" ht="18" customHeight="1" thickBot="1">
      <c r="A228" s="1664"/>
      <c r="B228" s="1658"/>
      <c r="C228" s="1658"/>
      <c r="D228" s="1658"/>
      <c r="E228" s="1658"/>
      <c r="F228" s="1658"/>
      <c r="G228" s="1658"/>
      <c r="H228" s="1658"/>
      <c r="I228" s="1658"/>
      <c r="J228" s="1658"/>
      <c r="K228" s="1661"/>
      <c r="L228" s="1655"/>
      <c r="M228" s="1655"/>
      <c r="N228" s="1655"/>
      <c r="O228" s="1655"/>
      <c r="P228" s="1655"/>
      <c r="Q228" s="1655"/>
      <c r="R228" s="1655"/>
      <c r="S228" s="1655"/>
      <c r="T228" s="1697"/>
      <c r="U228" s="1653"/>
    </row>
    <row r="229" spans="1:21" s="25" customFormat="1" ht="44.25" thickBot="1">
      <c r="A229" s="601" t="s">
        <v>17</v>
      </c>
      <c r="B229" s="1534" t="s">
        <v>1869</v>
      </c>
      <c r="C229" s="1535" t="s">
        <v>1870</v>
      </c>
      <c r="D229" s="1093" t="s">
        <v>1848</v>
      </c>
      <c r="E229" s="1093" t="s">
        <v>1871</v>
      </c>
      <c r="F229" s="1093" t="s">
        <v>20</v>
      </c>
      <c r="G229" s="1534" t="s">
        <v>18</v>
      </c>
      <c r="H229" s="1536">
        <v>53621152</v>
      </c>
      <c r="I229" s="774">
        <v>194119</v>
      </c>
      <c r="J229" s="1537" t="s">
        <v>28</v>
      </c>
      <c r="K229" s="267">
        <v>5</v>
      </c>
      <c r="L229" s="268">
        <v>500</v>
      </c>
      <c r="M229" s="269"/>
      <c r="N229" s="269"/>
      <c r="O229" s="268">
        <f>L229</f>
        <v>500</v>
      </c>
      <c r="P229" s="268">
        <f>O229</f>
        <v>500</v>
      </c>
      <c r="Q229" s="269"/>
      <c r="R229" s="269"/>
      <c r="S229" s="268">
        <f>P229</f>
        <v>500</v>
      </c>
      <c r="T229" s="266" t="s">
        <v>1456</v>
      </c>
      <c r="U229" s="182" t="s">
        <v>1752</v>
      </c>
    </row>
    <row r="230" spans="1:21" s="25" customFormat="1" ht="36.75" customHeight="1">
      <c r="A230" s="1"/>
      <c r="B230" s="697" t="s">
        <v>22</v>
      </c>
      <c r="C230" s="80" t="s">
        <v>271</v>
      </c>
      <c r="D230" s="12"/>
      <c r="E230" s="14"/>
      <c r="F230" s="1"/>
      <c r="G230" s="1"/>
      <c r="H230" s="1622" t="s">
        <v>1920</v>
      </c>
      <c r="I230" s="87" t="s">
        <v>271</v>
      </c>
      <c r="J230" s="1127"/>
      <c r="K230" s="1128"/>
      <c r="L230" s="1"/>
      <c r="M230" s="448"/>
      <c r="N230" s="448"/>
      <c r="O230" s="448"/>
      <c r="P230" s="448"/>
      <c r="Q230" s="448"/>
      <c r="R230" s="182" t="s">
        <v>23</v>
      </c>
      <c r="S230" s="567">
        <f>SUM(S224:S229)</f>
        <v>500</v>
      </c>
      <c r="T230" s="444"/>
      <c r="U230" s="444"/>
    </row>
    <row r="231" spans="1:21" s="25" customFormat="1" ht="18" customHeight="1">
      <c r="A231" s="1"/>
      <c r="B231" s="553"/>
      <c r="C231" s="68" t="s">
        <v>272</v>
      </c>
      <c r="D231" s="15"/>
      <c r="E231" s="14"/>
      <c r="F231" s="1"/>
      <c r="G231" s="1"/>
      <c r="H231" s="1129"/>
      <c r="I231" s="73" t="s">
        <v>272</v>
      </c>
      <c r="J231" s="58"/>
      <c r="K231" s="1062"/>
      <c r="L231" s="1"/>
      <c r="M231" s="448"/>
      <c r="N231" s="448"/>
      <c r="O231" s="448"/>
      <c r="P231" s="448"/>
      <c r="Q231" s="448"/>
      <c r="R231" s="448"/>
      <c r="S231" s="448"/>
      <c r="T231" s="444"/>
      <c r="U231" s="444"/>
    </row>
    <row r="232" spans="1:21" s="25" customFormat="1" ht="18" customHeight="1" thickBot="1">
      <c r="A232" s="1"/>
      <c r="B232" s="553"/>
      <c r="C232" s="68" t="s">
        <v>25</v>
      </c>
      <c r="D232" s="15"/>
      <c r="E232" s="14"/>
      <c r="F232" s="1"/>
      <c r="G232" s="1"/>
      <c r="H232" s="1138"/>
      <c r="I232" s="72" t="s">
        <v>25</v>
      </c>
      <c r="J232" s="1347"/>
      <c r="K232" s="685"/>
      <c r="L232" s="1"/>
      <c r="M232" s="448"/>
      <c r="N232" s="448"/>
      <c r="O232" s="448"/>
      <c r="P232" s="448"/>
      <c r="Q232" s="448"/>
      <c r="R232" s="448"/>
      <c r="S232" s="448"/>
      <c r="T232" s="444"/>
      <c r="U232" s="444"/>
    </row>
    <row r="233" spans="1:21" s="25" customFormat="1" ht="18" customHeight="1" thickBot="1">
      <c r="A233" s="1"/>
      <c r="B233" s="433" t="s">
        <v>160</v>
      </c>
      <c r="C233" s="97" t="s">
        <v>1710</v>
      </c>
      <c r="D233" s="18"/>
      <c r="E233" s="14"/>
      <c r="F233" s="1"/>
      <c r="G233" s="1"/>
      <c r="H233" s="1"/>
      <c r="I233" s="1"/>
      <c r="J233" s="1"/>
      <c r="K233" s="7"/>
      <c r="L233" s="1"/>
      <c r="M233" s="448"/>
      <c r="N233" s="448"/>
      <c r="O233" s="448"/>
      <c r="P233" s="448"/>
      <c r="Q233" s="448"/>
      <c r="R233" s="448"/>
      <c r="S233" s="448"/>
      <c r="T233" s="444"/>
      <c r="U233" s="444"/>
    </row>
    <row r="234" spans="1:21" s="25" customFormat="1" ht="18" customHeight="1">
      <c r="A234" s="1"/>
      <c r="B234" s="577"/>
      <c r="C234" s="68"/>
      <c r="D234" s="14"/>
      <c r="E234" s="14"/>
      <c r="F234" s="1"/>
      <c r="G234" s="1"/>
      <c r="H234" s="1"/>
      <c r="I234" s="1"/>
      <c r="J234" s="1"/>
      <c r="K234" s="7"/>
      <c r="L234" s="1"/>
      <c r="M234" s="448"/>
      <c r="N234" s="448"/>
      <c r="O234" s="448"/>
      <c r="P234" s="448"/>
      <c r="Q234" s="448"/>
      <c r="R234" s="448"/>
      <c r="S234" s="448"/>
      <c r="T234" s="444"/>
      <c r="U234" s="444"/>
    </row>
    <row r="235" spans="1:21" s="25" customFormat="1" ht="18" customHeight="1" thickBot="1">
      <c r="A235" s="1"/>
      <c r="B235" s="577"/>
      <c r="C235" s="68"/>
      <c r="D235" s="14"/>
      <c r="E235" s="14"/>
      <c r="F235" s="1"/>
      <c r="G235" s="1"/>
      <c r="H235" s="1"/>
      <c r="I235" s="1"/>
      <c r="J235" s="1"/>
      <c r="K235" s="7"/>
      <c r="L235" s="1"/>
      <c r="M235" s="448"/>
      <c r="N235" s="448"/>
      <c r="O235" s="448"/>
      <c r="P235" s="448"/>
      <c r="Q235" s="448"/>
      <c r="R235" s="448"/>
      <c r="S235" s="448"/>
      <c r="T235" s="444"/>
      <c r="U235" s="444"/>
    </row>
    <row r="236" spans="1:21" s="25" customFormat="1" ht="43.5" customHeight="1">
      <c r="A236" s="1670" t="s">
        <v>6</v>
      </c>
      <c r="B236" s="1673" t="s">
        <v>633</v>
      </c>
      <c r="C236" s="1676" t="s">
        <v>8</v>
      </c>
      <c r="D236" s="1676" t="s">
        <v>9</v>
      </c>
      <c r="E236" s="1656" t="s">
        <v>634</v>
      </c>
      <c r="F236" s="1656" t="s">
        <v>11</v>
      </c>
      <c r="G236" s="1676" t="s">
        <v>12</v>
      </c>
      <c r="H236" s="1656" t="s">
        <v>269</v>
      </c>
      <c r="I236" s="1656" t="s">
        <v>13</v>
      </c>
      <c r="J236" s="1656" t="s">
        <v>59</v>
      </c>
      <c r="K236" s="1665" t="s">
        <v>635</v>
      </c>
      <c r="L236" s="1744" t="s">
        <v>1877</v>
      </c>
      <c r="M236" s="1745"/>
      <c r="N236" s="1745"/>
      <c r="O236" s="1746"/>
      <c r="P236" s="448"/>
      <c r="Q236" s="448"/>
      <c r="R236" s="448"/>
      <c r="S236" s="448"/>
      <c r="T236" s="444"/>
      <c r="U236" s="444"/>
    </row>
    <row r="237" spans="1:21" s="25" customFormat="1" ht="43.5" customHeight="1">
      <c r="A237" s="1671"/>
      <c r="B237" s="1674"/>
      <c r="C237" s="1677"/>
      <c r="D237" s="1677"/>
      <c r="E237" s="1657"/>
      <c r="F237" s="1657"/>
      <c r="G237" s="1677"/>
      <c r="H237" s="1657"/>
      <c r="I237" s="1657"/>
      <c r="J237" s="1657"/>
      <c r="K237" s="1666"/>
      <c r="L237" s="1679" t="s">
        <v>637</v>
      </c>
      <c r="M237" s="1654"/>
      <c r="N237" s="1654"/>
      <c r="O237" s="1680"/>
      <c r="P237" s="448"/>
      <c r="Q237" s="448"/>
      <c r="R237" s="448"/>
      <c r="S237" s="448"/>
      <c r="T237" s="444"/>
      <c r="U237" s="444"/>
    </row>
    <row r="238" spans="1:21" s="25" customFormat="1" ht="36.75" customHeight="1" thickBot="1">
      <c r="A238" s="1672"/>
      <c r="B238" s="1675"/>
      <c r="C238" s="1678"/>
      <c r="D238" s="1678"/>
      <c r="E238" s="1658"/>
      <c r="F238" s="1658"/>
      <c r="G238" s="1678"/>
      <c r="H238" s="1658"/>
      <c r="I238" s="1658"/>
      <c r="J238" s="1658"/>
      <c r="K238" s="1667"/>
      <c r="L238" s="571" t="s">
        <v>638</v>
      </c>
      <c r="M238" s="1544" t="s">
        <v>639</v>
      </c>
      <c r="N238" s="1544" t="s">
        <v>640</v>
      </c>
      <c r="O238" s="1545" t="s">
        <v>16</v>
      </c>
      <c r="P238" s="448"/>
      <c r="Q238" s="448"/>
      <c r="R238" s="448"/>
      <c r="S238" s="448"/>
      <c r="T238" s="444"/>
      <c r="U238" s="444"/>
    </row>
    <row r="239" spans="1:21" s="25" customFormat="1" ht="18" customHeight="1">
      <c r="A239" s="575" t="s">
        <v>26</v>
      </c>
      <c r="B239" s="3" t="s">
        <v>288</v>
      </c>
      <c r="C239" s="3" t="s">
        <v>289</v>
      </c>
      <c r="D239" s="4"/>
      <c r="E239" s="4"/>
      <c r="F239" s="4" t="s">
        <v>20</v>
      </c>
      <c r="G239" s="3" t="s">
        <v>18</v>
      </c>
      <c r="H239" s="22">
        <v>213769</v>
      </c>
      <c r="I239" s="695" t="s">
        <v>290</v>
      </c>
      <c r="J239" s="29" t="s">
        <v>65</v>
      </c>
      <c r="K239" s="174">
        <v>20</v>
      </c>
      <c r="L239" s="33"/>
      <c r="M239" s="32">
        <f>(2591/12)*10</f>
        <v>2159.1666666666665</v>
      </c>
      <c r="N239" s="32">
        <f>(6504/12)*10</f>
        <v>5420</v>
      </c>
      <c r="O239" s="32">
        <f t="shared" ref="O239:O244" si="5">SUM(M239:N239)</f>
        <v>7579.1666666666661</v>
      </c>
      <c r="P239" s="448"/>
      <c r="Q239" s="448"/>
      <c r="R239" s="448"/>
      <c r="S239" s="448"/>
      <c r="T239" s="444"/>
      <c r="U239" s="444"/>
    </row>
    <row r="240" spans="1:21" s="25" customFormat="1" ht="18" customHeight="1">
      <c r="A240" s="575" t="s">
        <v>26</v>
      </c>
      <c r="B240" s="3" t="s">
        <v>280</v>
      </c>
      <c r="C240" s="3" t="s">
        <v>27</v>
      </c>
      <c r="D240" s="3" t="s">
        <v>281</v>
      </c>
      <c r="E240" s="4"/>
      <c r="F240" s="4" t="s">
        <v>20</v>
      </c>
      <c r="G240" s="3" t="s">
        <v>18</v>
      </c>
      <c r="H240" s="22">
        <v>217055</v>
      </c>
      <c r="I240" s="695" t="s">
        <v>282</v>
      </c>
      <c r="J240" s="29" t="s">
        <v>65</v>
      </c>
      <c r="K240" s="174">
        <v>10.4</v>
      </c>
      <c r="L240" s="33"/>
      <c r="M240" s="32">
        <f>1311-1311</f>
        <v>0</v>
      </c>
      <c r="N240" s="32">
        <f>998-998</f>
        <v>0</v>
      </c>
      <c r="O240" s="32">
        <f t="shared" si="5"/>
        <v>0</v>
      </c>
      <c r="P240" s="448"/>
      <c r="Q240" s="448"/>
      <c r="R240" s="448"/>
      <c r="S240" s="448"/>
      <c r="T240" s="444"/>
      <c r="U240" s="444"/>
    </row>
    <row r="241" spans="1:21" s="25" customFormat="1" ht="18" customHeight="1">
      <c r="A241" s="575" t="s">
        <v>26</v>
      </c>
      <c r="B241" s="9"/>
      <c r="C241" s="9" t="s">
        <v>270</v>
      </c>
      <c r="D241" s="9" t="s">
        <v>284</v>
      </c>
      <c r="E241" s="6"/>
      <c r="F241" s="6" t="s">
        <v>20</v>
      </c>
      <c r="G241" s="3" t="s">
        <v>18</v>
      </c>
      <c r="H241" s="22">
        <v>3508547</v>
      </c>
      <c r="I241" s="695" t="s">
        <v>792</v>
      </c>
      <c r="J241" s="377" t="s">
        <v>70</v>
      </c>
      <c r="K241" s="174">
        <v>25</v>
      </c>
      <c r="L241" s="33"/>
      <c r="M241" s="34">
        <f>(2725.35/12)*10</f>
        <v>2271.125</v>
      </c>
      <c r="N241" s="34">
        <f>(6665.4/12)*10</f>
        <v>5554.4999999999991</v>
      </c>
      <c r="O241" s="32">
        <f t="shared" si="5"/>
        <v>7825.6249999999991</v>
      </c>
      <c r="P241" s="448"/>
      <c r="Q241" s="448"/>
      <c r="R241" s="448"/>
      <c r="S241" s="448"/>
      <c r="T241" s="444"/>
      <c r="U241" s="444"/>
    </row>
    <row r="242" spans="1:21" s="25" customFormat="1" ht="18" customHeight="1">
      <c r="A242" s="575" t="s">
        <v>26</v>
      </c>
      <c r="B242" s="3" t="s">
        <v>277</v>
      </c>
      <c r="C242" s="3" t="s">
        <v>278</v>
      </c>
      <c r="D242" s="4"/>
      <c r="E242" s="4"/>
      <c r="F242" s="4" t="s">
        <v>20</v>
      </c>
      <c r="G242" s="3" t="s">
        <v>18</v>
      </c>
      <c r="H242" s="22">
        <v>4146278</v>
      </c>
      <c r="I242" s="695" t="s">
        <v>279</v>
      </c>
      <c r="J242" s="377" t="s">
        <v>70</v>
      </c>
      <c r="K242" s="174">
        <v>34</v>
      </c>
      <c r="L242" s="33"/>
      <c r="M242" s="32">
        <f>(21353/12)*10</f>
        <v>17794.166666666668</v>
      </c>
      <c r="N242" s="32">
        <f>(52296/12)*10</f>
        <v>43580</v>
      </c>
      <c r="O242" s="32">
        <f t="shared" si="5"/>
        <v>61374.166666666672</v>
      </c>
      <c r="P242" s="448"/>
      <c r="Q242" s="448"/>
      <c r="R242" s="448"/>
      <c r="S242" s="448"/>
      <c r="T242" s="444"/>
      <c r="U242" s="444"/>
    </row>
    <row r="243" spans="1:21" s="25" customFormat="1" ht="30" customHeight="1">
      <c r="A243" s="575" t="s">
        <v>26</v>
      </c>
      <c r="B243" s="3" t="s">
        <v>274</v>
      </c>
      <c r="C243" s="3" t="s">
        <v>275</v>
      </c>
      <c r="D243" s="4"/>
      <c r="E243" s="4"/>
      <c r="F243" s="4" t="s">
        <v>20</v>
      </c>
      <c r="G243" s="3" t="s">
        <v>18</v>
      </c>
      <c r="H243" s="22">
        <v>4143381</v>
      </c>
      <c r="I243" s="695" t="s">
        <v>276</v>
      </c>
      <c r="J243" s="377" t="s">
        <v>70</v>
      </c>
      <c r="K243" s="174">
        <v>33</v>
      </c>
      <c r="L243" s="33"/>
      <c r="M243" s="32">
        <f>(25123/12)*10</f>
        <v>20935.833333333336</v>
      </c>
      <c r="N243" s="32">
        <f>(63093/12)*10</f>
        <v>52577.5</v>
      </c>
      <c r="O243" s="32">
        <f t="shared" si="5"/>
        <v>73513.333333333343</v>
      </c>
      <c r="P243" s="448"/>
      <c r="Q243" s="448"/>
      <c r="R243" s="448"/>
      <c r="S243" s="448"/>
      <c r="T243" s="444"/>
      <c r="U243" s="444"/>
    </row>
    <row r="244" spans="1:21" s="25" customFormat="1" ht="30" customHeight="1" thickBot="1">
      <c r="A244" s="575" t="s">
        <v>26</v>
      </c>
      <c r="B244" s="9" t="s">
        <v>291</v>
      </c>
      <c r="C244" s="9" t="s">
        <v>27</v>
      </c>
      <c r="D244" s="9" t="s">
        <v>281</v>
      </c>
      <c r="E244" s="4"/>
      <c r="F244" s="4" t="s">
        <v>20</v>
      </c>
      <c r="G244" s="3" t="s">
        <v>18</v>
      </c>
      <c r="H244" s="20">
        <v>4146276</v>
      </c>
      <c r="I244" s="771" t="s">
        <v>292</v>
      </c>
      <c r="J244" s="377" t="s">
        <v>70</v>
      </c>
      <c r="K244" s="428">
        <v>35</v>
      </c>
      <c r="L244" s="33"/>
      <c r="M244" s="32">
        <f>(45827.8/12)*10</f>
        <v>38189.833333333336</v>
      </c>
      <c r="N244" s="32">
        <f>(117754.3/12)*10</f>
        <v>98128.583333333343</v>
      </c>
      <c r="O244" s="32">
        <f t="shared" si="5"/>
        <v>136318.41666666669</v>
      </c>
      <c r="P244" s="448"/>
      <c r="Q244" s="448"/>
      <c r="R244" s="448"/>
      <c r="S244" s="448"/>
      <c r="T244" s="444"/>
      <c r="U244" s="444"/>
    </row>
    <row r="245" spans="1:21" s="25" customFormat="1" ht="36.75" customHeight="1">
      <c r="A245" s="1"/>
      <c r="B245" s="697" t="s">
        <v>22</v>
      </c>
      <c r="C245" s="80" t="s">
        <v>271</v>
      </c>
      <c r="D245" s="12"/>
      <c r="E245" s="19"/>
      <c r="F245" s="14"/>
      <c r="G245" s="1"/>
      <c r="H245" s="1622" t="s">
        <v>1920</v>
      </c>
      <c r="I245" s="87" t="s">
        <v>293</v>
      </c>
      <c r="J245" s="121"/>
      <c r="K245" s="648"/>
      <c r="L245" s="1"/>
      <c r="M245" s="448"/>
      <c r="N245" s="4" t="s">
        <v>23</v>
      </c>
      <c r="O245" s="556">
        <f>SUM(O239:O244)</f>
        <v>286610.70833333337</v>
      </c>
      <c r="P245" s="448"/>
      <c r="Q245" s="448"/>
      <c r="R245" s="448"/>
      <c r="S245" s="448"/>
      <c r="T245" s="444"/>
      <c r="U245" s="444"/>
    </row>
    <row r="246" spans="1:21" s="25" customFormat="1" ht="18" customHeight="1">
      <c r="A246" s="1"/>
      <c r="B246" s="553"/>
      <c r="C246" s="68" t="s">
        <v>272</v>
      </c>
      <c r="D246" s="15"/>
      <c r="E246" s="19"/>
      <c r="F246" s="14"/>
      <c r="G246" s="1"/>
      <c r="H246" s="16"/>
      <c r="I246" s="73" t="s">
        <v>1648</v>
      </c>
      <c r="J246" s="43"/>
      <c r="K246" s="176"/>
      <c r="L246" s="1"/>
      <c r="M246" s="448"/>
      <c r="N246" s="448"/>
      <c r="O246" s="448"/>
      <c r="P246" s="448"/>
      <c r="Q246" s="448"/>
      <c r="R246" s="448"/>
      <c r="S246" s="448"/>
      <c r="T246" s="444"/>
      <c r="U246" s="444"/>
    </row>
    <row r="247" spans="1:21" s="25" customFormat="1" ht="18" customHeight="1" thickBot="1">
      <c r="A247" s="1"/>
      <c r="B247" s="553"/>
      <c r="C247" s="68" t="s">
        <v>25</v>
      </c>
      <c r="D247" s="15"/>
      <c r="E247" s="14"/>
      <c r="F247" s="14"/>
      <c r="G247" s="1"/>
      <c r="H247" s="1124"/>
      <c r="I247" s="72" t="s">
        <v>25</v>
      </c>
      <c r="J247" s="113"/>
      <c r="K247" s="177"/>
      <c r="L247" s="1"/>
      <c r="M247" s="448"/>
      <c r="N247" s="448"/>
      <c r="O247" s="448"/>
      <c r="P247" s="448"/>
      <c r="Q247" s="448"/>
      <c r="R247" s="448"/>
      <c r="S247" s="448"/>
      <c r="T247" s="444"/>
      <c r="U247" s="444"/>
    </row>
    <row r="248" spans="1:21" s="25" customFormat="1" ht="18" customHeight="1">
      <c r="A248" s="1"/>
      <c r="B248" s="553" t="s">
        <v>160</v>
      </c>
      <c r="C248" s="68" t="s">
        <v>1710</v>
      </c>
      <c r="D248" s="15"/>
      <c r="E248" s="14"/>
      <c r="F248" s="14"/>
      <c r="G248" s="1"/>
      <c r="H248" s="1"/>
      <c r="I248" s="1"/>
      <c r="J248" s="1"/>
      <c r="K248" s="7"/>
      <c r="L248" s="1"/>
      <c r="M248" s="448"/>
      <c r="N248" s="448"/>
      <c r="O248" s="448"/>
      <c r="P248" s="448"/>
      <c r="Q248" s="448"/>
      <c r="R248" s="448"/>
      <c r="S248" s="448"/>
      <c r="T248" s="444"/>
      <c r="U248" s="444"/>
    </row>
    <row r="249" spans="1:21" s="25" customFormat="1" ht="18" customHeight="1" thickBot="1">
      <c r="A249" s="1"/>
      <c r="B249" s="433" t="s">
        <v>1061</v>
      </c>
      <c r="C249" s="97" t="s">
        <v>1161</v>
      </c>
      <c r="D249" s="18"/>
      <c r="E249" s="14"/>
      <c r="F249" s="14"/>
      <c r="G249" s="1"/>
      <c r="H249" s="1"/>
      <c r="I249" s="1"/>
      <c r="J249" s="1"/>
      <c r="K249" s="7"/>
      <c r="L249" s="1"/>
      <c r="M249" s="448"/>
      <c r="N249" s="448"/>
      <c r="O249" s="448"/>
      <c r="P249" s="448"/>
      <c r="Q249" s="448"/>
      <c r="R249" s="448"/>
      <c r="S249" s="448"/>
      <c r="T249" s="444"/>
      <c r="U249" s="444"/>
    </row>
    <row r="250" spans="1:21" s="25" customFormat="1" ht="18" customHeight="1">
      <c r="A250" s="1"/>
      <c r="B250" s="577"/>
      <c r="C250" s="68"/>
      <c r="D250" s="14"/>
      <c r="E250" s="14"/>
      <c r="F250" s="1"/>
      <c r="G250" s="1"/>
      <c r="H250" s="1"/>
      <c r="I250" s="1"/>
      <c r="J250" s="1"/>
      <c r="K250" s="7"/>
      <c r="L250" s="1"/>
      <c r="M250" s="448"/>
      <c r="N250" s="448"/>
      <c r="O250" s="448"/>
      <c r="P250" s="448"/>
      <c r="Q250" s="448"/>
      <c r="R250" s="448"/>
      <c r="S250" s="448"/>
      <c r="T250" s="444"/>
      <c r="U250" s="444"/>
    </row>
    <row r="251" spans="1:21" s="25" customFormat="1" ht="18" customHeight="1">
      <c r="A251" s="1"/>
      <c r="B251" s="577"/>
      <c r="C251" s="68"/>
      <c r="D251" s="14"/>
      <c r="E251" s="14"/>
      <c r="F251" s="1"/>
      <c r="G251" s="1"/>
      <c r="H251" s="1"/>
      <c r="I251" s="1"/>
      <c r="J251" s="1"/>
      <c r="K251" s="7"/>
      <c r="L251" s="1"/>
      <c r="M251" s="448"/>
      <c r="N251" s="448"/>
      <c r="O251" s="448"/>
      <c r="P251" s="448"/>
      <c r="Q251" s="448"/>
      <c r="R251" s="448"/>
      <c r="S251" s="448"/>
      <c r="T251" s="444"/>
      <c r="U251" s="444"/>
    </row>
    <row r="252" spans="1:21" ht="20.25" customHeight="1">
      <c r="M252" s="123" t="s">
        <v>62</v>
      </c>
      <c r="N252" s="31">
        <f>O19+O60+O71+O85+O95+O109+O125+O139+O153+O167+O181+O195+O205+S220+S230+O245</f>
        <v>845149.27500000002</v>
      </c>
    </row>
    <row r="253" spans="1:21" ht="15" thickBot="1">
      <c r="M253" s="31"/>
    </row>
    <row r="254" spans="1:21" ht="50.25" customHeight="1">
      <c r="H254" s="54"/>
      <c r="K254" s="1706" t="s">
        <v>59</v>
      </c>
      <c r="L254" s="1708" t="s">
        <v>644</v>
      </c>
      <c r="M254" s="1709"/>
      <c r="N254" s="1710"/>
      <c r="O254" s="1711" t="s">
        <v>60</v>
      </c>
    </row>
    <row r="255" spans="1:21" ht="37.5" customHeight="1" thickBot="1">
      <c r="K255" s="1707"/>
      <c r="L255" s="274" t="s">
        <v>61</v>
      </c>
      <c r="M255" s="274" t="s">
        <v>639</v>
      </c>
      <c r="N255" s="274" t="s">
        <v>640</v>
      </c>
      <c r="O255" s="1712"/>
    </row>
    <row r="256" spans="1:21" ht="27" customHeight="1">
      <c r="K256" s="1351" t="s">
        <v>28</v>
      </c>
      <c r="L256" s="1352">
        <f>O44+O47+O48+O49+O50+O51+O52+O53+O54+O55+O56+O57+O83+O204+S229</f>
        <v>42691</v>
      </c>
      <c r="M256" s="1353"/>
      <c r="N256" s="1354"/>
      <c r="O256" s="793">
        <v>15</v>
      </c>
    </row>
    <row r="257" spans="11:15" ht="27" customHeight="1">
      <c r="K257" s="1355" t="s">
        <v>21</v>
      </c>
      <c r="L257" s="208">
        <f>L80</f>
        <v>72369.399999999994</v>
      </c>
      <c r="M257" s="180"/>
      <c r="N257" s="1356"/>
      <c r="O257" s="794">
        <v>1</v>
      </c>
    </row>
    <row r="258" spans="11:15" ht="27" customHeight="1">
      <c r="K258" s="1355" t="s">
        <v>65</v>
      </c>
      <c r="L258" s="204"/>
      <c r="M258" s="214">
        <f>M18+M240+M28+M29+M239+M30+M31+M32+M33+M34+M35+M36+M37+M38+M39+M40+M41+M42+M43+M45+M46+M70+M81+M94+M108+M138+M180+M194+Q214+Q219+M58+M59+M82+M84+Q215+Q216+Q217+Q218</f>
        <v>62188.333333333328</v>
      </c>
      <c r="N258" s="941">
        <f>N18+N240+N28+N29+N239+N30+N31+N32+N33+N34+N35+N36+N37+N38+N39+N40+N41+N42+N43+N45+N46+N70+N81+N94+N108+N138+N180+N194+R214+R219+N58+N59+N82+N84+R215+R216+R217+R218</f>
        <v>143049</v>
      </c>
      <c r="O258" s="794">
        <v>38</v>
      </c>
    </row>
    <row r="259" spans="11:15" ht="27" customHeight="1" thickBot="1">
      <c r="K259" s="1357" t="s">
        <v>70</v>
      </c>
      <c r="L259" s="942"/>
      <c r="M259" s="1358">
        <f>M243+M242+M244+M241+M124+M152+M166</f>
        <v>160541.79166666669</v>
      </c>
      <c r="N259" s="1359">
        <f>N243+N242+N244+N241+N124+N152+N166</f>
        <v>364309.75</v>
      </c>
      <c r="O259" s="1360">
        <v>7</v>
      </c>
    </row>
    <row r="260" spans="11:15" ht="27" customHeight="1" thickBot="1">
      <c r="K260" s="35" t="s">
        <v>62</v>
      </c>
      <c r="L260" s="803">
        <f>SUM(L256:L259)</f>
        <v>115060.4</v>
      </c>
      <c r="M260" s="803">
        <f>SUM(M256:M259)</f>
        <v>222730.125</v>
      </c>
      <c r="N260" s="804">
        <f>SUM(N256:N259)</f>
        <v>507358.75</v>
      </c>
      <c r="O260" s="805">
        <f>SUM(O256:O259)</f>
        <v>61</v>
      </c>
    </row>
    <row r="261" spans="11:15" ht="27" customHeight="1" thickBot="1">
      <c r="K261" s="1"/>
      <c r="L261" s="36" t="s">
        <v>63</v>
      </c>
      <c r="M261" s="659">
        <f>SUM(L260:N260)</f>
        <v>845149.27500000002</v>
      </c>
    </row>
    <row r="263" spans="11:15">
      <c r="N263" s="31"/>
    </row>
    <row r="265" spans="11:15">
      <c r="K265" s="1"/>
    </row>
    <row r="266" spans="11:15">
      <c r="K266" s="1"/>
    </row>
    <row r="267" spans="11:15">
      <c r="K267" s="1"/>
    </row>
  </sheetData>
  <mergeCells count="235">
    <mergeCell ref="J236:J238"/>
    <mergeCell ref="K236:K238"/>
    <mergeCell ref="L236:O236"/>
    <mergeCell ref="L237:O237"/>
    <mergeCell ref="A236:A238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J163:J165"/>
    <mergeCell ref="K163:K165"/>
    <mergeCell ref="L163:O163"/>
    <mergeCell ref="L164:O164"/>
    <mergeCell ref="A177:A179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O177"/>
    <mergeCell ref="L178:O178"/>
    <mergeCell ref="A163:A165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35:J137"/>
    <mergeCell ref="K135:K137"/>
    <mergeCell ref="L135:O135"/>
    <mergeCell ref="L136:O136"/>
    <mergeCell ref="A149:A151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K149:K151"/>
    <mergeCell ref="L149:O149"/>
    <mergeCell ref="L150:O150"/>
    <mergeCell ref="A135:A137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F105:F107"/>
    <mergeCell ref="G105:G107"/>
    <mergeCell ref="H105:H107"/>
    <mergeCell ref="I105:I107"/>
    <mergeCell ref="J105:J107"/>
    <mergeCell ref="K105:K107"/>
    <mergeCell ref="L105:O105"/>
    <mergeCell ref="L106:O106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L121:O121"/>
    <mergeCell ref="L122:O122"/>
    <mergeCell ref="L77:O77"/>
    <mergeCell ref="L78:O78"/>
    <mergeCell ref="L91:O91"/>
    <mergeCell ref="E77:E79"/>
    <mergeCell ref="F77:F79"/>
    <mergeCell ref="G77:G79"/>
    <mergeCell ref="A77:A79"/>
    <mergeCell ref="B77:B79"/>
    <mergeCell ref="A91:A93"/>
    <mergeCell ref="B91:B93"/>
    <mergeCell ref="C91:C93"/>
    <mergeCell ref="D91:D93"/>
    <mergeCell ref="C77:C79"/>
    <mergeCell ref="D77:D79"/>
    <mergeCell ref="K25:K27"/>
    <mergeCell ref="F67:F69"/>
    <mergeCell ref="A67:A69"/>
    <mergeCell ref="B67:B69"/>
    <mergeCell ref="C67:C69"/>
    <mergeCell ref="D67:D69"/>
    <mergeCell ref="E67:E69"/>
    <mergeCell ref="E91:E93"/>
    <mergeCell ref="F91:F93"/>
    <mergeCell ref="J77:J79"/>
    <mergeCell ref="K77:K79"/>
    <mergeCell ref="L16:O16"/>
    <mergeCell ref="L26:O26"/>
    <mergeCell ref="G67:G69"/>
    <mergeCell ref="H67:H69"/>
    <mergeCell ref="I67:I69"/>
    <mergeCell ref="L68:O68"/>
    <mergeCell ref="G15:G17"/>
    <mergeCell ref="K15:K17"/>
    <mergeCell ref="A15:A17"/>
    <mergeCell ref="B15:B17"/>
    <mergeCell ref="C15:C17"/>
    <mergeCell ref="D15:D17"/>
    <mergeCell ref="E15:E17"/>
    <mergeCell ref="F15:F17"/>
    <mergeCell ref="F25:F27"/>
    <mergeCell ref="G25:G27"/>
    <mergeCell ref="H25:H27"/>
    <mergeCell ref="H15:H17"/>
    <mergeCell ref="I15:I17"/>
    <mergeCell ref="J15:J17"/>
    <mergeCell ref="L25:O25"/>
    <mergeCell ref="K67:K69"/>
    <mergeCell ref="L67:O67"/>
    <mergeCell ref="L15:O15"/>
    <mergeCell ref="L254:N254"/>
    <mergeCell ref="O254:O255"/>
    <mergeCell ref="K254:K255"/>
    <mergeCell ref="G91:G93"/>
    <mergeCell ref="H91:H93"/>
    <mergeCell ref="I91:I93"/>
    <mergeCell ref="B211:B213"/>
    <mergeCell ref="L92:O92"/>
    <mergeCell ref="J91:J93"/>
    <mergeCell ref="K91:K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J191:J193"/>
    <mergeCell ref="K191:K193"/>
    <mergeCell ref="L191:O191"/>
    <mergeCell ref="L192:O192"/>
    <mergeCell ref="B105:B107"/>
    <mergeCell ref="C105:C107"/>
    <mergeCell ref="A211:A213"/>
    <mergeCell ref="C211:C213"/>
    <mergeCell ref="D211:D213"/>
    <mergeCell ref="E211:E213"/>
    <mergeCell ref="F211:F213"/>
    <mergeCell ref="G211:G213"/>
    <mergeCell ref="B3:I3"/>
    <mergeCell ref="B5:J5"/>
    <mergeCell ref="B1:I1"/>
    <mergeCell ref="G14:H14"/>
    <mergeCell ref="A25:A27"/>
    <mergeCell ref="B25:B27"/>
    <mergeCell ref="C25:C27"/>
    <mergeCell ref="D25:D27"/>
    <mergeCell ref="E25:E27"/>
    <mergeCell ref="J67:J69"/>
    <mergeCell ref="J25:J27"/>
    <mergeCell ref="I25:I27"/>
    <mergeCell ref="I77:I79"/>
    <mergeCell ref="H77:H79"/>
    <mergeCell ref="A191:A193"/>
    <mergeCell ref="A105:A107"/>
    <mergeCell ref="D105:D107"/>
    <mergeCell ref="E105:E107"/>
    <mergeCell ref="T211:T213"/>
    <mergeCell ref="U211:U213"/>
    <mergeCell ref="P212:P213"/>
    <mergeCell ref="Q212:Q213"/>
    <mergeCell ref="R212:R213"/>
    <mergeCell ref="S212:S213"/>
    <mergeCell ref="H211:H213"/>
    <mergeCell ref="I211:I213"/>
    <mergeCell ref="J211:J213"/>
    <mergeCell ref="K211:K213"/>
    <mergeCell ref="L211:O211"/>
    <mergeCell ref="P211:S211"/>
    <mergeCell ref="L212:L213"/>
    <mergeCell ref="M212:M213"/>
    <mergeCell ref="N212:N213"/>
    <mergeCell ref="O212:O213"/>
    <mergeCell ref="K201:K203"/>
    <mergeCell ref="L201:O201"/>
    <mergeCell ref="L202:O202"/>
    <mergeCell ref="A201:A203"/>
    <mergeCell ref="B201:B203"/>
    <mergeCell ref="C201:C203"/>
    <mergeCell ref="D201:D203"/>
    <mergeCell ref="E201:E203"/>
    <mergeCell ref="J201:J203"/>
    <mergeCell ref="F201:F203"/>
    <mergeCell ref="G201:G203"/>
    <mergeCell ref="H201:H203"/>
    <mergeCell ref="I201:I203"/>
    <mergeCell ref="G226:G228"/>
    <mergeCell ref="H226:H228"/>
    <mergeCell ref="I226:I228"/>
    <mergeCell ref="J226:J228"/>
    <mergeCell ref="K226:K228"/>
    <mergeCell ref="L226:O226"/>
    <mergeCell ref="A226:A228"/>
    <mergeCell ref="B226:B228"/>
    <mergeCell ref="C226:C228"/>
    <mergeCell ref="D226:D228"/>
    <mergeCell ref="E226:E228"/>
    <mergeCell ref="F226:F228"/>
    <mergeCell ref="S227:S228"/>
    <mergeCell ref="U226:U228"/>
    <mergeCell ref="P226:S226"/>
    <mergeCell ref="T226:T228"/>
    <mergeCell ref="L227:L228"/>
    <mergeCell ref="M227:M228"/>
    <mergeCell ref="N227:N228"/>
    <mergeCell ref="O227:O228"/>
    <mergeCell ref="P227:P228"/>
    <mergeCell ref="Q227:Q228"/>
    <mergeCell ref="R227:R228"/>
  </mergeCells>
  <pageMargins left="0.7" right="0.7" top="0.75" bottom="0.75" header="0.3" footer="0.3"/>
  <pageSetup paperSize="9" orientation="portrait" r:id="rId1"/>
  <ignoredErrors>
    <ignoredError sqref="O81 O44 O8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opLeftCell="B58" zoomScale="80" zoomScaleNormal="80" workbookViewId="0">
      <selection activeCell="L40" sqref="L40"/>
    </sheetView>
  </sheetViews>
  <sheetFormatPr defaultRowHeight="14.25"/>
  <cols>
    <col min="1" max="1" width="11.125" style="1" customWidth="1"/>
    <col min="2" max="2" width="16.5" style="1" customWidth="1"/>
    <col min="3" max="3" width="15.625" style="1" customWidth="1"/>
    <col min="4" max="4" width="14.625" style="1" customWidth="1"/>
    <col min="5" max="5" width="10.875" style="1" customWidth="1"/>
    <col min="6" max="6" width="11.375" style="1" customWidth="1"/>
    <col min="7" max="7" width="14.5" style="1" customWidth="1"/>
    <col min="8" max="8" width="16.5" style="1" customWidth="1"/>
    <col min="9" max="9" width="27.125" style="1" customWidth="1"/>
    <col min="10" max="10" width="12.625" style="1" customWidth="1"/>
    <col min="11" max="11" width="12.375" style="7" customWidth="1"/>
    <col min="12" max="12" width="15" style="1" customWidth="1"/>
    <col min="13" max="13" width="15" style="31" customWidth="1"/>
    <col min="14" max="14" width="18.375" style="31" customWidth="1"/>
    <col min="15" max="15" width="16.875" style="31" customWidth="1"/>
    <col min="16" max="16" width="12.25" style="1" customWidth="1"/>
    <col min="17" max="17" width="15.125" style="1" customWidth="1"/>
    <col min="18" max="18" width="14.375" style="1" customWidth="1"/>
    <col min="19" max="19" width="20.25" style="1" customWidth="1"/>
    <col min="20" max="20" width="20.625" style="1" customWidth="1"/>
    <col min="21" max="21" width="22.125" style="1" customWidth="1"/>
    <col min="22" max="16384" width="9" style="1"/>
  </cols>
  <sheetData>
    <row r="1" spans="2:9" ht="18">
      <c r="B1" s="1691" t="s">
        <v>1174</v>
      </c>
      <c r="C1" s="1691"/>
      <c r="D1" s="1691"/>
      <c r="E1" s="1691"/>
      <c r="F1" s="1691"/>
      <c r="G1" s="1691"/>
      <c r="H1" s="1691"/>
      <c r="I1" s="1691"/>
    </row>
    <row r="3" spans="2:9" ht="32.25" customHeight="1">
      <c r="B3" s="1727" t="s">
        <v>698</v>
      </c>
      <c r="C3" s="1728"/>
      <c r="D3" s="1728"/>
      <c r="E3" s="1728"/>
      <c r="F3" s="1728"/>
      <c r="G3" s="1728"/>
      <c r="H3" s="1728"/>
      <c r="I3" s="1729"/>
    </row>
    <row r="4" spans="2:9" ht="15">
      <c r="B4" s="469"/>
      <c r="C4" s="469"/>
      <c r="D4" s="469"/>
      <c r="E4" s="469"/>
      <c r="F4" s="469"/>
      <c r="G4" s="469"/>
      <c r="H4" s="469"/>
      <c r="I4" s="469"/>
    </row>
    <row r="5" spans="2:9" ht="15">
      <c r="B5" s="544"/>
      <c r="C5" s="1749" t="s">
        <v>1054</v>
      </c>
      <c r="D5" s="1749"/>
      <c r="E5" s="1749"/>
      <c r="F5" s="1749"/>
      <c r="G5" s="1749"/>
      <c r="H5" s="1749"/>
      <c r="I5" s="1749"/>
    </row>
    <row r="6" spans="2:9" ht="15">
      <c r="B6" s="469"/>
      <c r="C6" s="469"/>
      <c r="D6" s="469"/>
      <c r="E6" s="469"/>
      <c r="F6" s="469"/>
      <c r="G6" s="469"/>
      <c r="H6" s="1687" t="s">
        <v>1055</v>
      </c>
      <c r="I6" s="1687"/>
    </row>
    <row r="7" spans="2:9" ht="15">
      <c r="B7" s="469"/>
      <c r="C7" s="469"/>
      <c r="D7" s="469"/>
      <c r="E7" s="469"/>
      <c r="F7" s="469"/>
      <c r="G7" s="469"/>
      <c r="H7" s="1687" t="s">
        <v>1056</v>
      </c>
      <c r="I7" s="1687"/>
    </row>
    <row r="8" spans="2:9" ht="15">
      <c r="B8" s="469"/>
      <c r="C8" s="469"/>
      <c r="D8" s="469"/>
      <c r="E8" s="469"/>
      <c r="F8" s="469"/>
      <c r="G8" s="469"/>
      <c r="H8" s="469"/>
      <c r="I8" s="472"/>
    </row>
    <row r="9" spans="2:9" ht="15.75">
      <c r="B9" s="470" t="s">
        <v>1</v>
      </c>
      <c r="C9" s="471"/>
      <c r="D9" s="469"/>
      <c r="E9" s="469"/>
      <c r="F9" s="469"/>
      <c r="G9" s="471"/>
      <c r="H9" s="469"/>
      <c r="I9" s="472"/>
    </row>
    <row r="10" spans="2:9" ht="15.75">
      <c r="B10" s="1307" t="s">
        <v>1921</v>
      </c>
      <c r="C10" s="471"/>
      <c r="D10" s="469"/>
      <c r="E10" s="469"/>
      <c r="F10" s="469"/>
      <c r="G10" s="471"/>
      <c r="H10" s="469"/>
      <c r="I10" s="472"/>
    </row>
    <row r="11" spans="2:9" ht="15.75">
      <c r="B11" s="473" t="s">
        <v>1872</v>
      </c>
      <c r="C11" s="471"/>
      <c r="D11" s="474"/>
      <c r="E11" s="469"/>
      <c r="F11" s="469"/>
      <c r="G11" s="471"/>
      <c r="H11" s="469"/>
      <c r="I11" s="472"/>
    </row>
    <row r="12" spans="2:9" ht="15.75">
      <c r="B12" s="473" t="s">
        <v>1045</v>
      </c>
      <c r="C12" s="471"/>
      <c r="D12" s="474"/>
      <c r="E12" s="469"/>
      <c r="F12" s="469"/>
      <c r="G12" s="471"/>
      <c r="H12" s="469"/>
      <c r="I12" s="472"/>
    </row>
    <row r="13" spans="2:9" ht="15">
      <c r="B13" s="471" t="s">
        <v>696</v>
      </c>
      <c r="C13" s="471"/>
      <c r="D13" s="471"/>
      <c r="E13" s="471"/>
      <c r="F13" s="471"/>
      <c r="G13" s="471"/>
      <c r="H13" s="469"/>
      <c r="I13" s="472"/>
    </row>
    <row r="14" spans="2:9" ht="15.75">
      <c r="B14" s="475" t="s">
        <v>2</v>
      </c>
      <c r="C14" s="476" t="s">
        <v>3</v>
      </c>
      <c r="D14" s="474"/>
      <c r="E14" s="474"/>
      <c r="F14" s="474"/>
      <c r="G14" s="474"/>
      <c r="H14" s="477"/>
      <c r="I14" s="471"/>
    </row>
    <row r="15" spans="2:9" ht="15.75">
      <c r="B15" s="475" t="s">
        <v>4</v>
      </c>
      <c r="C15" s="470" t="s">
        <v>5</v>
      </c>
      <c r="D15" s="474"/>
      <c r="E15" s="474"/>
      <c r="F15" s="474"/>
      <c r="G15" s="474"/>
      <c r="H15" s="477"/>
      <c r="I15" s="157"/>
    </row>
    <row r="16" spans="2:9" ht="15.75">
      <c r="B16" s="475"/>
      <c r="C16" s="470"/>
      <c r="D16" s="474"/>
      <c r="E16" s="474"/>
      <c r="F16" s="474"/>
      <c r="G16" s="474"/>
      <c r="H16" s="477"/>
      <c r="I16" s="471"/>
    </row>
    <row r="17" spans="1:15" ht="15" thickBot="1">
      <c r="A17" s="57"/>
      <c r="B17" s="56"/>
      <c r="C17" s="57"/>
      <c r="D17" s="57"/>
      <c r="E17" s="57"/>
      <c r="F17" s="57"/>
      <c r="G17" s="57"/>
      <c r="H17" s="57"/>
    </row>
    <row r="18" spans="1:15" ht="39.75" customHeight="1">
      <c r="A18" s="1670" t="s">
        <v>6</v>
      </c>
      <c r="B18" s="1673" t="s">
        <v>633</v>
      </c>
      <c r="C18" s="1676" t="s">
        <v>8</v>
      </c>
      <c r="D18" s="1676" t="s">
        <v>9</v>
      </c>
      <c r="E18" s="1656" t="s">
        <v>634</v>
      </c>
      <c r="F18" s="1656" t="s">
        <v>11</v>
      </c>
      <c r="G18" s="1676" t="s">
        <v>12</v>
      </c>
      <c r="H18" s="1656" t="s">
        <v>269</v>
      </c>
      <c r="I18" s="1656" t="s">
        <v>13</v>
      </c>
      <c r="J18" s="1656" t="s">
        <v>59</v>
      </c>
      <c r="K18" s="1665" t="s">
        <v>635</v>
      </c>
      <c r="L18" s="1725" t="s">
        <v>636</v>
      </c>
      <c r="M18" s="1719"/>
      <c r="N18" s="1719"/>
      <c r="O18" s="1726"/>
    </row>
    <row r="19" spans="1:15" ht="28.5" customHeight="1">
      <c r="A19" s="1671"/>
      <c r="B19" s="1674"/>
      <c r="C19" s="1677"/>
      <c r="D19" s="1677"/>
      <c r="E19" s="1657"/>
      <c r="F19" s="1657"/>
      <c r="G19" s="1677"/>
      <c r="H19" s="1657"/>
      <c r="I19" s="1657"/>
      <c r="J19" s="1657"/>
      <c r="K19" s="1666"/>
      <c r="L19" s="1679" t="s">
        <v>637</v>
      </c>
      <c r="M19" s="1654"/>
      <c r="N19" s="1654"/>
      <c r="O19" s="1680"/>
    </row>
    <row r="20" spans="1:15" ht="28.5" customHeight="1" thickBot="1">
      <c r="A20" s="1672"/>
      <c r="B20" s="1675"/>
      <c r="C20" s="1678"/>
      <c r="D20" s="1678"/>
      <c r="E20" s="1658"/>
      <c r="F20" s="1658"/>
      <c r="G20" s="1678"/>
      <c r="H20" s="1658"/>
      <c r="I20" s="1658"/>
      <c r="J20" s="1658"/>
      <c r="K20" s="1667"/>
      <c r="L20" s="263" t="s">
        <v>638</v>
      </c>
      <c r="M20" s="270" t="s">
        <v>639</v>
      </c>
      <c r="N20" s="270" t="s">
        <v>640</v>
      </c>
      <c r="O20" s="265" t="s">
        <v>16</v>
      </c>
    </row>
    <row r="21" spans="1:15" ht="29.25">
      <c r="A21" s="575" t="s">
        <v>26</v>
      </c>
      <c r="B21" s="23" t="s">
        <v>138</v>
      </c>
      <c r="C21" s="4" t="s">
        <v>311</v>
      </c>
      <c r="D21" s="4" t="s">
        <v>776</v>
      </c>
      <c r="E21" s="181" t="s">
        <v>777</v>
      </c>
      <c r="F21" s="4" t="s">
        <v>312</v>
      </c>
      <c r="G21" s="3" t="s">
        <v>311</v>
      </c>
      <c r="H21" s="22">
        <v>70903550</v>
      </c>
      <c r="I21" s="695" t="s">
        <v>313</v>
      </c>
      <c r="J21" s="85" t="s">
        <v>65</v>
      </c>
      <c r="K21" s="8">
        <v>5</v>
      </c>
      <c r="L21" s="30"/>
      <c r="M21" s="32">
        <f>1606-979</f>
        <v>627</v>
      </c>
      <c r="N21" s="32">
        <f>4573-2768</f>
        <v>1805</v>
      </c>
      <c r="O21" s="32">
        <f>M21+N21</f>
        <v>2432</v>
      </c>
    </row>
    <row r="22" spans="1:15" ht="29.25">
      <c r="A22" s="575" t="s">
        <v>26</v>
      </c>
      <c r="B22" s="23" t="s">
        <v>314</v>
      </c>
      <c r="C22" s="4" t="s">
        <v>311</v>
      </c>
      <c r="D22" s="3" t="s">
        <v>315</v>
      </c>
      <c r="E22" s="4"/>
      <c r="F22" s="4" t="s">
        <v>312</v>
      </c>
      <c r="G22" s="4" t="s">
        <v>311</v>
      </c>
      <c r="H22" s="22">
        <v>790155</v>
      </c>
      <c r="I22" s="695" t="s">
        <v>316</v>
      </c>
      <c r="J22" s="383" t="s">
        <v>28</v>
      </c>
      <c r="K22" s="8">
        <v>15</v>
      </c>
      <c r="L22" s="22">
        <f>(120.68----115.14)*15</f>
        <v>3537.2999999999997</v>
      </c>
      <c r="M22" s="33"/>
      <c r="N22" s="33"/>
      <c r="O22" s="32">
        <f>L22</f>
        <v>3537.2999999999997</v>
      </c>
    </row>
    <row r="23" spans="1:15" ht="28.5" customHeight="1">
      <c r="A23" s="575" t="s">
        <v>26</v>
      </c>
      <c r="B23" s="23" t="s">
        <v>280</v>
      </c>
      <c r="C23" s="4" t="s">
        <v>311</v>
      </c>
      <c r="D23" s="3" t="s">
        <v>774</v>
      </c>
      <c r="E23" s="4"/>
      <c r="F23" s="4" t="s">
        <v>312</v>
      </c>
      <c r="G23" s="4" t="s">
        <v>311</v>
      </c>
      <c r="H23" s="22">
        <v>70903518</v>
      </c>
      <c r="I23" s="695" t="s">
        <v>317</v>
      </c>
      <c r="J23" s="85" t="s">
        <v>65</v>
      </c>
      <c r="K23" s="8">
        <v>37</v>
      </c>
      <c r="L23" s="30"/>
      <c r="M23" s="32">
        <f>271-158</f>
        <v>113</v>
      </c>
      <c r="N23" s="32">
        <f>581-406</f>
        <v>175</v>
      </c>
      <c r="O23" s="32">
        <f>M23+N23</f>
        <v>288</v>
      </c>
    </row>
    <row r="24" spans="1:15" ht="29.25">
      <c r="A24" s="575" t="s">
        <v>26</v>
      </c>
      <c r="B24" s="23" t="s">
        <v>138</v>
      </c>
      <c r="C24" s="4" t="s">
        <v>311</v>
      </c>
      <c r="D24" s="183" t="s">
        <v>318</v>
      </c>
      <c r="E24" s="4"/>
      <c r="F24" s="4" t="s">
        <v>312</v>
      </c>
      <c r="G24" s="4" t="s">
        <v>311</v>
      </c>
      <c r="H24" s="22">
        <v>70903517</v>
      </c>
      <c r="I24" s="695" t="s">
        <v>319</v>
      </c>
      <c r="J24" s="85" t="s">
        <v>65</v>
      </c>
      <c r="K24" s="8">
        <v>5</v>
      </c>
      <c r="L24" s="30"/>
      <c r="M24" s="32">
        <f>4375-3353</f>
        <v>1022</v>
      </c>
      <c r="N24" s="32">
        <f>13368-10305</f>
        <v>3063</v>
      </c>
      <c r="O24" s="32">
        <f>M24+N24</f>
        <v>4085</v>
      </c>
    </row>
    <row r="25" spans="1:15" ht="33.75" customHeight="1">
      <c r="A25" s="575" t="s">
        <v>26</v>
      </c>
      <c r="B25" s="23" t="s">
        <v>320</v>
      </c>
      <c r="C25" s="4" t="s">
        <v>321</v>
      </c>
      <c r="D25" s="183" t="s">
        <v>239</v>
      </c>
      <c r="E25" s="4"/>
      <c r="F25" s="4" t="s">
        <v>312</v>
      </c>
      <c r="G25" s="4" t="s">
        <v>311</v>
      </c>
      <c r="H25" s="22">
        <v>70903502</v>
      </c>
      <c r="I25" s="695" t="s">
        <v>322</v>
      </c>
      <c r="J25" s="85" t="s">
        <v>65</v>
      </c>
      <c r="K25" s="8">
        <v>2</v>
      </c>
      <c r="L25" s="30"/>
      <c r="M25" s="32">
        <f>22324-22324</f>
        <v>0</v>
      </c>
      <c r="N25" s="32">
        <f>59513-59513</f>
        <v>0</v>
      </c>
      <c r="O25" s="32">
        <f>M25+N25</f>
        <v>0</v>
      </c>
    </row>
    <row r="26" spans="1:15" ht="29.25">
      <c r="A26" s="575" t="s">
        <v>26</v>
      </c>
      <c r="B26" s="23" t="s">
        <v>138</v>
      </c>
      <c r="C26" s="4" t="s">
        <v>311</v>
      </c>
      <c r="D26" s="3" t="s">
        <v>323</v>
      </c>
      <c r="E26" s="4"/>
      <c r="F26" s="4" t="s">
        <v>312</v>
      </c>
      <c r="G26" s="4" t="s">
        <v>311</v>
      </c>
      <c r="H26" s="22">
        <v>70903541</v>
      </c>
      <c r="I26" s="695" t="s">
        <v>324</v>
      </c>
      <c r="J26" s="85" t="s">
        <v>65</v>
      </c>
      <c r="K26" s="8">
        <v>5</v>
      </c>
      <c r="L26" s="30"/>
      <c r="M26" s="32">
        <f>2742-1721</f>
        <v>1021</v>
      </c>
      <c r="N26" s="32">
        <f>7677-4882</f>
        <v>2795</v>
      </c>
      <c r="O26" s="32">
        <f>M26+N26</f>
        <v>3816</v>
      </c>
    </row>
    <row r="27" spans="1:15" ht="29.25">
      <c r="A27" s="575" t="s">
        <v>26</v>
      </c>
      <c r="B27" s="23" t="s">
        <v>138</v>
      </c>
      <c r="C27" s="4" t="s">
        <v>311</v>
      </c>
      <c r="D27" s="3" t="s">
        <v>325</v>
      </c>
      <c r="E27" s="4"/>
      <c r="F27" s="4" t="s">
        <v>312</v>
      </c>
      <c r="G27" s="4" t="s">
        <v>311</v>
      </c>
      <c r="H27" s="22">
        <v>70903581</v>
      </c>
      <c r="I27" s="695" t="s">
        <v>326</v>
      </c>
      <c r="J27" s="85" t="s">
        <v>65</v>
      </c>
      <c r="K27" s="8">
        <v>5</v>
      </c>
      <c r="L27" s="30"/>
      <c r="M27" s="32">
        <f>320-261</f>
        <v>59</v>
      </c>
      <c r="N27" s="32">
        <f>708-556</f>
        <v>152</v>
      </c>
      <c r="O27" s="32">
        <f>M27+N27</f>
        <v>211</v>
      </c>
    </row>
    <row r="28" spans="1:15" ht="18">
      <c r="A28" s="575" t="s">
        <v>26</v>
      </c>
      <c r="B28" s="21" t="s">
        <v>314</v>
      </c>
      <c r="C28" s="6" t="s">
        <v>311</v>
      </c>
      <c r="D28" s="6" t="s">
        <v>327</v>
      </c>
      <c r="E28" s="6"/>
      <c r="F28" s="6" t="s">
        <v>312</v>
      </c>
      <c r="G28" s="4" t="s">
        <v>311</v>
      </c>
      <c r="H28" s="22">
        <v>4143413</v>
      </c>
      <c r="I28" s="695" t="s">
        <v>328</v>
      </c>
      <c r="J28" s="380" t="s">
        <v>21</v>
      </c>
      <c r="K28" s="8">
        <v>70</v>
      </c>
      <c r="L28" s="32">
        <f>(2713.83-2434.5)+2981.37*40</f>
        <v>119534.12999999999</v>
      </c>
      <c r="M28" s="33"/>
      <c r="N28" s="33"/>
      <c r="O28" s="32">
        <f>L28</f>
        <v>119534.12999999999</v>
      </c>
    </row>
    <row r="29" spans="1:15" ht="18">
      <c r="A29" s="575" t="s">
        <v>26</v>
      </c>
      <c r="B29" s="23"/>
      <c r="C29" s="4" t="s">
        <v>311</v>
      </c>
      <c r="D29" s="3" t="s">
        <v>1201</v>
      </c>
      <c r="E29" s="4" t="s">
        <v>1202</v>
      </c>
      <c r="F29" s="4" t="s">
        <v>312</v>
      </c>
      <c r="G29" s="4" t="s">
        <v>311</v>
      </c>
      <c r="H29" s="22">
        <v>90110391</v>
      </c>
      <c r="I29" s="695" t="s">
        <v>1203</v>
      </c>
      <c r="J29" s="85" t="s">
        <v>65</v>
      </c>
      <c r="K29" s="8">
        <v>7</v>
      </c>
      <c r="L29" s="30"/>
      <c r="M29" s="32">
        <f>506-323</f>
        <v>183</v>
      </c>
      <c r="N29" s="32">
        <f>1488-938</f>
        <v>550</v>
      </c>
      <c r="O29" s="32">
        <f>M29+N29</f>
        <v>733</v>
      </c>
    </row>
    <row r="30" spans="1:15" ht="18">
      <c r="A30" s="575" t="s">
        <v>26</v>
      </c>
      <c r="B30" s="23"/>
      <c r="C30" s="4" t="s">
        <v>311</v>
      </c>
      <c r="D30" s="3" t="s">
        <v>318</v>
      </c>
      <c r="E30" s="4" t="s">
        <v>1204</v>
      </c>
      <c r="F30" s="4" t="s">
        <v>312</v>
      </c>
      <c r="G30" s="4" t="s">
        <v>311</v>
      </c>
      <c r="H30" s="22">
        <v>90110314</v>
      </c>
      <c r="I30" s="695" t="s">
        <v>1205</v>
      </c>
      <c r="J30" s="85" t="s">
        <v>65</v>
      </c>
      <c r="K30" s="8">
        <v>7</v>
      </c>
      <c r="L30" s="30"/>
      <c r="M30" s="32">
        <f>503-331</f>
        <v>172</v>
      </c>
      <c r="N30" s="32">
        <f>1345-868</f>
        <v>477</v>
      </c>
      <c r="O30" s="32">
        <f>M30+N30</f>
        <v>649</v>
      </c>
    </row>
    <row r="31" spans="1:15" ht="19.5" customHeight="1">
      <c r="A31" s="575" t="s">
        <v>26</v>
      </c>
      <c r="B31" s="711"/>
      <c r="C31" s="926" t="s">
        <v>311</v>
      </c>
      <c r="D31" s="712" t="s">
        <v>1206</v>
      </c>
      <c r="E31" s="712" t="s">
        <v>1207</v>
      </c>
      <c r="F31" s="926" t="s">
        <v>312</v>
      </c>
      <c r="G31" s="926" t="s">
        <v>311</v>
      </c>
      <c r="H31" s="712">
        <v>90114885</v>
      </c>
      <c r="I31" s="695" t="s">
        <v>1742</v>
      </c>
      <c r="J31" s="814" t="s">
        <v>28</v>
      </c>
      <c r="K31" s="713">
        <v>5</v>
      </c>
      <c r="L31" s="714">
        <f>1910-959</f>
        <v>951</v>
      </c>
      <c r="M31" s="33"/>
      <c r="N31" s="33"/>
      <c r="O31" s="714">
        <f>L31</f>
        <v>951</v>
      </c>
    </row>
    <row r="32" spans="1:15" ht="19.5" customHeight="1">
      <c r="A32" s="603" t="s">
        <v>26</v>
      </c>
      <c r="B32" s="21"/>
      <c r="C32" s="6" t="s">
        <v>357</v>
      </c>
      <c r="D32" s="9" t="s">
        <v>54</v>
      </c>
      <c r="E32" s="6" t="s">
        <v>1440</v>
      </c>
      <c r="F32" s="6" t="s">
        <v>312</v>
      </c>
      <c r="G32" s="6" t="s">
        <v>311</v>
      </c>
      <c r="H32" s="20">
        <v>90509053</v>
      </c>
      <c r="I32" s="771" t="s">
        <v>1441</v>
      </c>
      <c r="J32" s="1135" t="s">
        <v>65</v>
      </c>
      <c r="K32" s="745">
        <v>7</v>
      </c>
      <c r="L32" s="1486"/>
      <c r="M32" s="115">
        <f>127-10</f>
        <v>117</v>
      </c>
      <c r="N32" s="115">
        <f>347-9</f>
        <v>338</v>
      </c>
      <c r="O32" s="115">
        <f>M32+N32</f>
        <v>455</v>
      </c>
    </row>
    <row r="33" spans="1:15" ht="62.25" customHeight="1">
      <c r="A33" s="575" t="s">
        <v>26</v>
      </c>
      <c r="B33" s="23" t="s">
        <v>1745</v>
      </c>
      <c r="C33" s="22" t="s">
        <v>357</v>
      </c>
      <c r="D33" s="3" t="s">
        <v>1308</v>
      </c>
      <c r="E33" s="22" t="s">
        <v>1746</v>
      </c>
      <c r="F33" s="926" t="s">
        <v>312</v>
      </c>
      <c r="G33" s="926" t="s">
        <v>311</v>
      </c>
      <c r="H33" s="22"/>
      <c r="I33" s="695" t="s">
        <v>1747</v>
      </c>
      <c r="J33" s="85" t="s">
        <v>65</v>
      </c>
      <c r="K33" s="8">
        <v>7</v>
      </c>
      <c r="L33" s="30"/>
      <c r="M33" s="32">
        <v>1000</v>
      </c>
      <c r="N33" s="32">
        <v>1500</v>
      </c>
      <c r="O33" s="32">
        <f>M33+N33</f>
        <v>2500</v>
      </c>
    </row>
    <row r="34" spans="1:15" ht="61.5" customHeight="1" thickBot="1">
      <c r="A34" s="575" t="s">
        <v>26</v>
      </c>
      <c r="B34" s="23" t="s">
        <v>1745</v>
      </c>
      <c r="C34" s="22" t="s">
        <v>357</v>
      </c>
      <c r="D34" s="3" t="s">
        <v>239</v>
      </c>
      <c r="E34" s="22" t="s">
        <v>1748</v>
      </c>
      <c r="F34" s="4" t="s">
        <v>312</v>
      </c>
      <c r="G34" s="4" t="s">
        <v>311</v>
      </c>
      <c r="H34" s="22"/>
      <c r="I34" s="695" t="s">
        <v>1749</v>
      </c>
      <c r="J34" s="85" t="s">
        <v>65</v>
      </c>
      <c r="K34" s="8">
        <v>7</v>
      </c>
      <c r="L34" s="30"/>
      <c r="M34" s="32">
        <v>1000</v>
      </c>
      <c r="N34" s="32">
        <v>1500</v>
      </c>
      <c r="O34" s="32">
        <f>M34+N34</f>
        <v>2500</v>
      </c>
    </row>
    <row r="35" spans="1:15" ht="45">
      <c r="B35" s="1487" t="s">
        <v>22</v>
      </c>
      <c r="C35" s="43" t="s">
        <v>363</v>
      </c>
      <c r="D35" s="176"/>
      <c r="E35" s="25"/>
      <c r="F35" s="25"/>
      <c r="G35" s="25"/>
      <c r="H35" s="1622" t="s">
        <v>1920</v>
      </c>
      <c r="I35" s="186" t="s">
        <v>1200</v>
      </c>
      <c r="J35" s="1137"/>
      <c r="K35" s="187"/>
      <c r="L35" s="54"/>
      <c r="N35" s="268" t="s">
        <v>23</v>
      </c>
      <c r="O35" s="567">
        <f>SUM(O21:O34)</f>
        <v>141691.43</v>
      </c>
    </row>
    <row r="36" spans="1:15" ht="15.75">
      <c r="B36" s="1141"/>
      <c r="C36" s="43" t="s">
        <v>330</v>
      </c>
      <c r="D36" s="176"/>
      <c r="E36" s="25"/>
      <c r="F36" s="25"/>
      <c r="G36" s="25"/>
      <c r="H36" s="1129"/>
      <c r="I36" s="186" t="s">
        <v>329</v>
      </c>
      <c r="J36" s="1137"/>
      <c r="K36" s="187"/>
      <c r="L36" s="54"/>
    </row>
    <row r="37" spans="1:15" ht="16.5" thickBot="1">
      <c r="B37" s="1141"/>
      <c r="C37" s="43" t="s">
        <v>329</v>
      </c>
      <c r="D37" s="176"/>
      <c r="E37" s="25"/>
      <c r="F37" s="25"/>
      <c r="G37" s="25"/>
      <c r="H37" s="1138"/>
      <c r="I37" s="189" t="s">
        <v>775</v>
      </c>
      <c r="J37" s="1139"/>
      <c r="K37" s="187"/>
      <c r="L37" s="54"/>
    </row>
    <row r="38" spans="1:15" ht="15">
      <c r="B38" s="1141" t="s">
        <v>160</v>
      </c>
      <c r="C38" s="582">
        <v>8222146636</v>
      </c>
      <c r="D38" s="176"/>
      <c r="E38" s="57"/>
      <c r="F38" s="57"/>
      <c r="G38" s="25"/>
      <c r="H38" s="25"/>
    </row>
    <row r="39" spans="1:15" ht="15.75" thickBot="1">
      <c r="B39" s="1134" t="s">
        <v>1061</v>
      </c>
      <c r="C39" s="113" t="s">
        <v>1097</v>
      </c>
      <c r="D39" s="177"/>
      <c r="E39" s="57"/>
      <c r="F39" s="57"/>
      <c r="G39" s="25"/>
      <c r="H39" s="25"/>
    </row>
    <row r="41" spans="1:15" ht="15.75" thickBot="1">
      <c r="B41" s="577"/>
      <c r="C41" s="14"/>
      <c r="D41" s="54"/>
      <c r="E41" s="54"/>
      <c r="F41" s="54"/>
    </row>
    <row r="42" spans="1:15" ht="33" customHeight="1">
      <c r="A42" s="1670" t="s">
        <v>6</v>
      </c>
      <c r="B42" s="1673" t="s">
        <v>633</v>
      </c>
      <c r="C42" s="1676" t="s">
        <v>8</v>
      </c>
      <c r="D42" s="1676" t="s">
        <v>9</v>
      </c>
      <c r="E42" s="1656" t="s">
        <v>634</v>
      </c>
      <c r="F42" s="1656" t="s">
        <v>11</v>
      </c>
      <c r="G42" s="1676" t="s">
        <v>12</v>
      </c>
      <c r="H42" s="1656" t="s">
        <v>269</v>
      </c>
      <c r="I42" s="1656" t="s">
        <v>13</v>
      </c>
      <c r="J42" s="1656" t="s">
        <v>59</v>
      </c>
      <c r="K42" s="1665" t="s">
        <v>635</v>
      </c>
      <c r="L42" s="1725" t="s">
        <v>636</v>
      </c>
      <c r="M42" s="1719"/>
      <c r="N42" s="1719"/>
      <c r="O42" s="1726"/>
    </row>
    <row r="43" spans="1:15" ht="33" customHeight="1">
      <c r="A43" s="1671"/>
      <c r="B43" s="1674"/>
      <c r="C43" s="1677"/>
      <c r="D43" s="1677"/>
      <c r="E43" s="1657"/>
      <c r="F43" s="1657"/>
      <c r="G43" s="1677"/>
      <c r="H43" s="1657"/>
      <c r="I43" s="1657"/>
      <c r="J43" s="1657"/>
      <c r="K43" s="1666"/>
      <c r="L43" s="1679" t="s">
        <v>637</v>
      </c>
      <c r="M43" s="1654"/>
      <c r="N43" s="1654"/>
      <c r="O43" s="1680"/>
    </row>
    <row r="44" spans="1:15" ht="30.75" customHeight="1" thickBot="1">
      <c r="A44" s="1672"/>
      <c r="B44" s="1675"/>
      <c r="C44" s="1678"/>
      <c r="D44" s="1678"/>
      <c r="E44" s="1658"/>
      <c r="F44" s="1658"/>
      <c r="G44" s="1678"/>
      <c r="H44" s="1658"/>
      <c r="I44" s="1658"/>
      <c r="J44" s="1658"/>
      <c r="K44" s="1667"/>
      <c r="L44" s="571" t="s">
        <v>638</v>
      </c>
      <c r="M44" s="1125" t="s">
        <v>639</v>
      </c>
      <c r="N44" s="1125" t="s">
        <v>640</v>
      </c>
      <c r="O44" s="1126" t="s">
        <v>16</v>
      </c>
    </row>
    <row r="45" spans="1:15" ht="29.25">
      <c r="A45" s="575" t="s">
        <v>26</v>
      </c>
      <c r="B45" s="3" t="s">
        <v>334</v>
      </c>
      <c r="C45" s="4" t="s">
        <v>311</v>
      </c>
      <c r="D45" s="4" t="s">
        <v>54</v>
      </c>
      <c r="E45" s="181">
        <v>78</v>
      </c>
      <c r="F45" s="4" t="s">
        <v>312</v>
      </c>
      <c r="G45" s="3" t="s">
        <v>311</v>
      </c>
      <c r="H45" s="22">
        <v>83246645</v>
      </c>
      <c r="I45" s="695" t="s">
        <v>335</v>
      </c>
      <c r="J45" s="85" t="s">
        <v>65</v>
      </c>
      <c r="K45" s="8">
        <v>2</v>
      </c>
      <c r="L45" s="30"/>
      <c r="M45" s="32">
        <f>159-89</f>
        <v>70</v>
      </c>
      <c r="N45" s="32">
        <f>403-224</f>
        <v>179</v>
      </c>
      <c r="O45" s="32">
        <f>SUM(M45:N45)</f>
        <v>249</v>
      </c>
    </row>
    <row r="46" spans="1:15" ht="18.75" thickBot="1">
      <c r="A46" s="575" t="s">
        <v>26</v>
      </c>
      <c r="B46" s="9" t="s">
        <v>336</v>
      </c>
      <c r="C46" s="6" t="s">
        <v>311</v>
      </c>
      <c r="D46" s="6" t="s">
        <v>54</v>
      </c>
      <c r="E46" s="181">
        <v>78</v>
      </c>
      <c r="F46" s="4" t="s">
        <v>312</v>
      </c>
      <c r="G46" s="4" t="s">
        <v>311</v>
      </c>
      <c r="H46" s="22">
        <v>70903552</v>
      </c>
      <c r="I46" s="695" t="s">
        <v>344</v>
      </c>
      <c r="J46" s="85" t="s">
        <v>65</v>
      </c>
      <c r="K46" s="8">
        <v>25</v>
      </c>
      <c r="L46" s="30"/>
      <c r="M46" s="32">
        <f>87544-74365</f>
        <v>13179</v>
      </c>
      <c r="N46" s="32">
        <f>179866-151031</f>
        <v>28835</v>
      </c>
      <c r="O46" s="32">
        <f>SUM(M46:N46)</f>
        <v>42014</v>
      </c>
    </row>
    <row r="47" spans="1:15" ht="45">
      <c r="B47" s="1361" t="s">
        <v>22</v>
      </c>
      <c r="C47" s="121" t="s">
        <v>363</v>
      </c>
      <c r="D47" s="648"/>
      <c r="E47" s="437"/>
      <c r="F47" s="57"/>
      <c r="G47" s="57"/>
      <c r="H47" s="1622" t="s">
        <v>1920</v>
      </c>
      <c r="I47" s="1620" t="s">
        <v>1917</v>
      </c>
      <c r="J47" s="1128"/>
      <c r="N47" s="32" t="s">
        <v>23</v>
      </c>
      <c r="O47" s="556">
        <f>SUM(O45:O46)</f>
        <v>42263</v>
      </c>
    </row>
    <row r="48" spans="1:15" ht="15">
      <c r="B48" s="1141"/>
      <c r="C48" s="43" t="s">
        <v>330</v>
      </c>
      <c r="D48" s="176"/>
      <c r="E48" s="437"/>
      <c r="F48" s="57"/>
      <c r="G48" s="57"/>
      <c r="H48" s="1140"/>
      <c r="I48" s="73" t="s">
        <v>1916</v>
      </c>
      <c r="J48" s="1062"/>
    </row>
    <row r="49" spans="1:15" ht="15">
      <c r="B49" s="1141"/>
      <c r="C49" s="43" t="s">
        <v>329</v>
      </c>
      <c r="D49" s="176"/>
      <c r="E49" s="437"/>
      <c r="F49" s="57"/>
      <c r="G49" s="57"/>
      <c r="H49" s="1140"/>
      <c r="I49" s="73" t="s">
        <v>329</v>
      </c>
      <c r="J49" s="1062"/>
    </row>
    <row r="50" spans="1:15" ht="15">
      <c r="B50" s="1141" t="s">
        <v>160</v>
      </c>
      <c r="C50" s="582">
        <v>8222146636</v>
      </c>
      <c r="D50" s="176"/>
      <c r="E50" s="437"/>
      <c r="F50" s="57"/>
      <c r="G50" s="57"/>
      <c r="H50" s="1141"/>
      <c r="I50" s="73"/>
      <c r="J50" s="176"/>
    </row>
    <row r="51" spans="1:15" ht="15.75" thickBot="1">
      <c r="B51" s="1134" t="s">
        <v>1061</v>
      </c>
      <c r="C51" s="113" t="s">
        <v>1097</v>
      </c>
      <c r="D51" s="177"/>
      <c r="E51" s="437"/>
      <c r="F51" s="57"/>
      <c r="G51" s="57"/>
      <c r="H51" s="1124"/>
      <c r="I51" s="72"/>
      <c r="J51" s="177"/>
    </row>
    <row r="52" spans="1:15" ht="15.75" thickBot="1">
      <c r="B52" s="577"/>
      <c r="C52" s="14"/>
      <c r="D52" s="54"/>
      <c r="E52" s="54"/>
      <c r="F52" s="54"/>
    </row>
    <row r="53" spans="1:15" ht="36" customHeight="1">
      <c r="A53" s="1670" t="s">
        <v>6</v>
      </c>
      <c r="B53" s="1673" t="s">
        <v>633</v>
      </c>
      <c r="C53" s="1676" t="s">
        <v>8</v>
      </c>
      <c r="D53" s="1676" t="s">
        <v>9</v>
      </c>
      <c r="E53" s="1656" t="s">
        <v>634</v>
      </c>
      <c r="F53" s="1656" t="s">
        <v>11</v>
      </c>
      <c r="G53" s="1676" t="s">
        <v>12</v>
      </c>
      <c r="H53" s="1656" t="s">
        <v>269</v>
      </c>
      <c r="I53" s="1656" t="s">
        <v>13</v>
      </c>
      <c r="J53" s="1656" t="s">
        <v>59</v>
      </c>
      <c r="K53" s="1665" t="s">
        <v>635</v>
      </c>
      <c r="L53" s="1725" t="s">
        <v>636</v>
      </c>
      <c r="M53" s="1719"/>
      <c r="N53" s="1719"/>
      <c r="O53" s="1726"/>
    </row>
    <row r="54" spans="1:15" ht="36" customHeight="1">
      <c r="A54" s="1671"/>
      <c r="B54" s="1674"/>
      <c r="C54" s="1677"/>
      <c r="D54" s="1677"/>
      <c r="E54" s="1657"/>
      <c r="F54" s="1657"/>
      <c r="G54" s="1677"/>
      <c r="H54" s="1657"/>
      <c r="I54" s="1657"/>
      <c r="J54" s="1657"/>
      <c r="K54" s="1666"/>
      <c r="L54" s="1679" t="s">
        <v>637</v>
      </c>
      <c r="M54" s="1654"/>
      <c r="N54" s="1654"/>
      <c r="O54" s="1680"/>
    </row>
    <row r="55" spans="1:15" ht="33.75" customHeight="1" thickBot="1">
      <c r="A55" s="1672"/>
      <c r="B55" s="1675"/>
      <c r="C55" s="1678"/>
      <c r="D55" s="1678"/>
      <c r="E55" s="1658"/>
      <c r="F55" s="1658"/>
      <c r="G55" s="1678"/>
      <c r="H55" s="1658"/>
      <c r="I55" s="1658"/>
      <c r="J55" s="1658"/>
      <c r="K55" s="1667"/>
      <c r="L55" s="571" t="s">
        <v>638</v>
      </c>
      <c r="M55" s="1125" t="s">
        <v>639</v>
      </c>
      <c r="N55" s="1125" t="s">
        <v>640</v>
      </c>
      <c r="O55" s="1126" t="s">
        <v>16</v>
      </c>
    </row>
    <row r="56" spans="1:15" ht="30" thickBot="1">
      <c r="A56" s="575" t="s">
        <v>26</v>
      </c>
      <c r="B56" s="4" t="s">
        <v>336</v>
      </c>
      <c r="C56" s="4" t="s">
        <v>337</v>
      </c>
      <c r="D56" s="4"/>
      <c r="E56" s="181"/>
      <c r="F56" s="4" t="s">
        <v>20</v>
      </c>
      <c r="G56" s="3" t="s">
        <v>18</v>
      </c>
      <c r="H56" s="20">
        <v>70903558</v>
      </c>
      <c r="I56" s="771" t="s">
        <v>338</v>
      </c>
      <c r="J56" s="1135" t="s">
        <v>65</v>
      </c>
      <c r="K56" s="745">
        <v>12</v>
      </c>
      <c r="L56" s="30"/>
      <c r="M56" s="32">
        <f>30218-25283</f>
        <v>4935</v>
      </c>
      <c r="N56" s="32">
        <f>59237-47949</f>
        <v>11288</v>
      </c>
      <c r="O56" s="32">
        <f>SUM(M56:N56)</f>
        <v>16223</v>
      </c>
    </row>
    <row r="57" spans="1:15" ht="45">
      <c r="B57" s="1361" t="s">
        <v>22</v>
      </c>
      <c r="C57" s="121" t="s">
        <v>363</v>
      </c>
      <c r="D57" s="648"/>
      <c r="E57" s="437"/>
      <c r="F57" s="57"/>
      <c r="G57" s="57"/>
      <c r="H57" s="1622" t="s">
        <v>1920</v>
      </c>
      <c r="I57" s="87" t="s">
        <v>1649</v>
      </c>
      <c r="J57" s="612"/>
      <c r="K57" s="1142"/>
      <c r="N57" s="32" t="s">
        <v>23</v>
      </c>
      <c r="O57" s="556">
        <f>SUM(O56)</f>
        <v>16223</v>
      </c>
    </row>
    <row r="58" spans="1:15" ht="15">
      <c r="B58" s="1141"/>
      <c r="C58" s="43" t="s">
        <v>330</v>
      </c>
      <c r="D58" s="176"/>
      <c r="E58" s="437"/>
      <c r="F58" s="57"/>
      <c r="G58" s="57"/>
      <c r="H58" s="1140"/>
      <c r="I58" s="73" t="s">
        <v>1650</v>
      </c>
      <c r="J58" s="57"/>
      <c r="K58" s="1143"/>
    </row>
    <row r="59" spans="1:15" ht="15.75" thickBot="1">
      <c r="B59" s="1141"/>
      <c r="C59" s="43" t="s">
        <v>329</v>
      </c>
      <c r="D59" s="176"/>
      <c r="E59" s="437"/>
      <c r="F59" s="57"/>
      <c r="G59" s="57"/>
      <c r="H59" s="1144"/>
      <c r="I59" s="72" t="s">
        <v>25</v>
      </c>
      <c r="J59" s="613"/>
      <c r="K59" s="1145"/>
    </row>
    <row r="60" spans="1:15" ht="15">
      <c r="B60" s="1141" t="s">
        <v>160</v>
      </c>
      <c r="C60" s="582">
        <v>8222146636</v>
      </c>
      <c r="D60" s="176"/>
      <c r="E60" s="437"/>
      <c r="F60" s="57"/>
      <c r="G60" s="66"/>
      <c r="H60" s="1133"/>
      <c r="I60" s="73"/>
      <c r="J60" s="43"/>
      <c r="K60" s="58"/>
    </row>
    <row r="61" spans="1:15" ht="15.75" thickBot="1">
      <c r="B61" s="1134" t="s">
        <v>1061</v>
      </c>
      <c r="C61" s="113" t="s">
        <v>1097</v>
      </c>
      <c r="D61" s="177"/>
      <c r="E61" s="25"/>
      <c r="F61" s="25"/>
      <c r="G61" s="25"/>
      <c r="H61" s="43"/>
      <c r="I61" s="73"/>
      <c r="J61" s="43"/>
      <c r="K61" s="57"/>
    </row>
    <row r="62" spans="1:15" ht="15.75" thickBot="1">
      <c r="B62" s="577"/>
      <c r="C62" s="14"/>
      <c r="D62" s="54"/>
      <c r="E62" s="54"/>
      <c r="F62" s="54"/>
    </row>
    <row r="63" spans="1:15" ht="41.25" customHeight="1">
      <c r="A63" s="1670" t="s">
        <v>6</v>
      </c>
      <c r="B63" s="1673" t="s">
        <v>633</v>
      </c>
      <c r="C63" s="1676" t="s">
        <v>8</v>
      </c>
      <c r="D63" s="1676" t="s">
        <v>9</v>
      </c>
      <c r="E63" s="1656" t="s">
        <v>634</v>
      </c>
      <c r="F63" s="1656" t="s">
        <v>11</v>
      </c>
      <c r="G63" s="1676" t="s">
        <v>12</v>
      </c>
      <c r="H63" s="1656" t="s">
        <v>269</v>
      </c>
      <c r="I63" s="1656" t="s">
        <v>13</v>
      </c>
      <c r="J63" s="1656" t="s">
        <v>59</v>
      </c>
      <c r="K63" s="1665" t="s">
        <v>635</v>
      </c>
      <c r="L63" s="1725" t="s">
        <v>636</v>
      </c>
      <c r="M63" s="1719"/>
      <c r="N63" s="1719"/>
      <c r="O63" s="1726"/>
    </row>
    <row r="64" spans="1:15" ht="41.25" customHeight="1">
      <c r="A64" s="1671"/>
      <c r="B64" s="1674"/>
      <c r="C64" s="1677"/>
      <c r="D64" s="1677"/>
      <c r="E64" s="1657"/>
      <c r="F64" s="1657"/>
      <c r="G64" s="1677"/>
      <c r="H64" s="1657"/>
      <c r="I64" s="1657"/>
      <c r="J64" s="1657"/>
      <c r="K64" s="1666"/>
      <c r="L64" s="1679" t="s">
        <v>637</v>
      </c>
      <c r="M64" s="1654"/>
      <c r="N64" s="1654"/>
      <c r="O64" s="1680"/>
    </row>
    <row r="65" spans="1:15" ht="27" customHeight="1" thickBot="1">
      <c r="A65" s="1672"/>
      <c r="B65" s="1675"/>
      <c r="C65" s="1678"/>
      <c r="D65" s="1678"/>
      <c r="E65" s="1658"/>
      <c r="F65" s="1658"/>
      <c r="G65" s="1678"/>
      <c r="H65" s="1658"/>
      <c r="I65" s="1658"/>
      <c r="J65" s="1658"/>
      <c r="K65" s="1667"/>
      <c r="L65" s="571" t="s">
        <v>638</v>
      </c>
      <c r="M65" s="1125" t="s">
        <v>639</v>
      </c>
      <c r="N65" s="1125" t="s">
        <v>640</v>
      </c>
      <c r="O65" s="1126" t="s">
        <v>16</v>
      </c>
    </row>
    <row r="66" spans="1:15" ht="18">
      <c r="A66" s="575" t="s">
        <v>26</v>
      </c>
      <c r="B66" s="4" t="s">
        <v>336</v>
      </c>
      <c r="C66" s="4" t="s">
        <v>339</v>
      </c>
      <c r="D66" s="4"/>
      <c r="E66" s="181">
        <v>30</v>
      </c>
      <c r="F66" s="4" t="s">
        <v>312</v>
      </c>
      <c r="G66" s="3" t="s">
        <v>311</v>
      </c>
      <c r="H66" s="22">
        <v>70851603</v>
      </c>
      <c r="I66" s="695" t="s">
        <v>340</v>
      </c>
      <c r="J66" s="85" t="s">
        <v>65</v>
      </c>
      <c r="K66" s="8">
        <v>6.6</v>
      </c>
      <c r="L66" s="30"/>
      <c r="M66" s="32">
        <f>36902-31184</f>
        <v>5718</v>
      </c>
      <c r="N66" s="32">
        <f>76998-65071</f>
        <v>11927</v>
      </c>
      <c r="O66" s="32">
        <f>SUM(M66:N66)</f>
        <v>17645</v>
      </c>
    </row>
    <row r="67" spans="1:15" ht="18.75" thickBot="1">
      <c r="A67" s="575" t="s">
        <v>26</v>
      </c>
      <c r="B67" s="4" t="s">
        <v>336</v>
      </c>
      <c r="C67" s="4" t="s">
        <v>339</v>
      </c>
      <c r="D67" s="4"/>
      <c r="E67" s="181"/>
      <c r="F67" s="4" t="s">
        <v>312</v>
      </c>
      <c r="G67" s="3" t="s">
        <v>311</v>
      </c>
      <c r="H67" s="20">
        <v>83246688</v>
      </c>
      <c r="I67" s="771" t="s">
        <v>341</v>
      </c>
      <c r="J67" s="1135" t="s">
        <v>65</v>
      </c>
      <c r="K67" s="745">
        <v>4.5</v>
      </c>
      <c r="L67" s="30"/>
      <c r="M67" s="32">
        <f>55-36</f>
        <v>19</v>
      </c>
      <c r="N67" s="32">
        <f>144-90</f>
        <v>54</v>
      </c>
      <c r="O67" s="32">
        <f>SUM(M67:N67)</f>
        <v>73</v>
      </c>
    </row>
    <row r="68" spans="1:15" ht="45">
      <c r="A68" s="288"/>
      <c r="B68" s="1361" t="s">
        <v>22</v>
      </c>
      <c r="C68" s="121" t="s">
        <v>363</v>
      </c>
      <c r="D68" s="648"/>
      <c r="E68" s="25"/>
      <c r="F68" s="25"/>
      <c r="G68" s="25"/>
      <c r="H68" s="1622" t="s">
        <v>1920</v>
      </c>
      <c r="I68" s="87" t="s">
        <v>1651</v>
      </c>
      <c r="J68" s="612"/>
      <c r="K68" s="1128"/>
      <c r="L68" s="57"/>
      <c r="M68" s="70"/>
      <c r="N68" s="32" t="s">
        <v>23</v>
      </c>
      <c r="O68" s="556">
        <f>SUM(O66:O67)</f>
        <v>17718</v>
      </c>
    </row>
    <row r="69" spans="1:15" ht="18">
      <c r="A69" s="288"/>
      <c r="B69" s="1141"/>
      <c r="C69" s="43" t="s">
        <v>330</v>
      </c>
      <c r="D69" s="176"/>
      <c r="E69" s="25"/>
      <c r="F69" s="25"/>
      <c r="G69" s="25"/>
      <c r="H69" s="1140"/>
      <c r="I69" s="73" t="s">
        <v>1652</v>
      </c>
      <c r="J69" s="57"/>
      <c r="K69" s="1062"/>
      <c r="L69" s="57"/>
      <c r="M69" s="70"/>
      <c r="N69" s="70"/>
      <c r="O69" s="70"/>
    </row>
    <row r="70" spans="1:15" ht="18.75" thickBot="1">
      <c r="A70" s="288"/>
      <c r="B70" s="1141"/>
      <c r="C70" s="43" t="s">
        <v>329</v>
      </c>
      <c r="D70" s="176"/>
      <c r="E70" s="25"/>
      <c r="F70" s="25"/>
      <c r="G70" s="25"/>
      <c r="H70" s="1144"/>
      <c r="I70" s="72" t="s">
        <v>329</v>
      </c>
      <c r="J70" s="613"/>
      <c r="K70" s="685"/>
      <c r="L70" s="57"/>
      <c r="M70" s="70"/>
      <c r="N70" s="70"/>
      <c r="O70" s="70"/>
    </row>
    <row r="71" spans="1:15" ht="18">
      <c r="A71" s="288"/>
      <c r="B71" s="1141" t="s">
        <v>160</v>
      </c>
      <c r="C71" s="582">
        <v>8222146636</v>
      </c>
      <c r="D71" s="176"/>
      <c r="E71" s="25"/>
      <c r="F71" s="25"/>
      <c r="G71" s="25"/>
      <c r="H71" s="1133"/>
      <c r="I71" s="73"/>
      <c r="J71" s="43"/>
      <c r="K71" s="57"/>
      <c r="L71" s="57"/>
      <c r="M71" s="70"/>
      <c r="N71" s="70"/>
      <c r="O71" s="70"/>
    </row>
    <row r="72" spans="1:15" ht="18.75" thickBot="1">
      <c r="A72" s="288"/>
      <c r="B72" s="1134" t="s">
        <v>1061</v>
      </c>
      <c r="C72" s="113" t="s">
        <v>1097</v>
      </c>
      <c r="D72" s="177"/>
      <c r="E72" s="25"/>
      <c r="F72" s="25"/>
      <c r="G72" s="25"/>
      <c r="H72" s="43"/>
      <c r="I72" s="73"/>
      <c r="J72" s="43"/>
      <c r="K72" s="57"/>
      <c r="L72" s="57"/>
      <c r="M72" s="70"/>
      <c r="N72" s="70"/>
      <c r="O72" s="70"/>
    </row>
    <row r="73" spans="1:15" ht="18.75" thickBot="1">
      <c r="A73" s="288"/>
      <c r="B73" s="57"/>
      <c r="C73" s="57"/>
      <c r="D73" s="57"/>
      <c r="E73" s="437"/>
      <c r="F73" s="57"/>
      <c r="G73" s="66"/>
      <c r="H73" s="57"/>
      <c r="I73" s="57"/>
      <c r="J73" s="1111"/>
      <c r="K73" s="58"/>
      <c r="L73" s="57"/>
      <c r="M73" s="70"/>
      <c r="N73" s="70"/>
      <c r="O73" s="70"/>
    </row>
    <row r="74" spans="1:15" ht="33" customHeight="1">
      <c r="A74" s="1670" t="s">
        <v>6</v>
      </c>
      <c r="B74" s="1673" t="s">
        <v>633</v>
      </c>
      <c r="C74" s="1676" t="s">
        <v>8</v>
      </c>
      <c r="D74" s="1676" t="s">
        <v>9</v>
      </c>
      <c r="E74" s="1656" t="s">
        <v>634</v>
      </c>
      <c r="F74" s="1656" t="s">
        <v>11</v>
      </c>
      <c r="G74" s="1676" t="s">
        <v>12</v>
      </c>
      <c r="H74" s="1656" t="s">
        <v>269</v>
      </c>
      <c r="I74" s="1656" t="s">
        <v>13</v>
      </c>
      <c r="J74" s="1656" t="s">
        <v>59</v>
      </c>
      <c r="K74" s="1665" t="s">
        <v>635</v>
      </c>
      <c r="L74" s="1725" t="s">
        <v>636</v>
      </c>
      <c r="M74" s="1719"/>
      <c r="N74" s="1719"/>
      <c r="O74" s="1726"/>
    </row>
    <row r="75" spans="1:15" ht="33" customHeight="1">
      <c r="A75" s="1671"/>
      <c r="B75" s="1674"/>
      <c r="C75" s="1677"/>
      <c r="D75" s="1677"/>
      <c r="E75" s="1657"/>
      <c r="F75" s="1657"/>
      <c r="G75" s="1677"/>
      <c r="H75" s="1657"/>
      <c r="I75" s="1657"/>
      <c r="J75" s="1657"/>
      <c r="K75" s="1666"/>
      <c r="L75" s="1679" t="s">
        <v>637</v>
      </c>
      <c r="M75" s="1654"/>
      <c r="N75" s="1654"/>
      <c r="O75" s="1680"/>
    </row>
    <row r="76" spans="1:15" ht="27" customHeight="1" thickBot="1">
      <c r="A76" s="1672"/>
      <c r="B76" s="1675"/>
      <c r="C76" s="1678"/>
      <c r="D76" s="1678"/>
      <c r="E76" s="1658"/>
      <c r="F76" s="1658"/>
      <c r="G76" s="1678"/>
      <c r="H76" s="1658"/>
      <c r="I76" s="1658"/>
      <c r="J76" s="1658"/>
      <c r="K76" s="1667"/>
      <c r="L76" s="263" t="s">
        <v>638</v>
      </c>
      <c r="M76" s="270" t="s">
        <v>639</v>
      </c>
      <c r="N76" s="270" t="s">
        <v>640</v>
      </c>
      <c r="O76" s="265" t="s">
        <v>16</v>
      </c>
    </row>
    <row r="77" spans="1:15" ht="30" thickBot="1">
      <c r="A77" s="575" t="s">
        <v>26</v>
      </c>
      <c r="B77" s="3" t="s">
        <v>154</v>
      </c>
      <c r="C77" s="4" t="s">
        <v>342</v>
      </c>
      <c r="D77" s="4"/>
      <c r="E77" s="181"/>
      <c r="F77" s="4" t="s">
        <v>312</v>
      </c>
      <c r="G77" s="3" t="s">
        <v>311</v>
      </c>
      <c r="H77" s="20">
        <v>70903499</v>
      </c>
      <c r="I77" s="771" t="s">
        <v>343</v>
      </c>
      <c r="J77" s="1135" t="s">
        <v>65</v>
      </c>
      <c r="K77" s="745">
        <v>14</v>
      </c>
      <c r="L77" s="30"/>
      <c r="M77" s="32">
        <f>62924-54071</f>
        <v>8853</v>
      </c>
      <c r="N77" s="32">
        <f>135586-118097</f>
        <v>17489</v>
      </c>
      <c r="O77" s="32">
        <f>SUM(M77:N77)</f>
        <v>26342</v>
      </c>
    </row>
    <row r="78" spans="1:15" ht="45">
      <c r="B78" s="1361" t="s">
        <v>22</v>
      </c>
      <c r="C78" s="121" t="s">
        <v>363</v>
      </c>
      <c r="D78" s="648"/>
      <c r="E78" s="25"/>
      <c r="F78" s="25"/>
      <c r="G78" s="25"/>
      <c r="H78" s="1622" t="s">
        <v>1920</v>
      </c>
      <c r="I78" s="87" t="s">
        <v>1653</v>
      </c>
      <c r="J78" s="612"/>
      <c r="K78" s="1128"/>
      <c r="M78" s="1"/>
      <c r="N78" s="32" t="s">
        <v>23</v>
      </c>
      <c r="O78" s="556">
        <f>SUM(O77)</f>
        <v>26342</v>
      </c>
    </row>
    <row r="79" spans="1:15" ht="18">
      <c r="A79" s="288"/>
      <c r="B79" s="1141"/>
      <c r="C79" s="43" t="s">
        <v>330</v>
      </c>
      <c r="D79" s="176"/>
      <c r="E79" s="43"/>
      <c r="F79" s="43"/>
      <c r="G79" s="57"/>
      <c r="H79" s="1140"/>
      <c r="I79" s="73" t="s">
        <v>1654</v>
      </c>
      <c r="J79" s="57"/>
      <c r="K79" s="1143"/>
      <c r="L79" s="57"/>
      <c r="M79" s="70"/>
      <c r="N79" s="70"/>
      <c r="O79" s="70"/>
    </row>
    <row r="80" spans="1:15" ht="18.75" thickBot="1">
      <c r="A80" s="288"/>
      <c r="B80" s="1141"/>
      <c r="C80" s="43" t="s">
        <v>329</v>
      </c>
      <c r="D80" s="176"/>
      <c r="E80" s="43"/>
      <c r="F80" s="43"/>
      <c r="G80" s="57"/>
      <c r="H80" s="1144"/>
      <c r="I80" s="72" t="s">
        <v>329</v>
      </c>
      <c r="J80" s="613"/>
      <c r="K80" s="1145"/>
      <c r="L80" s="57"/>
      <c r="M80" s="70"/>
      <c r="N80" s="70"/>
      <c r="O80" s="70"/>
    </row>
    <row r="81" spans="1:15" ht="15">
      <c r="A81" s="25"/>
      <c r="B81" s="1141" t="s">
        <v>160</v>
      </c>
      <c r="C81" s="582">
        <v>8222146636</v>
      </c>
      <c r="D81" s="176"/>
      <c r="E81" s="43"/>
      <c r="F81" s="43"/>
      <c r="G81" s="57"/>
      <c r="H81" s="1133"/>
      <c r="I81" s="73"/>
      <c r="J81" s="43"/>
      <c r="K81" s="58"/>
      <c r="L81" s="25"/>
    </row>
    <row r="82" spans="1:15" ht="15.75" thickBot="1">
      <c r="B82" s="1134" t="s">
        <v>1061</v>
      </c>
      <c r="C82" s="113" t="s">
        <v>1097</v>
      </c>
      <c r="D82" s="177"/>
      <c r="E82" s="43"/>
      <c r="F82" s="43"/>
      <c r="G82" s="57"/>
      <c r="H82" s="43"/>
      <c r="I82" s="73"/>
      <c r="J82" s="43"/>
      <c r="K82" s="58"/>
    </row>
    <row r="83" spans="1:15" ht="15">
      <c r="B83" s="577"/>
      <c r="C83" s="14"/>
      <c r="D83" s="54"/>
      <c r="E83" s="54"/>
      <c r="F83" s="54"/>
    </row>
    <row r="84" spans="1:15" ht="15" thickBot="1"/>
    <row r="85" spans="1:15" ht="39.75" customHeight="1">
      <c r="A85" s="1670" t="s">
        <v>6</v>
      </c>
      <c r="B85" s="1673" t="s">
        <v>633</v>
      </c>
      <c r="C85" s="1676" t="s">
        <v>8</v>
      </c>
      <c r="D85" s="1676" t="s">
        <v>9</v>
      </c>
      <c r="E85" s="1656" t="s">
        <v>634</v>
      </c>
      <c r="F85" s="1656" t="s">
        <v>11</v>
      </c>
      <c r="G85" s="1676" t="s">
        <v>12</v>
      </c>
      <c r="H85" s="1656" t="s">
        <v>269</v>
      </c>
      <c r="I85" s="1656" t="s">
        <v>13</v>
      </c>
      <c r="J85" s="1656" t="s">
        <v>59</v>
      </c>
      <c r="K85" s="1665" t="s">
        <v>635</v>
      </c>
      <c r="L85" s="1725" t="s">
        <v>636</v>
      </c>
      <c r="M85" s="1719"/>
      <c r="N85" s="1719"/>
      <c r="O85" s="1726"/>
    </row>
    <row r="86" spans="1:15" ht="30" customHeight="1">
      <c r="A86" s="1671"/>
      <c r="B86" s="1674"/>
      <c r="C86" s="1677"/>
      <c r="D86" s="1677"/>
      <c r="E86" s="1657"/>
      <c r="F86" s="1657"/>
      <c r="G86" s="1677"/>
      <c r="H86" s="1657"/>
      <c r="I86" s="1657"/>
      <c r="J86" s="1657"/>
      <c r="K86" s="1666"/>
      <c r="L86" s="1679" t="s">
        <v>637</v>
      </c>
      <c r="M86" s="1654"/>
      <c r="N86" s="1654"/>
      <c r="O86" s="1680"/>
    </row>
    <row r="87" spans="1:15" ht="28.5" customHeight="1" thickBot="1">
      <c r="A87" s="1672"/>
      <c r="B87" s="1675"/>
      <c r="C87" s="1678"/>
      <c r="D87" s="1678"/>
      <c r="E87" s="1658"/>
      <c r="F87" s="1658"/>
      <c r="G87" s="1678"/>
      <c r="H87" s="1658"/>
      <c r="I87" s="1658"/>
      <c r="J87" s="1658"/>
      <c r="K87" s="1667"/>
      <c r="L87" s="263" t="s">
        <v>638</v>
      </c>
      <c r="M87" s="270" t="s">
        <v>639</v>
      </c>
      <c r="N87" s="270" t="s">
        <v>640</v>
      </c>
      <c r="O87" s="265" t="s">
        <v>16</v>
      </c>
    </row>
    <row r="88" spans="1:15" ht="18">
      <c r="A88" s="575" t="s">
        <v>26</v>
      </c>
      <c r="B88" s="4" t="s">
        <v>184</v>
      </c>
      <c r="C88" s="4" t="s">
        <v>339</v>
      </c>
      <c r="D88" s="4"/>
      <c r="E88" s="112"/>
      <c r="F88" s="4" t="s">
        <v>312</v>
      </c>
      <c r="G88" s="3" t="s">
        <v>311</v>
      </c>
      <c r="H88" s="22">
        <v>90695879</v>
      </c>
      <c r="I88" s="695" t="s">
        <v>345</v>
      </c>
      <c r="J88" s="85" t="s">
        <v>65</v>
      </c>
      <c r="K88" s="8">
        <v>6</v>
      </c>
      <c r="L88" s="30"/>
      <c r="M88" s="32">
        <f>1745-600</f>
        <v>1145</v>
      </c>
      <c r="N88" s="32">
        <f>4720-1243</f>
        <v>3477</v>
      </c>
      <c r="O88" s="32">
        <f>SUM(M88:N88)</f>
        <v>4622</v>
      </c>
    </row>
    <row r="89" spans="1:15" ht="17.25" customHeight="1">
      <c r="A89" s="575" t="s">
        <v>26</v>
      </c>
      <c r="B89" s="4" t="s">
        <v>184</v>
      </c>
      <c r="C89" s="4" t="s">
        <v>342</v>
      </c>
      <c r="D89" s="4"/>
      <c r="E89" s="181"/>
      <c r="F89" s="4" t="s">
        <v>312</v>
      </c>
      <c r="G89" s="3" t="s">
        <v>311</v>
      </c>
      <c r="H89" s="22">
        <v>70850724</v>
      </c>
      <c r="I89" s="695" t="s">
        <v>346</v>
      </c>
      <c r="J89" s="85" t="s">
        <v>65</v>
      </c>
      <c r="K89" s="8">
        <v>11</v>
      </c>
      <c r="L89" s="30"/>
      <c r="M89" s="32">
        <f>8431-4332</f>
        <v>4099</v>
      </c>
      <c r="N89" s="32">
        <f>20156-10556</f>
        <v>9600</v>
      </c>
      <c r="O89" s="32">
        <f t="shared" ref="O89:O96" si="0">SUM(M89:N89)</f>
        <v>13699</v>
      </c>
    </row>
    <row r="90" spans="1:15" ht="36" customHeight="1">
      <c r="A90" s="575" t="s">
        <v>26</v>
      </c>
      <c r="B90" s="4" t="s">
        <v>347</v>
      </c>
      <c r="C90" s="4" t="s">
        <v>337</v>
      </c>
      <c r="D90" s="4"/>
      <c r="E90" s="181"/>
      <c r="F90" s="195" t="s">
        <v>20</v>
      </c>
      <c r="G90" s="196" t="s">
        <v>18</v>
      </c>
      <c r="H90" s="22">
        <v>70850677</v>
      </c>
      <c r="I90" s="695" t="s">
        <v>348</v>
      </c>
      <c r="J90" s="85" t="s">
        <v>65</v>
      </c>
      <c r="K90" s="8">
        <v>5</v>
      </c>
      <c r="L90" s="30"/>
      <c r="M90" s="32">
        <f>11344-9426</f>
        <v>1918</v>
      </c>
      <c r="N90" s="32">
        <f>30895-25430</f>
        <v>5465</v>
      </c>
      <c r="O90" s="32">
        <f t="shared" si="0"/>
        <v>7383</v>
      </c>
    </row>
    <row r="91" spans="1:15" ht="36" customHeight="1">
      <c r="A91" s="575" t="s">
        <v>26</v>
      </c>
      <c r="B91" s="4" t="s">
        <v>184</v>
      </c>
      <c r="C91" s="4" t="s">
        <v>349</v>
      </c>
      <c r="D91" s="4"/>
      <c r="E91" s="181">
        <v>23</v>
      </c>
      <c r="F91" s="4" t="s">
        <v>20</v>
      </c>
      <c r="G91" s="3" t="s">
        <v>18</v>
      </c>
      <c r="H91" s="22">
        <v>70851269</v>
      </c>
      <c r="I91" s="695" t="s">
        <v>350</v>
      </c>
      <c r="J91" s="85" t="s">
        <v>65</v>
      </c>
      <c r="K91" s="8">
        <v>8</v>
      </c>
      <c r="L91" s="30"/>
      <c r="M91" s="32">
        <f>995-555</f>
        <v>440</v>
      </c>
      <c r="N91" s="32">
        <f>1715-875</f>
        <v>840</v>
      </c>
      <c r="O91" s="32">
        <f t="shared" si="0"/>
        <v>1280</v>
      </c>
    </row>
    <row r="92" spans="1:15" ht="18">
      <c r="A92" s="575" t="s">
        <v>26</v>
      </c>
      <c r="B92" s="22" t="s">
        <v>351</v>
      </c>
      <c r="C92" s="4" t="s">
        <v>311</v>
      </c>
      <c r="D92" s="4" t="s">
        <v>332</v>
      </c>
      <c r="E92" s="181">
        <v>17</v>
      </c>
      <c r="F92" s="4" t="s">
        <v>312</v>
      </c>
      <c r="G92" s="3" t="s">
        <v>352</v>
      </c>
      <c r="H92" s="22">
        <v>70903537</v>
      </c>
      <c r="I92" s="695" t="s">
        <v>353</v>
      </c>
      <c r="J92" s="85" t="s">
        <v>65</v>
      </c>
      <c r="K92" s="8">
        <v>15</v>
      </c>
      <c r="L92" s="30"/>
      <c r="M92" s="32">
        <f>7534-1846</f>
        <v>5688</v>
      </c>
      <c r="N92" s="32">
        <f>18952-5516</f>
        <v>13436</v>
      </c>
      <c r="O92" s="32">
        <f t="shared" si="0"/>
        <v>19124</v>
      </c>
    </row>
    <row r="93" spans="1:15" ht="29.25">
      <c r="A93" s="575" t="s">
        <v>26</v>
      </c>
      <c r="B93" s="22" t="s">
        <v>354</v>
      </c>
      <c r="C93" s="3" t="s">
        <v>355</v>
      </c>
      <c r="D93" s="4"/>
      <c r="E93" s="181"/>
      <c r="F93" s="4" t="s">
        <v>20</v>
      </c>
      <c r="G93" s="3" t="s">
        <v>18</v>
      </c>
      <c r="H93" s="22">
        <v>70487751</v>
      </c>
      <c r="I93" s="695" t="s">
        <v>356</v>
      </c>
      <c r="J93" s="85" t="s">
        <v>65</v>
      </c>
      <c r="K93" s="8">
        <v>2</v>
      </c>
      <c r="L93" s="30"/>
      <c r="M93" s="32">
        <f>1730-1426</f>
        <v>304</v>
      </c>
      <c r="N93" s="32">
        <f>722-644</f>
        <v>78</v>
      </c>
      <c r="O93" s="32">
        <f t="shared" si="0"/>
        <v>382</v>
      </c>
    </row>
    <row r="94" spans="1:15" ht="18">
      <c r="A94" s="575" t="s">
        <v>26</v>
      </c>
      <c r="B94" s="22"/>
      <c r="C94" s="4" t="s">
        <v>357</v>
      </c>
      <c r="D94" s="4"/>
      <c r="E94" s="181">
        <v>72</v>
      </c>
      <c r="F94" s="4" t="s">
        <v>312</v>
      </c>
      <c r="G94" s="3" t="s">
        <v>311</v>
      </c>
      <c r="H94" s="22">
        <v>70850675</v>
      </c>
      <c r="I94" s="695" t="s">
        <v>358</v>
      </c>
      <c r="J94" s="85" t="s">
        <v>65</v>
      </c>
      <c r="K94" s="8">
        <v>6.6</v>
      </c>
      <c r="L94" s="30"/>
      <c r="M94" s="32">
        <f>755-636</f>
        <v>119</v>
      </c>
      <c r="N94" s="32">
        <f>1804-1577</f>
        <v>227</v>
      </c>
      <c r="O94" s="32">
        <f t="shared" si="0"/>
        <v>346</v>
      </c>
    </row>
    <row r="95" spans="1:15" ht="18">
      <c r="A95" s="575" t="s">
        <v>26</v>
      </c>
      <c r="B95" s="22" t="s">
        <v>359</v>
      </c>
      <c r="C95" s="4" t="s">
        <v>311</v>
      </c>
      <c r="D95" s="4" t="s">
        <v>284</v>
      </c>
      <c r="E95" s="181">
        <v>3</v>
      </c>
      <c r="F95" s="4" t="s">
        <v>312</v>
      </c>
      <c r="G95" s="3" t="s">
        <v>311</v>
      </c>
      <c r="H95" s="22">
        <v>71875444</v>
      </c>
      <c r="I95" s="695" t="s">
        <v>360</v>
      </c>
      <c r="J95" s="85" t="s">
        <v>65</v>
      </c>
      <c r="K95" s="8">
        <v>20</v>
      </c>
      <c r="L95" s="30"/>
      <c r="M95" s="32">
        <f>50526-33105</f>
        <v>17421</v>
      </c>
      <c r="N95" s="32">
        <f>125403-80812</f>
        <v>44591</v>
      </c>
      <c r="O95" s="32">
        <f t="shared" si="0"/>
        <v>62012</v>
      </c>
    </row>
    <row r="96" spans="1:15" ht="18">
      <c r="A96" s="575" t="s">
        <v>26</v>
      </c>
      <c r="B96" s="4" t="s">
        <v>361</v>
      </c>
      <c r="C96" s="4" t="s">
        <v>311</v>
      </c>
      <c r="D96" s="4" t="s">
        <v>284</v>
      </c>
      <c r="E96" s="181">
        <v>1</v>
      </c>
      <c r="F96" s="4" t="s">
        <v>312</v>
      </c>
      <c r="G96" s="4" t="s">
        <v>311</v>
      </c>
      <c r="H96" s="22">
        <v>70544881</v>
      </c>
      <c r="I96" s="695" t="s">
        <v>362</v>
      </c>
      <c r="J96" s="85" t="s">
        <v>65</v>
      </c>
      <c r="K96" s="8">
        <v>20</v>
      </c>
      <c r="L96" s="30"/>
      <c r="M96" s="32">
        <f>30682-27181</f>
        <v>3501</v>
      </c>
      <c r="N96" s="32">
        <f>99940-92124</f>
        <v>7816</v>
      </c>
      <c r="O96" s="32">
        <f t="shared" si="0"/>
        <v>11317</v>
      </c>
    </row>
    <row r="97" spans="1:15" ht="29.25">
      <c r="A97" s="575" t="s">
        <v>26</v>
      </c>
      <c r="B97" s="598" t="s">
        <v>363</v>
      </c>
      <c r="C97" s="599" t="s">
        <v>311</v>
      </c>
      <c r="D97" s="600" t="s">
        <v>54</v>
      </c>
      <c r="E97" s="416" t="s">
        <v>747</v>
      </c>
      <c r="F97" s="415" t="s">
        <v>312</v>
      </c>
      <c r="G97" s="415" t="s">
        <v>311</v>
      </c>
      <c r="H97" s="480">
        <v>991789</v>
      </c>
      <c r="I97" s="925" t="s">
        <v>1096</v>
      </c>
      <c r="J97" s="481" t="s">
        <v>21</v>
      </c>
      <c r="K97" s="415">
        <v>65</v>
      </c>
      <c r="L97" s="252">
        <f>(11643.97-8418.13)*20</f>
        <v>64516.800000000003</v>
      </c>
      <c r="M97" s="417"/>
      <c r="N97" s="417"/>
      <c r="O97" s="418">
        <f>L97</f>
        <v>64516.800000000003</v>
      </c>
    </row>
    <row r="98" spans="1:15" ht="30" thickBot="1">
      <c r="A98" s="575" t="s">
        <v>26</v>
      </c>
      <c r="B98" s="576" t="s">
        <v>228</v>
      </c>
      <c r="C98" s="707" t="s">
        <v>1195</v>
      </c>
      <c r="D98" s="707"/>
      <c r="E98" s="708">
        <v>75</v>
      </c>
      <c r="F98" s="707" t="s">
        <v>20</v>
      </c>
      <c r="G98" s="576" t="s">
        <v>18</v>
      </c>
      <c r="H98" s="707">
        <v>350301</v>
      </c>
      <c r="I98" s="925" t="s">
        <v>1439</v>
      </c>
      <c r="J98" s="813" t="s">
        <v>28</v>
      </c>
      <c r="K98" s="709">
        <v>1</v>
      </c>
      <c r="L98" s="32">
        <f>88036-87695</f>
        <v>341</v>
      </c>
      <c r="M98" s="33"/>
      <c r="N98" s="33"/>
      <c r="O98" s="32">
        <f>L98</f>
        <v>341</v>
      </c>
    </row>
    <row r="99" spans="1:15" ht="45">
      <c r="B99" s="1361" t="s">
        <v>22</v>
      </c>
      <c r="C99" s="121" t="s">
        <v>363</v>
      </c>
      <c r="D99" s="648"/>
      <c r="H99" s="1622" t="s">
        <v>1920</v>
      </c>
      <c r="I99" s="12" t="s">
        <v>363</v>
      </c>
      <c r="N99" s="32" t="s">
        <v>23</v>
      </c>
      <c r="O99" s="556">
        <f>SUM(O88:O98)</f>
        <v>185022.8</v>
      </c>
    </row>
    <row r="100" spans="1:15" ht="15">
      <c r="B100" s="1141"/>
      <c r="C100" s="43" t="s">
        <v>330</v>
      </c>
      <c r="D100" s="176"/>
      <c r="H100" s="185"/>
      <c r="I100" s="15" t="s">
        <v>330</v>
      </c>
    </row>
    <row r="101" spans="1:15" ht="15.75" thickBot="1">
      <c r="B101" s="1141"/>
      <c r="C101" s="43" t="s">
        <v>329</v>
      </c>
      <c r="D101" s="176"/>
      <c r="H101" s="188"/>
      <c r="I101" s="18" t="s">
        <v>329</v>
      </c>
    </row>
    <row r="102" spans="1:15" ht="15">
      <c r="B102" s="1141" t="s">
        <v>160</v>
      </c>
      <c r="C102" s="582">
        <v>8222146636</v>
      </c>
      <c r="D102" s="176"/>
    </row>
    <row r="103" spans="1:15" ht="15.75" thickBot="1">
      <c r="B103" s="1134" t="s">
        <v>1061</v>
      </c>
      <c r="C103" s="113" t="s">
        <v>1097</v>
      </c>
      <c r="D103" s="177"/>
    </row>
    <row r="104" spans="1:15" ht="15">
      <c r="B104" s="14"/>
      <c r="C104" s="14"/>
      <c r="D104" s="14"/>
    </row>
    <row r="105" spans="1:15" ht="18.75" thickBot="1">
      <c r="B105" s="1752" t="s">
        <v>648</v>
      </c>
      <c r="C105" s="1752"/>
      <c r="D105" s="1752"/>
      <c r="E105" s="1752"/>
      <c r="F105" s="1752"/>
      <c r="G105" s="1752"/>
      <c r="H105" s="1752"/>
    </row>
    <row r="106" spans="1:15" ht="43.5" customHeight="1">
      <c r="A106" s="1670" t="s">
        <v>6</v>
      </c>
      <c r="B106" s="1673" t="s">
        <v>633</v>
      </c>
      <c r="C106" s="1676" t="s">
        <v>8</v>
      </c>
      <c r="D106" s="1676" t="s">
        <v>9</v>
      </c>
      <c r="E106" s="1656" t="s">
        <v>634</v>
      </c>
      <c r="F106" s="1656" t="s">
        <v>11</v>
      </c>
      <c r="G106" s="1676" t="s">
        <v>12</v>
      </c>
      <c r="H106" s="1656" t="s">
        <v>269</v>
      </c>
      <c r="I106" s="1656" t="s">
        <v>13</v>
      </c>
      <c r="J106" s="1656" t="s">
        <v>59</v>
      </c>
      <c r="K106" s="1665" t="s">
        <v>635</v>
      </c>
      <c r="L106" s="1725" t="s">
        <v>636</v>
      </c>
      <c r="M106" s="1719"/>
      <c r="N106" s="1719"/>
      <c r="O106" s="1726"/>
    </row>
    <row r="107" spans="1:15" ht="30" customHeight="1">
      <c r="A107" s="1671"/>
      <c r="B107" s="1674"/>
      <c r="C107" s="1677"/>
      <c r="D107" s="1677"/>
      <c r="E107" s="1657"/>
      <c r="F107" s="1657"/>
      <c r="G107" s="1677"/>
      <c r="H107" s="1657"/>
      <c r="I107" s="1657"/>
      <c r="J107" s="1657"/>
      <c r="K107" s="1666"/>
      <c r="L107" s="1679" t="s">
        <v>637</v>
      </c>
      <c r="M107" s="1654"/>
      <c r="N107" s="1654"/>
      <c r="O107" s="1680"/>
    </row>
    <row r="108" spans="1:15" ht="28.5" customHeight="1" thickBot="1">
      <c r="A108" s="1672"/>
      <c r="B108" s="1675"/>
      <c r="C108" s="1678"/>
      <c r="D108" s="1678"/>
      <c r="E108" s="1658"/>
      <c r="F108" s="1658"/>
      <c r="G108" s="1678"/>
      <c r="H108" s="1658"/>
      <c r="I108" s="1658"/>
      <c r="J108" s="1658"/>
      <c r="K108" s="1667"/>
      <c r="L108" s="467" t="s">
        <v>638</v>
      </c>
      <c r="M108" s="468" t="s">
        <v>639</v>
      </c>
      <c r="N108" s="468" t="s">
        <v>640</v>
      </c>
      <c r="O108" s="466" t="s">
        <v>16</v>
      </c>
    </row>
    <row r="109" spans="1:15" ht="75" customHeight="1">
      <c r="A109" s="601" t="s">
        <v>26</v>
      </c>
      <c r="B109" s="9" t="s">
        <v>1743</v>
      </c>
      <c r="C109" s="182" t="s">
        <v>311</v>
      </c>
      <c r="D109" s="182" t="s">
        <v>773</v>
      </c>
      <c r="E109" s="521">
        <v>3</v>
      </c>
      <c r="F109" s="182" t="s">
        <v>312</v>
      </c>
      <c r="G109" s="182" t="s">
        <v>311</v>
      </c>
      <c r="H109" s="104">
        <v>1250701</v>
      </c>
      <c r="I109" s="710" t="s">
        <v>1028</v>
      </c>
      <c r="J109" s="538" t="s">
        <v>70</v>
      </c>
      <c r="K109" s="267">
        <v>80</v>
      </c>
      <c r="L109" s="482"/>
      <c r="M109" s="268">
        <f>(4751.994-2586.253)*30</f>
        <v>64972.229999999989</v>
      </c>
      <c r="N109" s="268">
        <f>(13525.554-7437.752)*30</f>
        <v>182634.06</v>
      </c>
      <c r="O109" s="268">
        <f>M109+N109</f>
        <v>247606.28999999998</v>
      </c>
    </row>
    <row r="110" spans="1:15" ht="74.25" customHeight="1" thickBot="1">
      <c r="A110" s="575" t="s">
        <v>26</v>
      </c>
      <c r="B110" s="9" t="s">
        <v>1744</v>
      </c>
      <c r="C110" s="6" t="s">
        <v>311</v>
      </c>
      <c r="D110" s="6" t="s">
        <v>773</v>
      </c>
      <c r="E110" s="183">
        <v>1</v>
      </c>
      <c r="F110" s="4" t="s">
        <v>312</v>
      </c>
      <c r="G110" s="4" t="s">
        <v>311</v>
      </c>
      <c r="H110" s="22">
        <v>88005806</v>
      </c>
      <c r="I110" s="695" t="s">
        <v>1029</v>
      </c>
      <c r="J110" s="29" t="s">
        <v>65</v>
      </c>
      <c r="K110" s="8">
        <v>35</v>
      </c>
      <c r="L110" s="30"/>
      <c r="M110" s="32">
        <f>141*20</f>
        <v>2820</v>
      </c>
      <c r="N110" s="197">
        <f>695*20</f>
        <v>13900</v>
      </c>
      <c r="O110" s="32">
        <f>M110+N110</f>
        <v>16720</v>
      </c>
    </row>
    <row r="111" spans="1:15" ht="45">
      <c r="B111" s="1361" t="s">
        <v>22</v>
      </c>
      <c r="C111" s="121" t="s">
        <v>363</v>
      </c>
      <c r="D111" s="648"/>
      <c r="E111" s="25"/>
      <c r="F111" s="25"/>
      <c r="G111" s="25"/>
      <c r="H111" s="1622" t="s">
        <v>1920</v>
      </c>
      <c r="I111" s="184" t="s">
        <v>1200</v>
      </c>
      <c r="J111" s="1136"/>
      <c r="N111" s="32" t="s">
        <v>23</v>
      </c>
      <c r="O111" s="556">
        <f>SUM(O109:O110)</f>
        <v>264326.28999999998</v>
      </c>
    </row>
    <row r="112" spans="1:15" ht="15.75">
      <c r="B112" s="1141"/>
      <c r="C112" s="43" t="s">
        <v>330</v>
      </c>
      <c r="D112" s="176"/>
      <c r="E112" s="25"/>
      <c r="F112" s="25"/>
      <c r="G112" s="25"/>
      <c r="H112" s="1129"/>
      <c r="I112" s="186" t="s">
        <v>329</v>
      </c>
      <c r="J112" s="1137"/>
    </row>
    <row r="113" spans="1:21" ht="16.5" thickBot="1">
      <c r="B113" s="1141"/>
      <c r="C113" s="43" t="s">
        <v>329</v>
      </c>
      <c r="D113" s="176"/>
      <c r="E113" s="25"/>
      <c r="F113" s="25"/>
      <c r="G113" s="25"/>
      <c r="H113" s="1138"/>
      <c r="I113" s="189" t="s">
        <v>775</v>
      </c>
      <c r="J113" s="1139"/>
    </row>
    <row r="114" spans="1:21" ht="15">
      <c r="B114" s="1141" t="s">
        <v>160</v>
      </c>
      <c r="C114" s="582">
        <v>8222146636</v>
      </c>
      <c r="D114" s="176"/>
      <c r="E114" s="57"/>
      <c r="F114" s="57"/>
      <c r="G114" s="25"/>
      <c r="H114" s="25"/>
      <c r="M114" s="1"/>
    </row>
    <row r="115" spans="1:21" ht="15.75" thickBot="1">
      <c r="B115" s="1134" t="s">
        <v>1061</v>
      </c>
      <c r="C115" s="113" t="s">
        <v>1097</v>
      </c>
      <c r="D115" s="177"/>
      <c r="E115" s="57"/>
      <c r="F115" s="57"/>
      <c r="G115" s="25"/>
      <c r="H115" s="25"/>
    </row>
    <row r="116" spans="1:21" ht="15.75" thickBot="1">
      <c r="B116" s="1133"/>
      <c r="C116" s="43"/>
      <c r="D116" s="43"/>
      <c r="E116" s="57"/>
      <c r="F116" s="57"/>
      <c r="G116" s="25"/>
      <c r="H116" s="25"/>
    </row>
    <row r="117" spans="1:21" ht="38.25" customHeight="1">
      <c r="A117" s="1662" t="s">
        <v>6</v>
      </c>
      <c r="B117" s="1656" t="s">
        <v>7</v>
      </c>
      <c r="C117" s="1656" t="s">
        <v>8</v>
      </c>
      <c r="D117" s="1656" t="s">
        <v>9</v>
      </c>
      <c r="E117" s="1656" t="s">
        <v>10</v>
      </c>
      <c r="F117" s="1656" t="s">
        <v>11</v>
      </c>
      <c r="G117" s="1656" t="s">
        <v>12</v>
      </c>
      <c r="H117" s="1656" t="s">
        <v>14</v>
      </c>
      <c r="I117" s="1656" t="s">
        <v>269</v>
      </c>
      <c r="J117" s="1656" t="s">
        <v>59</v>
      </c>
      <c r="K117" s="1659" t="s">
        <v>15</v>
      </c>
      <c r="L117" s="1650" t="s">
        <v>641</v>
      </c>
      <c r="M117" s="1650"/>
      <c r="N117" s="1650"/>
      <c r="O117" s="1650"/>
      <c r="P117" s="1650" t="s">
        <v>642</v>
      </c>
      <c r="Q117" s="1650"/>
      <c r="R117" s="1650"/>
      <c r="S117" s="1650"/>
      <c r="T117" s="1695" t="s">
        <v>1175</v>
      </c>
      <c r="U117" s="1651" t="s">
        <v>1127</v>
      </c>
    </row>
    <row r="118" spans="1:21" ht="38.25" customHeight="1">
      <c r="A118" s="1663"/>
      <c r="B118" s="1657"/>
      <c r="C118" s="1657"/>
      <c r="D118" s="1657"/>
      <c r="E118" s="1657"/>
      <c r="F118" s="1657"/>
      <c r="G118" s="1657"/>
      <c r="H118" s="1657"/>
      <c r="I118" s="1657"/>
      <c r="J118" s="1657"/>
      <c r="K118" s="1660"/>
      <c r="L118" s="1654" t="s">
        <v>638</v>
      </c>
      <c r="M118" s="1654" t="s">
        <v>639</v>
      </c>
      <c r="N118" s="1654" t="s">
        <v>640</v>
      </c>
      <c r="O118" s="1654" t="s">
        <v>643</v>
      </c>
      <c r="P118" s="1654" t="s">
        <v>638</v>
      </c>
      <c r="Q118" s="1654" t="s">
        <v>639</v>
      </c>
      <c r="R118" s="1654" t="s">
        <v>640</v>
      </c>
      <c r="S118" s="1654" t="s">
        <v>643</v>
      </c>
      <c r="T118" s="1696"/>
      <c r="U118" s="1652"/>
    </row>
    <row r="119" spans="1:21" ht="38.25" customHeight="1">
      <c r="A119" s="1663"/>
      <c r="B119" s="1657"/>
      <c r="C119" s="1657"/>
      <c r="D119" s="1657"/>
      <c r="E119" s="1657"/>
      <c r="F119" s="1657"/>
      <c r="G119" s="1657"/>
      <c r="H119" s="1657"/>
      <c r="I119" s="1657"/>
      <c r="J119" s="1657"/>
      <c r="K119" s="1660"/>
      <c r="L119" s="1654"/>
      <c r="M119" s="1654"/>
      <c r="N119" s="1654"/>
      <c r="O119" s="1654"/>
      <c r="P119" s="1654"/>
      <c r="Q119" s="1654"/>
      <c r="R119" s="1654"/>
      <c r="S119" s="1654"/>
      <c r="T119" s="1747"/>
      <c r="U119" s="1748"/>
    </row>
    <row r="120" spans="1:21" ht="58.5" thickBot="1">
      <c r="A120" s="575" t="s">
        <v>17</v>
      </c>
      <c r="B120" s="740" t="s">
        <v>1750</v>
      </c>
      <c r="C120" s="740" t="s">
        <v>311</v>
      </c>
      <c r="D120" s="740" t="s">
        <v>1751</v>
      </c>
      <c r="E120" s="740" t="s">
        <v>79</v>
      </c>
      <c r="F120" s="1488" t="s">
        <v>312</v>
      </c>
      <c r="G120" s="1488" t="s">
        <v>311</v>
      </c>
      <c r="H120" s="695">
        <v>54100190</v>
      </c>
      <c r="I120" s="4">
        <v>4142912</v>
      </c>
      <c r="J120" s="377" t="s">
        <v>21</v>
      </c>
      <c r="K120" s="86">
        <v>145</v>
      </c>
      <c r="L120" s="208">
        <v>5650</v>
      </c>
      <c r="M120" s="33"/>
      <c r="N120" s="33"/>
      <c r="O120" s="32">
        <f>L120</f>
        <v>5650</v>
      </c>
      <c r="P120" s="208">
        <v>5650</v>
      </c>
      <c r="Q120" s="33"/>
      <c r="R120" s="33"/>
      <c r="S120" s="32">
        <f>P120</f>
        <v>5650</v>
      </c>
      <c r="T120" s="266" t="s">
        <v>1456</v>
      </c>
      <c r="U120" s="182" t="s">
        <v>1752</v>
      </c>
    </row>
    <row r="121" spans="1:21" ht="45">
      <c r="B121" s="1361" t="s">
        <v>22</v>
      </c>
      <c r="C121" s="121" t="s">
        <v>363</v>
      </c>
      <c r="D121" s="648"/>
      <c r="E121" s="57"/>
      <c r="F121" s="57"/>
      <c r="G121" s="25"/>
      <c r="H121" s="1622" t="s">
        <v>1920</v>
      </c>
      <c r="I121" s="1621" t="s">
        <v>1918</v>
      </c>
      <c r="R121" s="32" t="s">
        <v>23</v>
      </c>
      <c r="S121" s="556">
        <f>SUM(S119:S120)</f>
        <v>5650</v>
      </c>
    </row>
    <row r="122" spans="1:21" ht="15">
      <c r="B122" s="1141"/>
      <c r="C122" s="43" t="s">
        <v>330</v>
      </c>
      <c r="D122" s="176"/>
      <c r="E122" s="57"/>
      <c r="F122" s="57"/>
      <c r="G122" s="25"/>
      <c r="H122" s="185"/>
      <c r="I122" s="176" t="s">
        <v>1919</v>
      </c>
    </row>
    <row r="123" spans="1:21" ht="15.75" thickBot="1">
      <c r="B123" s="1141"/>
      <c r="C123" s="43" t="s">
        <v>329</v>
      </c>
      <c r="D123" s="176"/>
      <c r="E123" s="57"/>
      <c r="F123" s="57"/>
      <c r="G123" s="25"/>
      <c r="H123" s="188"/>
      <c r="I123" s="177" t="s">
        <v>329</v>
      </c>
    </row>
    <row r="124" spans="1:21" ht="15">
      <c r="B124" s="1141" t="s">
        <v>160</v>
      </c>
      <c r="C124" s="582">
        <v>8222146636</v>
      </c>
      <c r="D124" s="176"/>
      <c r="E124" s="57"/>
      <c r="F124" s="57"/>
      <c r="G124" s="25"/>
      <c r="H124" s="25"/>
    </row>
    <row r="125" spans="1:21" ht="15.75" thickBot="1">
      <c r="B125" s="1134" t="s">
        <v>1061</v>
      </c>
      <c r="C125" s="113" t="s">
        <v>1097</v>
      </c>
      <c r="D125" s="177"/>
      <c r="E125" s="57"/>
      <c r="F125" s="57"/>
      <c r="G125" s="25"/>
      <c r="H125" s="25"/>
    </row>
    <row r="126" spans="1:21" ht="15">
      <c r="B126" s="1133"/>
      <c r="C126" s="43"/>
      <c r="D126" s="43"/>
      <c r="E126" s="57"/>
      <c r="F126" s="57"/>
      <c r="G126" s="25"/>
      <c r="H126" s="25"/>
    </row>
    <row r="127" spans="1:21" ht="15.75">
      <c r="B127" s="54"/>
      <c r="C127" s="186"/>
      <c r="D127" s="187"/>
      <c r="E127" s="187"/>
      <c r="F127" s="54"/>
      <c r="L127" s="1" t="s">
        <v>62</v>
      </c>
      <c r="M127" s="31">
        <f>O35+O47+O57+O68+O78+O99+O111+S121</f>
        <v>699236.52</v>
      </c>
    </row>
    <row r="128" spans="1:21" ht="16.5" thickBot="1">
      <c r="B128" s="54"/>
      <c r="C128" s="186"/>
      <c r="D128" s="187"/>
      <c r="E128" s="187"/>
      <c r="F128" s="54"/>
    </row>
    <row r="129" spans="1:15" ht="43.5" customHeight="1">
      <c r="A129" s="54"/>
      <c r="B129" s="594"/>
      <c r="C129" s="54"/>
      <c r="D129" s="54"/>
      <c r="E129" s="54"/>
      <c r="K129" s="1706" t="s">
        <v>59</v>
      </c>
      <c r="L129" s="1708" t="s">
        <v>644</v>
      </c>
      <c r="M129" s="1709"/>
      <c r="N129" s="1710"/>
      <c r="O129" s="1750" t="s">
        <v>60</v>
      </c>
    </row>
    <row r="130" spans="1:15" ht="20.25" customHeight="1" thickBot="1">
      <c r="A130" s="54"/>
      <c r="B130" s="54"/>
      <c r="C130" s="54"/>
      <c r="D130" s="54"/>
      <c r="E130" s="54"/>
      <c r="K130" s="1707"/>
      <c r="L130" s="274" t="s">
        <v>61</v>
      </c>
      <c r="M130" s="274" t="s">
        <v>639</v>
      </c>
      <c r="N130" s="274" t="s">
        <v>640</v>
      </c>
      <c r="O130" s="1751"/>
    </row>
    <row r="131" spans="1:15" ht="15">
      <c r="A131" s="54"/>
      <c r="B131" s="54"/>
      <c r="C131" s="54"/>
      <c r="D131" s="54"/>
      <c r="E131" s="54"/>
      <c r="K131" s="986" t="s">
        <v>28</v>
      </c>
      <c r="L131" s="960">
        <f>O22+O31+O98</f>
        <v>4829.2999999999993</v>
      </c>
      <c r="M131" s="989"/>
      <c r="N131" s="990"/>
      <c r="O131" s="996">
        <v>3</v>
      </c>
    </row>
    <row r="132" spans="1:15" ht="15">
      <c r="I132" s="31"/>
      <c r="K132" s="987" t="s">
        <v>21</v>
      </c>
      <c r="L132" s="959">
        <f>O28+O97+S120</f>
        <v>189700.93</v>
      </c>
      <c r="M132" s="671"/>
      <c r="N132" s="991"/>
      <c r="O132" s="952">
        <v>3</v>
      </c>
    </row>
    <row r="133" spans="1:15" ht="15">
      <c r="I133" s="31"/>
      <c r="K133" s="987" t="s">
        <v>70</v>
      </c>
      <c r="L133" s="992"/>
      <c r="M133" s="289">
        <f>M109</f>
        <v>64972.229999999989</v>
      </c>
      <c r="N133" s="981">
        <f>N109</f>
        <v>182634.06</v>
      </c>
      <c r="O133" s="985">
        <v>1</v>
      </c>
    </row>
    <row r="134" spans="1:15" ht="15.75" thickBot="1">
      <c r="K134" s="988" t="s">
        <v>65</v>
      </c>
      <c r="L134" s="993"/>
      <c r="M134" s="994">
        <f>M21+M23+M24+M25+M26+M27+M29+M30+M32+M45+M56+M66+M67+M77+M46+M88+M89+M90+M91+M92+M93+M94+M95+M96+M110+M33+M34</f>
        <v>75543</v>
      </c>
      <c r="N134" s="995">
        <f>N21+N23+N24+N25+N26+N27+N29+N30+N32+N45+N56+N66+N67+N77+N46+N88+N89+N90+N91+N92+N93+N94+N95+N96+N110+N33+N34</f>
        <v>181557</v>
      </c>
      <c r="O134" s="953">
        <v>27</v>
      </c>
    </row>
    <row r="135" spans="1:15" ht="15.75" thickBot="1">
      <c r="K135" s="341" t="s">
        <v>62</v>
      </c>
      <c r="L135" s="291">
        <f>SUM(L131:L134)</f>
        <v>194530.22999999998</v>
      </c>
      <c r="M135" s="292">
        <f>SUM(M131:M134)</f>
        <v>140515.22999999998</v>
      </c>
      <c r="N135" s="173">
        <f>SUM(N131:N134)</f>
        <v>364191.06</v>
      </c>
      <c r="O135" s="997">
        <f>SUM(O131:O134)</f>
        <v>34</v>
      </c>
    </row>
    <row r="136" spans="1:15" ht="18.75" thickBot="1">
      <c r="K136" s="1"/>
      <c r="L136" s="123" t="s">
        <v>63</v>
      </c>
      <c r="M136" s="659">
        <f>SUM(L135:N135)</f>
        <v>699236.52</v>
      </c>
    </row>
  </sheetData>
  <mergeCells count="123">
    <mergeCell ref="A63:A65"/>
    <mergeCell ref="B63:B65"/>
    <mergeCell ref="C63:C65"/>
    <mergeCell ref="D63:D65"/>
    <mergeCell ref="E63:E65"/>
    <mergeCell ref="L63:O63"/>
    <mergeCell ref="L64:O64"/>
    <mergeCell ref="F63:F65"/>
    <mergeCell ref="G63:G65"/>
    <mergeCell ref="H63:H65"/>
    <mergeCell ref="I63:I65"/>
    <mergeCell ref="J63:J65"/>
    <mergeCell ref="K63:K65"/>
    <mergeCell ref="F106:F108"/>
    <mergeCell ref="B105:H105"/>
    <mergeCell ref="E85:E87"/>
    <mergeCell ref="F85:F87"/>
    <mergeCell ref="C106:C108"/>
    <mergeCell ref="L106:O106"/>
    <mergeCell ref="J85:J87"/>
    <mergeCell ref="K85:K87"/>
    <mergeCell ref="L85:O85"/>
    <mergeCell ref="L86:O86"/>
    <mergeCell ref="D106:D108"/>
    <mergeCell ref="E106:E108"/>
    <mergeCell ref="A106:A108"/>
    <mergeCell ref="B106:B108"/>
    <mergeCell ref="A74:A76"/>
    <mergeCell ref="B74:B76"/>
    <mergeCell ref="C74:C76"/>
    <mergeCell ref="D74:D76"/>
    <mergeCell ref="A85:A87"/>
    <mergeCell ref="B85:B87"/>
    <mergeCell ref="C85:C87"/>
    <mergeCell ref="D85:D87"/>
    <mergeCell ref="E74:E76"/>
    <mergeCell ref="F74:F76"/>
    <mergeCell ref="G42:G44"/>
    <mergeCell ref="A18:A20"/>
    <mergeCell ref="B18:B20"/>
    <mergeCell ref="C18:C20"/>
    <mergeCell ref="D18:D20"/>
    <mergeCell ref="E18:E20"/>
    <mergeCell ref="F18:F20"/>
    <mergeCell ref="A42:A44"/>
    <mergeCell ref="B42:B44"/>
    <mergeCell ref="C42:C44"/>
    <mergeCell ref="D42:D44"/>
    <mergeCell ref="E42:E44"/>
    <mergeCell ref="F42:F44"/>
    <mergeCell ref="A53:A55"/>
    <mergeCell ref="B53:B55"/>
    <mergeCell ref="C53:C55"/>
    <mergeCell ref="D53:D55"/>
    <mergeCell ref="E53:E55"/>
    <mergeCell ref="F53:F55"/>
    <mergeCell ref="G53:G55"/>
    <mergeCell ref="L129:N129"/>
    <mergeCell ref="K129:K130"/>
    <mergeCell ref="O129:O130"/>
    <mergeCell ref="H74:H76"/>
    <mergeCell ref="G85:G87"/>
    <mergeCell ref="H85:H87"/>
    <mergeCell ref="K106:K108"/>
    <mergeCell ref="I74:I76"/>
    <mergeCell ref="J74:J76"/>
    <mergeCell ref="J106:J108"/>
    <mergeCell ref="L75:O75"/>
    <mergeCell ref="K74:K76"/>
    <mergeCell ref="B3:I3"/>
    <mergeCell ref="C5:I5"/>
    <mergeCell ref="H6:I6"/>
    <mergeCell ref="H7:I7"/>
    <mergeCell ref="B1:I1"/>
    <mergeCell ref="L74:O74"/>
    <mergeCell ref="G18:G20"/>
    <mergeCell ref="H18:H20"/>
    <mergeCell ref="I18:I20"/>
    <mergeCell ref="L18:O18"/>
    <mergeCell ref="L19:O19"/>
    <mergeCell ref="J18:J20"/>
    <mergeCell ref="K18:K20"/>
    <mergeCell ref="L42:O42"/>
    <mergeCell ref="L43:O43"/>
    <mergeCell ref="H53:H55"/>
    <mergeCell ref="I53:I55"/>
    <mergeCell ref="J53:J55"/>
    <mergeCell ref="K53:K55"/>
    <mergeCell ref="L53:O53"/>
    <mergeCell ref="L54:O54"/>
    <mergeCell ref="H42:H44"/>
    <mergeCell ref="I42:I44"/>
    <mergeCell ref="J42:J44"/>
    <mergeCell ref="K42:K44"/>
    <mergeCell ref="L107:O107"/>
    <mergeCell ref="G106:G108"/>
    <mergeCell ref="H106:H108"/>
    <mergeCell ref="I106:I108"/>
    <mergeCell ref="G74:G76"/>
    <mergeCell ref="I85:I87"/>
    <mergeCell ref="G117:G119"/>
    <mergeCell ref="H117:H119"/>
    <mergeCell ref="I117:I119"/>
    <mergeCell ref="J117:J119"/>
    <mergeCell ref="K117:K119"/>
    <mergeCell ref="L117:O117"/>
    <mergeCell ref="A117:A119"/>
    <mergeCell ref="B117:B119"/>
    <mergeCell ref="C117:C119"/>
    <mergeCell ref="D117:D119"/>
    <mergeCell ref="E117:E119"/>
    <mergeCell ref="F117:F119"/>
    <mergeCell ref="S118:S119"/>
    <mergeCell ref="P117:S117"/>
    <mergeCell ref="T117:T119"/>
    <mergeCell ref="U117:U119"/>
    <mergeCell ref="L118:L119"/>
    <mergeCell ref="M118:M119"/>
    <mergeCell ref="N118:N119"/>
    <mergeCell ref="O118:O119"/>
    <mergeCell ref="P118:P119"/>
    <mergeCell ref="Q118:Q119"/>
    <mergeCell ref="R118:R119"/>
  </mergeCells>
  <pageMargins left="0.7" right="0.7" top="0.75" bottom="0.75" header="0.3" footer="0.3"/>
  <pageSetup paperSize="9" orientation="portrait" r:id="rId1"/>
  <ignoredErrors>
    <ignoredError sqref="O22 O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opLeftCell="B189" zoomScale="80" zoomScaleNormal="80" workbookViewId="0">
      <selection activeCell="M205" sqref="M205"/>
    </sheetView>
  </sheetViews>
  <sheetFormatPr defaultRowHeight="14.25"/>
  <cols>
    <col min="1" max="1" width="11" style="5" customWidth="1"/>
    <col min="2" max="2" width="15.75" style="1" customWidth="1"/>
    <col min="3" max="3" width="13.25" style="198" customWidth="1"/>
    <col min="4" max="4" width="11.5" style="1" customWidth="1"/>
    <col min="5" max="5" width="12" style="1" customWidth="1"/>
    <col min="6" max="6" width="10.875" style="1" customWidth="1"/>
    <col min="7" max="7" width="18.375" style="1" customWidth="1"/>
    <col min="8" max="8" width="27" style="1" customWidth="1"/>
    <col min="9" max="9" width="15.25" style="1" customWidth="1"/>
    <col min="10" max="10" width="10.875" style="1" customWidth="1"/>
    <col min="11" max="11" width="9" style="1"/>
    <col min="12" max="12" width="15.625" style="1" customWidth="1"/>
    <col min="13" max="13" width="14" style="1" customWidth="1"/>
    <col min="14" max="14" width="16.875" style="1" customWidth="1"/>
    <col min="15" max="15" width="17.25" style="1" customWidth="1"/>
    <col min="16" max="16" width="13.875" style="1" customWidth="1"/>
    <col min="17" max="17" width="13.25" style="1" customWidth="1"/>
    <col min="18" max="18" width="14.625" style="1" customWidth="1"/>
    <col min="19" max="19" width="12.75" style="1" customWidth="1"/>
    <col min="20" max="20" width="20.25" style="1" customWidth="1"/>
    <col min="21" max="21" width="18.625" style="1" customWidth="1"/>
    <col min="22" max="16384" width="9" style="1"/>
  </cols>
  <sheetData>
    <row r="1" spans="1:15" ht="18">
      <c r="A1" s="1"/>
      <c r="B1" s="1691" t="s">
        <v>1174</v>
      </c>
      <c r="C1" s="1691"/>
      <c r="D1" s="1691"/>
      <c r="E1" s="1691"/>
      <c r="F1" s="1691"/>
      <c r="G1" s="1691"/>
      <c r="H1" s="1691"/>
      <c r="I1" s="1691"/>
    </row>
    <row r="2" spans="1:15">
      <c r="A2" s="1"/>
      <c r="C2" s="1"/>
      <c r="H2" s="287"/>
    </row>
    <row r="3" spans="1:15" ht="25.5" customHeight="1">
      <c r="A3" s="1"/>
      <c r="B3" s="1684" t="s">
        <v>649</v>
      </c>
      <c r="C3" s="1685"/>
      <c r="D3" s="1685"/>
      <c r="E3" s="1685"/>
      <c r="F3" s="1685"/>
      <c r="G3" s="1685"/>
      <c r="H3" s="1685"/>
      <c r="I3" s="1686"/>
    </row>
    <row r="4" spans="1:15" ht="15">
      <c r="A4" s="1"/>
      <c r="B4" s="469"/>
      <c r="C4" s="469"/>
      <c r="D4" s="469"/>
      <c r="E4" s="469"/>
      <c r="F4" s="469"/>
      <c r="G4" s="469"/>
      <c r="H4" s="469"/>
      <c r="I4" s="469"/>
    </row>
    <row r="5" spans="1:15" ht="27" customHeight="1">
      <c r="A5" s="1"/>
      <c r="B5" s="1756" t="s">
        <v>1052</v>
      </c>
      <c r="C5" s="1757"/>
      <c r="D5" s="1757"/>
      <c r="E5" s="1757"/>
      <c r="F5" s="1757"/>
      <c r="G5" s="1757"/>
      <c r="H5" s="1757"/>
      <c r="I5" s="1758"/>
    </row>
    <row r="6" spans="1:15" ht="15">
      <c r="A6" s="1"/>
      <c r="B6" s="469"/>
      <c r="C6" s="469"/>
      <c r="D6" s="469"/>
      <c r="E6" s="469"/>
      <c r="F6" s="469"/>
      <c r="G6" s="469"/>
      <c r="H6" s="472"/>
      <c r="I6" s="471"/>
    </row>
    <row r="7" spans="1:15" ht="15.75">
      <c r="A7" s="1"/>
      <c r="B7" s="470" t="s">
        <v>1</v>
      </c>
      <c r="C7" s="471"/>
      <c r="D7" s="469"/>
      <c r="E7" s="469"/>
      <c r="F7" s="469"/>
      <c r="G7" s="471"/>
      <c r="H7" s="472"/>
      <c r="I7" s="471"/>
    </row>
    <row r="8" spans="1:15" ht="15.75">
      <c r="A8" s="1"/>
      <c r="B8" s="1307" t="s">
        <v>1921</v>
      </c>
      <c r="C8" s="471"/>
      <c r="D8" s="469"/>
      <c r="E8" s="469"/>
      <c r="F8" s="469"/>
      <c r="G8" s="471"/>
      <c r="H8" s="472"/>
      <c r="I8" s="471"/>
    </row>
    <row r="9" spans="1:15" ht="15.75">
      <c r="A9" s="1"/>
      <c r="B9" s="473" t="s">
        <v>1125</v>
      </c>
      <c r="C9" s="471"/>
      <c r="D9" s="474"/>
      <c r="E9" s="469"/>
      <c r="F9" s="469"/>
      <c r="G9" s="471"/>
      <c r="H9" s="472"/>
      <c r="I9" s="471"/>
    </row>
    <row r="10" spans="1:15" ht="15.75">
      <c r="A10" s="1"/>
      <c r="B10" s="473" t="s">
        <v>1045</v>
      </c>
      <c r="C10" s="471"/>
      <c r="D10" s="474"/>
      <c r="E10" s="469"/>
      <c r="F10" s="469"/>
      <c r="G10" s="471"/>
      <c r="H10" s="472"/>
      <c r="I10" s="471"/>
    </row>
    <row r="11" spans="1:15" ht="15">
      <c r="A11" s="1"/>
      <c r="B11" s="471" t="s">
        <v>696</v>
      </c>
      <c r="C11" s="471"/>
      <c r="D11" s="471"/>
      <c r="E11" s="471"/>
      <c r="F11" s="471"/>
      <c r="G11" s="471"/>
      <c r="H11" s="472"/>
      <c r="I11" s="471"/>
    </row>
    <row r="12" spans="1:15" ht="15.75">
      <c r="A12" s="1"/>
      <c r="B12" s="475"/>
      <c r="C12" s="476"/>
      <c r="D12" s="474"/>
      <c r="E12" s="474"/>
      <c r="F12" s="474"/>
      <c r="G12" s="474"/>
      <c r="H12" s="471"/>
      <c r="I12" s="471"/>
    </row>
    <row r="13" spans="1:15" ht="15.75">
      <c r="A13" s="1"/>
      <c r="B13" s="475" t="s">
        <v>4</v>
      </c>
      <c r="C13" s="470" t="s">
        <v>5</v>
      </c>
      <c r="D13" s="474"/>
      <c r="E13" s="474"/>
      <c r="F13" s="474"/>
      <c r="G13" s="474"/>
      <c r="H13" s="471"/>
      <c r="I13" s="471"/>
    </row>
    <row r="14" spans="1:15" ht="15" thickBot="1">
      <c r="A14" s="56"/>
      <c r="B14" s="56"/>
      <c r="C14" s="100"/>
      <c r="D14" s="57"/>
      <c r="E14" s="57"/>
      <c r="F14" s="57"/>
      <c r="G14" s="57"/>
      <c r="H14" s="57"/>
    </row>
    <row r="15" spans="1:15" ht="43.5" customHeight="1">
      <c r="A15" s="1670" t="s">
        <v>6</v>
      </c>
      <c r="B15" s="1673" t="s">
        <v>633</v>
      </c>
      <c r="C15" s="1676" t="s">
        <v>8</v>
      </c>
      <c r="D15" s="1676" t="s">
        <v>9</v>
      </c>
      <c r="E15" s="1656" t="s">
        <v>634</v>
      </c>
      <c r="F15" s="1656" t="s">
        <v>11</v>
      </c>
      <c r="G15" s="1676" t="s">
        <v>12</v>
      </c>
      <c r="H15" s="1656" t="s">
        <v>13</v>
      </c>
      <c r="I15" s="1656" t="s">
        <v>269</v>
      </c>
      <c r="J15" s="1656" t="s">
        <v>59</v>
      </c>
      <c r="K15" s="1665" t="s">
        <v>635</v>
      </c>
      <c r="L15" s="1725" t="s">
        <v>636</v>
      </c>
      <c r="M15" s="1719"/>
      <c r="N15" s="1719"/>
      <c r="O15" s="1726"/>
    </row>
    <row r="16" spans="1:15" ht="40.5" customHeight="1">
      <c r="A16" s="1671"/>
      <c r="B16" s="1674"/>
      <c r="C16" s="1677"/>
      <c r="D16" s="1677"/>
      <c r="E16" s="1657"/>
      <c r="F16" s="1657"/>
      <c r="G16" s="1677"/>
      <c r="H16" s="1657"/>
      <c r="I16" s="1698"/>
      <c r="J16" s="1657"/>
      <c r="K16" s="1666"/>
      <c r="L16" s="1679" t="s">
        <v>637</v>
      </c>
      <c r="M16" s="1654"/>
      <c r="N16" s="1654"/>
      <c r="O16" s="1680"/>
    </row>
    <row r="17" spans="1:15" ht="33.75" customHeight="1" thickBot="1">
      <c r="A17" s="1672"/>
      <c r="B17" s="1675"/>
      <c r="C17" s="1678"/>
      <c r="D17" s="1678"/>
      <c r="E17" s="1658"/>
      <c r="F17" s="1658"/>
      <c r="G17" s="1678"/>
      <c r="H17" s="1658"/>
      <c r="I17" s="1699"/>
      <c r="J17" s="1658"/>
      <c r="K17" s="1667"/>
      <c r="L17" s="263" t="s">
        <v>638</v>
      </c>
      <c r="M17" s="270" t="s">
        <v>639</v>
      </c>
      <c r="N17" s="270" t="s">
        <v>640</v>
      </c>
      <c r="O17" s="265" t="s">
        <v>16</v>
      </c>
    </row>
    <row r="18" spans="1:15" ht="29.25">
      <c r="A18" s="575" t="s">
        <v>26</v>
      </c>
      <c r="B18" s="301" t="s">
        <v>376</v>
      </c>
      <c r="C18" s="296" t="s">
        <v>365</v>
      </c>
      <c r="D18" s="300" t="s">
        <v>377</v>
      </c>
      <c r="E18" s="300">
        <v>1</v>
      </c>
      <c r="F18" s="294" t="s">
        <v>367</v>
      </c>
      <c r="G18" s="300" t="s">
        <v>365</v>
      </c>
      <c r="H18" s="764" t="s">
        <v>378</v>
      </c>
      <c r="I18" s="300">
        <v>1001167</v>
      </c>
      <c r="J18" s="85" t="s">
        <v>65</v>
      </c>
      <c r="K18" s="525">
        <v>3</v>
      </c>
      <c r="L18" s="297"/>
      <c r="M18" s="298">
        <f>2871-2741</f>
        <v>130</v>
      </c>
      <c r="N18" s="298">
        <f>6561-6244</f>
        <v>317</v>
      </c>
      <c r="O18" s="299">
        <f t="shared" ref="O18:O32" si="0">SUM(M18:N18)</f>
        <v>447</v>
      </c>
    </row>
    <row r="19" spans="1:15" ht="29.25">
      <c r="A19" s="575" t="s">
        <v>26</v>
      </c>
      <c r="B19" s="301" t="s">
        <v>379</v>
      </c>
      <c r="C19" s="296" t="s">
        <v>365</v>
      </c>
      <c r="D19" s="300" t="s">
        <v>377</v>
      </c>
      <c r="E19" s="300">
        <v>1</v>
      </c>
      <c r="F19" s="294" t="s">
        <v>367</v>
      </c>
      <c r="G19" s="300" t="s">
        <v>365</v>
      </c>
      <c r="H19" s="764" t="s">
        <v>380</v>
      </c>
      <c r="I19" s="300">
        <v>1001177</v>
      </c>
      <c r="J19" s="85" t="s">
        <v>65</v>
      </c>
      <c r="K19" s="525">
        <v>4</v>
      </c>
      <c r="L19" s="297"/>
      <c r="M19" s="298">
        <f>4295-4021</f>
        <v>274</v>
      </c>
      <c r="N19" s="298">
        <f>7667-7280</f>
        <v>387</v>
      </c>
      <c r="O19" s="299">
        <f t="shared" si="0"/>
        <v>661</v>
      </c>
    </row>
    <row r="20" spans="1:15" ht="29.25">
      <c r="A20" s="575" t="s">
        <v>26</v>
      </c>
      <c r="B20" s="301" t="s">
        <v>379</v>
      </c>
      <c r="C20" s="296" t="s">
        <v>365</v>
      </c>
      <c r="D20" s="300" t="s">
        <v>377</v>
      </c>
      <c r="E20" s="300">
        <v>1</v>
      </c>
      <c r="F20" s="294" t="s">
        <v>367</v>
      </c>
      <c r="G20" s="300" t="s">
        <v>365</v>
      </c>
      <c r="H20" s="764" t="s">
        <v>381</v>
      </c>
      <c r="I20" s="300">
        <v>70951500</v>
      </c>
      <c r="J20" s="85" t="s">
        <v>65</v>
      </c>
      <c r="K20" s="525">
        <v>6.6</v>
      </c>
      <c r="L20" s="297"/>
      <c r="M20" s="298">
        <f>11186-5044</f>
        <v>6142</v>
      </c>
      <c r="N20" s="298">
        <f>26879-11139</f>
        <v>15740</v>
      </c>
      <c r="O20" s="299">
        <f t="shared" si="0"/>
        <v>21882</v>
      </c>
    </row>
    <row r="21" spans="1:15" ht="29.25">
      <c r="A21" s="575" t="s">
        <v>26</v>
      </c>
      <c r="B21" s="301" t="s">
        <v>382</v>
      </c>
      <c r="C21" s="296" t="s">
        <v>383</v>
      </c>
      <c r="D21" s="293"/>
      <c r="E21" s="300">
        <v>26</v>
      </c>
      <c r="F21" s="294" t="s">
        <v>367</v>
      </c>
      <c r="G21" s="300" t="s">
        <v>365</v>
      </c>
      <c r="H21" s="764" t="s">
        <v>384</v>
      </c>
      <c r="I21" s="300">
        <v>90600013</v>
      </c>
      <c r="J21" s="85" t="s">
        <v>65</v>
      </c>
      <c r="K21" s="525">
        <v>6.6</v>
      </c>
      <c r="L21" s="297"/>
      <c r="M21" s="298">
        <f>43-27</f>
        <v>16</v>
      </c>
      <c r="N21" s="298">
        <f>37-16</f>
        <v>21</v>
      </c>
      <c r="O21" s="299">
        <f t="shared" si="0"/>
        <v>37</v>
      </c>
    </row>
    <row r="22" spans="1:15" ht="29.25">
      <c r="A22" s="575" t="s">
        <v>26</v>
      </c>
      <c r="B22" s="301" t="s">
        <v>385</v>
      </c>
      <c r="C22" s="296" t="s">
        <v>386</v>
      </c>
      <c r="D22" s="293"/>
      <c r="E22" s="300">
        <v>22</v>
      </c>
      <c r="F22" s="294" t="s">
        <v>367</v>
      </c>
      <c r="G22" s="300" t="s">
        <v>365</v>
      </c>
      <c r="H22" s="764" t="s">
        <v>387</v>
      </c>
      <c r="I22" s="300">
        <v>1503717</v>
      </c>
      <c r="J22" s="85" t="s">
        <v>65</v>
      </c>
      <c r="K22" s="525">
        <v>4</v>
      </c>
      <c r="L22" s="297"/>
      <c r="M22" s="298">
        <f>3915-3880</f>
        <v>35</v>
      </c>
      <c r="N22" s="298">
        <f>2080-1962</f>
        <v>118</v>
      </c>
      <c r="O22" s="299">
        <f t="shared" si="0"/>
        <v>153</v>
      </c>
    </row>
    <row r="23" spans="1:15" ht="29.25">
      <c r="A23" s="575" t="s">
        <v>26</v>
      </c>
      <c r="B23" s="301" t="s">
        <v>391</v>
      </c>
      <c r="C23" s="296" t="s">
        <v>392</v>
      </c>
      <c r="D23" s="293"/>
      <c r="E23" s="300">
        <v>2</v>
      </c>
      <c r="F23" s="294" t="s">
        <v>367</v>
      </c>
      <c r="G23" s="300" t="s">
        <v>365</v>
      </c>
      <c r="H23" s="764" t="s">
        <v>393</v>
      </c>
      <c r="I23" s="300">
        <v>70851683</v>
      </c>
      <c r="J23" s="85" t="s">
        <v>65</v>
      </c>
      <c r="K23" s="525">
        <v>6.6</v>
      </c>
      <c r="L23" s="317"/>
      <c r="M23" s="322">
        <f>6200-5955</f>
        <v>245</v>
      </c>
      <c r="N23" s="322">
        <f>3718-3095</f>
        <v>623</v>
      </c>
      <c r="O23" s="299">
        <f t="shared" si="0"/>
        <v>868</v>
      </c>
    </row>
    <row r="24" spans="1:15" ht="29.25">
      <c r="A24" s="575" t="s">
        <v>26</v>
      </c>
      <c r="B24" s="301" t="s">
        <v>394</v>
      </c>
      <c r="C24" s="296" t="s">
        <v>395</v>
      </c>
      <c r="D24" s="293"/>
      <c r="E24" s="300">
        <v>39</v>
      </c>
      <c r="F24" s="294" t="s">
        <v>367</v>
      </c>
      <c r="G24" s="300" t="s">
        <v>365</v>
      </c>
      <c r="H24" s="764" t="s">
        <v>396</v>
      </c>
      <c r="I24" s="300">
        <v>1503842</v>
      </c>
      <c r="J24" s="85" t="s">
        <v>65</v>
      </c>
      <c r="K24" s="525">
        <v>4</v>
      </c>
      <c r="L24" s="317"/>
      <c r="M24" s="322">
        <f>1290-1135</f>
        <v>155</v>
      </c>
      <c r="N24" s="322">
        <f>1972-1665</f>
        <v>307</v>
      </c>
      <c r="O24" s="299">
        <f t="shared" si="0"/>
        <v>462</v>
      </c>
    </row>
    <row r="25" spans="1:15" ht="57.75">
      <c r="A25" s="575" t="s">
        <v>26</v>
      </c>
      <c r="B25" s="301" t="s">
        <v>397</v>
      </c>
      <c r="C25" s="296" t="s">
        <v>398</v>
      </c>
      <c r="D25" s="293"/>
      <c r="E25" s="300">
        <v>27</v>
      </c>
      <c r="F25" s="294" t="s">
        <v>367</v>
      </c>
      <c r="G25" s="300" t="s">
        <v>365</v>
      </c>
      <c r="H25" s="695" t="s">
        <v>399</v>
      </c>
      <c r="I25" s="300">
        <v>1483990</v>
      </c>
      <c r="J25" s="1135" t="s">
        <v>65</v>
      </c>
      <c r="K25" s="525">
        <v>3</v>
      </c>
      <c r="L25" s="317"/>
      <c r="M25" s="322">
        <f>2604-1425</f>
        <v>1179</v>
      </c>
      <c r="N25" s="322">
        <f>6611-3296</f>
        <v>3315</v>
      </c>
      <c r="O25" s="299">
        <f t="shared" si="0"/>
        <v>4494</v>
      </c>
    </row>
    <row r="26" spans="1:15" ht="29.25">
      <c r="A26" s="603" t="s">
        <v>26</v>
      </c>
      <c r="B26" s="302" t="s">
        <v>400</v>
      </c>
      <c r="C26" s="303" t="s">
        <v>365</v>
      </c>
      <c r="D26" s="304" t="s">
        <v>401</v>
      </c>
      <c r="E26" s="305" t="s">
        <v>402</v>
      </c>
      <c r="F26" s="313" t="s">
        <v>367</v>
      </c>
      <c r="G26" s="312" t="s">
        <v>365</v>
      </c>
      <c r="H26" s="768" t="s">
        <v>403</v>
      </c>
      <c r="I26" s="312">
        <v>90467549</v>
      </c>
      <c r="J26" s="1135" t="s">
        <v>65</v>
      </c>
      <c r="K26" s="526">
        <v>7</v>
      </c>
      <c r="L26" s="317"/>
      <c r="M26" s="322">
        <f>2864-2033</f>
        <v>831</v>
      </c>
      <c r="N26" s="322">
        <f>7796-5612</f>
        <v>2184</v>
      </c>
      <c r="O26" s="299">
        <f t="shared" si="0"/>
        <v>3015</v>
      </c>
    </row>
    <row r="27" spans="1:15" ht="29.25">
      <c r="A27" s="575" t="s">
        <v>26</v>
      </c>
      <c r="B27" s="3" t="s">
        <v>280</v>
      </c>
      <c r="C27" s="300" t="s">
        <v>365</v>
      </c>
      <c r="D27" s="293" t="s">
        <v>308</v>
      </c>
      <c r="E27" s="300"/>
      <c r="F27" s="294" t="s">
        <v>367</v>
      </c>
      <c r="G27" s="300" t="s">
        <v>365</v>
      </c>
      <c r="H27" s="1552" t="s">
        <v>749</v>
      </c>
      <c r="I27" s="419">
        <v>4143380</v>
      </c>
      <c r="J27" s="85" t="s">
        <v>65</v>
      </c>
      <c r="K27" s="832">
        <v>38</v>
      </c>
      <c r="L27" s="317"/>
      <c r="M27" s="322">
        <f>(2114.62-986.01)*30</f>
        <v>33858.299999999996</v>
      </c>
      <c r="N27" s="322">
        <f>(6136.75-2830.68)*30</f>
        <v>99182.1</v>
      </c>
      <c r="O27" s="299">
        <f t="shared" si="0"/>
        <v>133040.4</v>
      </c>
    </row>
    <row r="28" spans="1:15" ht="29.25">
      <c r="A28" s="575" t="s">
        <v>26</v>
      </c>
      <c r="B28" s="3" t="s">
        <v>138</v>
      </c>
      <c r="C28" s="300" t="s">
        <v>365</v>
      </c>
      <c r="D28" s="293" t="s">
        <v>750</v>
      </c>
      <c r="E28" s="316">
        <v>2</v>
      </c>
      <c r="F28" s="294" t="s">
        <v>367</v>
      </c>
      <c r="G28" s="300" t="s">
        <v>365</v>
      </c>
      <c r="H28" s="695" t="s">
        <v>751</v>
      </c>
      <c r="I28" s="419">
        <v>90467556</v>
      </c>
      <c r="J28" s="85" t="s">
        <v>65</v>
      </c>
      <c r="K28" s="833">
        <v>8</v>
      </c>
      <c r="L28" s="317"/>
      <c r="M28" s="322">
        <f>4958-1314</f>
        <v>3644</v>
      </c>
      <c r="N28" s="322">
        <f>14042-2981</f>
        <v>11061</v>
      </c>
      <c r="O28" s="299">
        <f t="shared" si="0"/>
        <v>14705</v>
      </c>
    </row>
    <row r="29" spans="1:15" ht="18">
      <c r="A29" s="575" t="s">
        <v>26</v>
      </c>
      <c r="B29" s="9" t="s">
        <v>833</v>
      </c>
      <c r="C29" s="312" t="s">
        <v>365</v>
      </c>
      <c r="D29" s="304"/>
      <c r="E29" s="300">
        <v>53534093</v>
      </c>
      <c r="F29" s="294" t="s">
        <v>367</v>
      </c>
      <c r="G29" s="300" t="s">
        <v>365</v>
      </c>
      <c r="H29" s="695" t="s">
        <v>832</v>
      </c>
      <c r="I29" s="316">
        <v>70951543</v>
      </c>
      <c r="J29" s="85" t="s">
        <v>65</v>
      </c>
      <c r="K29" s="832">
        <v>3</v>
      </c>
      <c r="L29" s="317"/>
      <c r="M29" s="322">
        <f>5848-5260</f>
        <v>588</v>
      </c>
      <c r="N29" s="322">
        <f>5587-4334</f>
        <v>1253</v>
      </c>
      <c r="O29" s="299">
        <f t="shared" si="0"/>
        <v>1841</v>
      </c>
    </row>
    <row r="30" spans="1:15" ht="18">
      <c r="A30" s="575" t="s">
        <v>26</v>
      </c>
      <c r="B30" s="301"/>
      <c r="C30" s="300" t="s">
        <v>407</v>
      </c>
      <c r="D30" s="293"/>
      <c r="E30" s="300"/>
      <c r="F30" s="294" t="s">
        <v>367</v>
      </c>
      <c r="G30" s="300" t="s">
        <v>365</v>
      </c>
      <c r="H30" s="764" t="s">
        <v>408</v>
      </c>
      <c r="I30" s="300">
        <v>90342591</v>
      </c>
      <c r="J30" s="85" t="s">
        <v>65</v>
      </c>
      <c r="K30" s="832">
        <v>6.6</v>
      </c>
      <c r="L30" s="317"/>
      <c r="M30" s="322">
        <f>19-19</f>
        <v>0</v>
      </c>
      <c r="N30" s="322">
        <f>0-0</f>
        <v>0</v>
      </c>
      <c r="O30" s="299">
        <f t="shared" si="0"/>
        <v>0</v>
      </c>
    </row>
    <row r="31" spans="1:15" ht="18">
      <c r="A31" s="575" t="s">
        <v>26</v>
      </c>
      <c r="B31" s="302"/>
      <c r="C31" s="312" t="s">
        <v>407</v>
      </c>
      <c r="D31" s="304"/>
      <c r="E31" s="305" t="s">
        <v>409</v>
      </c>
      <c r="F31" s="313" t="s">
        <v>367</v>
      </c>
      <c r="G31" s="300" t="s">
        <v>365</v>
      </c>
      <c r="H31" s="764" t="s">
        <v>410</v>
      </c>
      <c r="I31" s="300">
        <v>83426552</v>
      </c>
      <c r="J31" s="85" t="s">
        <v>65</v>
      </c>
      <c r="K31" s="832">
        <v>3</v>
      </c>
      <c r="L31" s="317"/>
      <c r="M31" s="322">
        <v>5</v>
      </c>
      <c r="N31" s="322">
        <v>10</v>
      </c>
      <c r="O31" s="299">
        <f t="shared" si="0"/>
        <v>15</v>
      </c>
    </row>
    <row r="32" spans="1:15" ht="29.25">
      <c r="A32" s="575" t="s">
        <v>26</v>
      </c>
      <c r="B32" s="301" t="s">
        <v>428</v>
      </c>
      <c r="C32" s="300" t="s">
        <v>429</v>
      </c>
      <c r="D32" s="293"/>
      <c r="E32" s="300">
        <v>14</v>
      </c>
      <c r="F32" s="294" t="s">
        <v>367</v>
      </c>
      <c r="G32" s="300" t="s">
        <v>365</v>
      </c>
      <c r="H32" s="695" t="s">
        <v>1046</v>
      </c>
      <c r="I32" s="316">
        <v>70846753</v>
      </c>
      <c r="J32" s="85" t="s">
        <v>65</v>
      </c>
      <c r="K32" s="832">
        <v>5</v>
      </c>
      <c r="L32" s="317"/>
      <c r="M32" s="322">
        <f>6572-6312</f>
        <v>260</v>
      </c>
      <c r="N32" s="322">
        <f>3552-3196</f>
        <v>356</v>
      </c>
      <c r="O32" s="299">
        <f t="shared" si="0"/>
        <v>616</v>
      </c>
    </row>
    <row r="33" spans="1:15" ht="43.5">
      <c r="A33" s="575" t="s">
        <v>26</v>
      </c>
      <c r="B33" s="302" t="s">
        <v>430</v>
      </c>
      <c r="C33" s="312" t="s">
        <v>431</v>
      </c>
      <c r="D33" s="304"/>
      <c r="E33" s="300"/>
      <c r="F33" s="294" t="s">
        <v>367</v>
      </c>
      <c r="G33" s="300" t="s">
        <v>365</v>
      </c>
      <c r="H33" s="695" t="s">
        <v>432</v>
      </c>
      <c r="I33" s="300">
        <v>4099755</v>
      </c>
      <c r="J33" s="85" t="s">
        <v>65</v>
      </c>
      <c r="K33" s="832">
        <v>32</v>
      </c>
      <c r="L33" s="317"/>
      <c r="M33" s="322">
        <f>(2997.7-1227.03)*15</f>
        <v>26560.05</v>
      </c>
      <c r="N33" s="322">
        <f>(7393.94-2669.32)*15</f>
        <v>70869.299999999988</v>
      </c>
      <c r="O33" s="299">
        <f>SUM(M33:N33)</f>
        <v>97429.349999999991</v>
      </c>
    </row>
    <row r="34" spans="1:15" ht="43.5">
      <c r="A34" s="575" t="s">
        <v>26</v>
      </c>
      <c r="B34" s="302" t="s">
        <v>433</v>
      </c>
      <c r="C34" s="312" t="s">
        <v>365</v>
      </c>
      <c r="D34" s="304"/>
      <c r="E34" s="300"/>
      <c r="F34" s="294" t="s">
        <v>367</v>
      </c>
      <c r="G34" s="300" t="s">
        <v>365</v>
      </c>
      <c r="H34" s="764" t="s">
        <v>434</v>
      </c>
      <c r="I34" s="300">
        <v>4143379</v>
      </c>
      <c r="J34" s="380" t="s">
        <v>70</v>
      </c>
      <c r="K34" s="832">
        <v>40</v>
      </c>
      <c r="L34" s="317"/>
      <c r="M34" s="322">
        <f>((1985.96-1086.02)*40)+((2795.06-1985.96)*15)</f>
        <v>48134.100000000006</v>
      </c>
      <c r="N34" s="322">
        <f>((4290.4-2276.69)*40)+((6096.18-4290.4)*15)</f>
        <v>107635.09999999999</v>
      </c>
      <c r="O34" s="299">
        <f>SUM(M34:N34)</f>
        <v>155769.20000000001</v>
      </c>
    </row>
    <row r="35" spans="1:15" ht="29.25">
      <c r="A35" s="575" t="s">
        <v>26</v>
      </c>
      <c r="B35" s="3" t="s">
        <v>138</v>
      </c>
      <c r="C35" s="4" t="s">
        <v>365</v>
      </c>
      <c r="D35" s="4" t="s">
        <v>284</v>
      </c>
      <c r="E35" s="4" t="s">
        <v>1274</v>
      </c>
      <c r="F35" s="4" t="s">
        <v>367</v>
      </c>
      <c r="G35" s="4" t="s">
        <v>365</v>
      </c>
      <c r="H35" s="764" t="s">
        <v>1624</v>
      </c>
      <c r="I35" s="4">
        <v>90025381</v>
      </c>
      <c r="J35" s="29" t="s">
        <v>65</v>
      </c>
      <c r="K35" s="832">
        <v>4</v>
      </c>
      <c r="L35" s="33"/>
      <c r="M35" s="32">
        <f>282-154</f>
        <v>128</v>
      </c>
      <c r="N35" s="32">
        <f>781-384</f>
        <v>397</v>
      </c>
      <c r="O35" s="32">
        <f>SUM(M35:N35)</f>
        <v>525</v>
      </c>
    </row>
    <row r="36" spans="1:15" ht="18">
      <c r="A36" s="575" t="s">
        <v>26</v>
      </c>
      <c r="B36" s="359" t="s">
        <v>1366</v>
      </c>
      <c r="C36" s="360" t="s">
        <v>389</v>
      </c>
      <c r="D36" s="360"/>
      <c r="E36" s="182"/>
      <c r="F36" s="182" t="s">
        <v>367</v>
      </c>
      <c r="G36" s="182" t="s">
        <v>365</v>
      </c>
      <c r="H36" s="764" t="s">
        <v>1625</v>
      </c>
      <c r="I36" s="182">
        <v>1403454</v>
      </c>
      <c r="J36" s="534" t="s">
        <v>716</v>
      </c>
      <c r="K36" s="829">
        <v>2</v>
      </c>
      <c r="L36" s="434">
        <f>55-52</f>
        <v>3</v>
      </c>
      <c r="M36" s="269"/>
      <c r="N36" s="269"/>
      <c r="O36" s="434">
        <f>L36</f>
        <v>3</v>
      </c>
    </row>
    <row r="37" spans="1:15" ht="18.75" thickBot="1">
      <c r="A37" s="575" t="s">
        <v>26</v>
      </c>
      <c r="B37" s="3"/>
      <c r="C37" s="4" t="s">
        <v>395</v>
      </c>
      <c r="D37" s="4"/>
      <c r="E37" s="4" t="s">
        <v>1880</v>
      </c>
      <c r="F37" s="4" t="s">
        <v>367</v>
      </c>
      <c r="G37" s="4" t="s">
        <v>365</v>
      </c>
      <c r="H37" s="764" t="s">
        <v>1881</v>
      </c>
      <c r="I37" s="4">
        <v>83291428</v>
      </c>
      <c r="J37" s="29" t="s">
        <v>65</v>
      </c>
      <c r="K37" s="832">
        <v>4</v>
      </c>
      <c r="L37" s="33"/>
      <c r="M37" s="32">
        <v>200</v>
      </c>
      <c r="N37" s="32">
        <v>300</v>
      </c>
      <c r="O37" s="32">
        <f>SUM(M37:N37)</f>
        <v>500</v>
      </c>
    </row>
    <row r="38" spans="1:15" ht="30">
      <c r="A38" s="1146"/>
      <c r="B38" s="1365" t="s">
        <v>22</v>
      </c>
      <c r="C38" s="306" t="s">
        <v>435</v>
      </c>
      <c r="D38" s="243"/>
      <c r="E38" s="246"/>
      <c r="G38" s="1622" t="s">
        <v>1920</v>
      </c>
      <c r="H38" s="1286" t="s">
        <v>404</v>
      </c>
      <c r="K38" s="528"/>
      <c r="N38" s="298" t="s">
        <v>23</v>
      </c>
      <c r="O38" s="602">
        <f>SUM(O18:O37)</f>
        <v>436462.95</v>
      </c>
    </row>
    <row r="39" spans="1:15" ht="15">
      <c r="A39" s="1146"/>
      <c r="B39" s="604"/>
      <c r="C39" s="309" t="s">
        <v>405</v>
      </c>
      <c r="D39" s="247"/>
      <c r="E39" s="246"/>
      <c r="F39" s="307"/>
      <c r="G39" s="1113"/>
      <c r="H39" s="1271" t="s">
        <v>405</v>
      </c>
      <c r="I39" s="307"/>
      <c r="J39" s="307"/>
      <c r="K39" s="529"/>
      <c r="L39" s="308"/>
      <c r="M39" s="308"/>
    </row>
    <row r="40" spans="1:15" ht="15.75" thickBot="1">
      <c r="A40" s="1146"/>
      <c r="B40" s="604"/>
      <c r="C40" s="309" t="s">
        <v>406</v>
      </c>
      <c r="D40" s="247"/>
      <c r="E40" s="246"/>
      <c r="F40" s="307"/>
      <c r="G40" s="1114"/>
      <c r="H40" s="1275" t="s">
        <v>406</v>
      </c>
      <c r="I40" s="307"/>
      <c r="J40" s="307"/>
      <c r="K40" s="529"/>
      <c r="L40" s="308"/>
      <c r="M40" s="308"/>
      <c r="N40" s="308"/>
      <c r="O40" s="308"/>
    </row>
    <row r="41" spans="1:15" ht="15">
      <c r="A41" s="1146"/>
      <c r="B41" s="604" t="s">
        <v>160</v>
      </c>
      <c r="C41" s="1272">
        <v>8222147162</v>
      </c>
      <c r="D41" s="247"/>
      <c r="E41" s="246"/>
      <c r="F41" s="307"/>
      <c r="G41" s="307"/>
      <c r="H41" s="307"/>
      <c r="I41" s="307"/>
      <c r="J41" s="307"/>
      <c r="K41" s="529"/>
      <c r="L41" s="308"/>
      <c r="M41" s="308"/>
      <c r="N41" s="308"/>
      <c r="O41" s="308"/>
    </row>
    <row r="42" spans="1:15" ht="15.75" thickBot="1">
      <c r="A42" s="287"/>
      <c r="B42" s="433" t="s">
        <v>1061</v>
      </c>
      <c r="C42" s="17" t="s">
        <v>1722</v>
      </c>
      <c r="D42" s="18"/>
      <c r="E42" s="307"/>
      <c r="F42" s="307"/>
      <c r="G42" s="307"/>
      <c r="H42" s="307"/>
      <c r="I42" s="307"/>
      <c r="J42" s="307"/>
      <c r="K42" s="529"/>
      <c r="L42" s="308"/>
      <c r="M42" s="308"/>
      <c r="N42" s="308"/>
      <c r="O42" s="308"/>
    </row>
    <row r="43" spans="1:15" ht="15">
      <c r="A43" s="760"/>
      <c r="B43" s="522"/>
      <c r="C43" s="309"/>
      <c r="D43" s="246"/>
      <c r="E43" s="307"/>
      <c r="F43" s="307"/>
      <c r="G43" s="307"/>
      <c r="H43" s="307"/>
      <c r="I43" s="307"/>
      <c r="J43" s="307"/>
      <c r="K43" s="529"/>
      <c r="L43" s="308"/>
      <c r="M43" s="308"/>
      <c r="N43" s="308"/>
      <c r="O43" s="308"/>
    </row>
    <row r="44" spans="1:15" ht="15.75" thickBot="1">
      <c r="A44" s="760"/>
      <c r="B44" s="522"/>
      <c r="C44" s="309"/>
      <c r="D44" s="246"/>
      <c r="E44" s="307"/>
      <c r="F44" s="307"/>
      <c r="G44" s="307"/>
      <c r="H44" s="307"/>
      <c r="I44" s="307"/>
      <c r="J44" s="307"/>
      <c r="K44" s="529"/>
      <c r="L44" s="308"/>
      <c r="M44" s="308"/>
      <c r="N44" s="308"/>
      <c r="O44" s="308"/>
    </row>
    <row r="45" spans="1:15" ht="39.75" customHeight="1">
      <c r="A45" s="1670" t="s">
        <v>6</v>
      </c>
      <c r="B45" s="1673" t="s">
        <v>633</v>
      </c>
      <c r="C45" s="1676" t="s">
        <v>8</v>
      </c>
      <c r="D45" s="1676" t="s">
        <v>9</v>
      </c>
      <c r="E45" s="1656" t="s">
        <v>634</v>
      </c>
      <c r="F45" s="1656" t="s">
        <v>11</v>
      </c>
      <c r="G45" s="1676" t="s">
        <v>12</v>
      </c>
      <c r="H45" s="1656" t="s">
        <v>13</v>
      </c>
      <c r="I45" s="1656" t="s">
        <v>269</v>
      </c>
      <c r="J45" s="1656" t="s">
        <v>59</v>
      </c>
      <c r="K45" s="1665" t="s">
        <v>635</v>
      </c>
      <c r="L45" s="1725" t="s">
        <v>636</v>
      </c>
      <c r="M45" s="1719"/>
      <c r="N45" s="1719"/>
      <c r="O45" s="1726"/>
    </row>
    <row r="46" spans="1:15" ht="39.75" customHeight="1">
      <c r="A46" s="1671"/>
      <c r="B46" s="1674"/>
      <c r="C46" s="1677"/>
      <c r="D46" s="1677"/>
      <c r="E46" s="1657"/>
      <c r="F46" s="1657"/>
      <c r="G46" s="1677"/>
      <c r="H46" s="1657"/>
      <c r="I46" s="1698"/>
      <c r="J46" s="1657"/>
      <c r="K46" s="1666"/>
      <c r="L46" s="1679" t="s">
        <v>637</v>
      </c>
      <c r="M46" s="1654"/>
      <c r="N46" s="1654"/>
      <c r="O46" s="1680"/>
    </row>
    <row r="47" spans="1:15" ht="39.75" customHeight="1" thickBot="1">
      <c r="A47" s="1672"/>
      <c r="B47" s="1675"/>
      <c r="C47" s="1678"/>
      <c r="D47" s="1678"/>
      <c r="E47" s="1658"/>
      <c r="F47" s="1658"/>
      <c r="G47" s="1678"/>
      <c r="H47" s="1658"/>
      <c r="I47" s="1699"/>
      <c r="J47" s="1658"/>
      <c r="K47" s="1667"/>
      <c r="L47" s="571" t="s">
        <v>638</v>
      </c>
      <c r="M47" s="761" t="s">
        <v>639</v>
      </c>
      <c r="N47" s="761" t="s">
        <v>640</v>
      </c>
      <c r="O47" s="762" t="s">
        <v>16</v>
      </c>
    </row>
    <row r="48" spans="1:15" ht="44.25" thickBot="1">
      <c r="A48" s="575" t="s">
        <v>26</v>
      </c>
      <c r="B48" s="1362" t="s">
        <v>411</v>
      </c>
      <c r="C48" s="1363" t="s">
        <v>412</v>
      </c>
      <c r="D48" s="1364" t="s">
        <v>239</v>
      </c>
      <c r="E48" s="1363">
        <v>11</v>
      </c>
      <c r="F48" s="1150" t="s">
        <v>367</v>
      </c>
      <c r="G48" s="1154" t="s">
        <v>365</v>
      </c>
      <c r="H48" s="768" t="s">
        <v>413</v>
      </c>
      <c r="I48" s="312">
        <v>90467535</v>
      </c>
      <c r="J48" s="85" t="s">
        <v>65</v>
      </c>
      <c r="K48" s="525">
        <v>6</v>
      </c>
      <c r="L48" s="297"/>
      <c r="M48" s="322">
        <f>8267-3688</f>
        <v>4579</v>
      </c>
      <c r="N48" s="322">
        <f>63106-32586</f>
        <v>30520</v>
      </c>
      <c r="O48" s="299">
        <f>M48+N48</f>
        <v>35099</v>
      </c>
    </row>
    <row r="49" spans="1:16" ht="30">
      <c r="A49" s="1146"/>
      <c r="B49" s="1365" t="s">
        <v>22</v>
      </c>
      <c r="C49" s="306" t="s">
        <v>435</v>
      </c>
      <c r="D49" s="243"/>
      <c r="E49" s="246"/>
      <c r="F49" s="362"/>
      <c r="G49" s="1622" t="s">
        <v>1920</v>
      </c>
      <c r="H49" s="306" t="s">
        <v>411</v>
      </c>
      <c r="I49" s="424"/>
      <c r="J49" s="307"/>
      <c r="K49" s="529"/>
      <c r="L49" s="308"/>
      <c r="M49" s="308"/>
      <c r="N49" s="298" t="s">
        <v>23</v>
      </c>
      <c r="O49" s="602">
        <f>SUM(O48)</f>
        <v>35099</v>
      </c>
    </row>
    <row r="50" spans="1:16" ht="15">
      <c r="A50" s="1146"/>
      <c r="B50" s="604"/>
      <c r="C50" s="309" t="s">
        <v>405</v>
      </c>
      <c r="D50" s="247"/>
      <c r="E50" s="246"/>
      <c r="F50" s="362"/>
      <c r="G50" s="1113"/>
      <c r="H50" s="309" t="s">
        <v>1261</v>
      </c>
      <c r="I50" s="425"/>
      <c r="J50" s="307"/>
      <c r="K50" s="529"/>
      <c r="L50" s="308"/>
      <c r="M50" s="308"/>
      <c r="N50" s="308"/>
      <c r="O50" s="308"/>
    </row>
    <row r="51" spans="1:16" ht="15">
      <c r="A51" s="1146"/>
      <c r="B51" s="604"/>
      <c r="C51" s="309" t="s">
        <v>406</v>
      </c>
      <c r="D51" s="247"/>
      <c r="E51" s="246"/>
      <c r="F51" s="362"/>
      <c r="G51" s="185"/>
      <c r="H51" s="54" t="s">
        <v>412</v>
      </c>
      <c r="I51" s="27"/>
      <c r="J51" s="307"/>
      <c r="K51" s="529"/>
      <c r="L51" s="308"/>
      <c r="M51" s="308"/>
      <c r="N51" s="308"/>
      <c r="O51" s="308"/>
    </row>
    <row r="52" spans="1:16" ht="15.75" thickBot="1">
      <c r="A52" s="1146"/>
      <c r="B52" s="604" t="s">
        <v>160</v>
      </c>
      <c r="C52" s="1272">
        <v>8222147162</v>
      </c>
      <c r="D52" s="247"/>
      <c r="E52" s="246"/>
      <c r="F52" s="362"/>
      <c r="G52" s="1114"/>
      <c r="H52" s="310" t="s">
        <v>406</v>
      </c>
      <c r="I52" s="426"/>
      <c r="J52" s="307"/>
    </row>
    <row r="53" spans="1:16" ht="15.75" thickBot="1">
      <c r="A53" s="760"/>
      <c r="B53" s="433" t="s">
        <v>1061</v>
      </c>
      <c r="C53" s="17" t="s">
        <v>1722</v>
      </c>
      <c r="D53" s="18"/>
      <c r="E53" s="362"/>
      <c r="F53" s="362"/>
      <c r="G53" s="307"/>
      <c r="H53" s="362"/>
      <c r="I53" s="307"/>
      <c r="J53" s="529"/>
      <c r="M53" s="308"/>
      <c r="N53" s="529"/>
      <c r="O53" s="308"/>
      <c r="P53" s="308"/>
    </row>
    <row r="54" spans="1:16" ht="15">
      <c r="A54" s="760"/>
      <c r="B54" s="522"/>
      <c r="C54" s="309"/>
      <c r="D54" s="246"/>
      <c r="E54" s="307"/>
      <c r="F54" s="307"/>
      <c r="I54" s="307"/>
      <c r="J54" s="307"/>
      <c r="M54" s="308"/>
      <c r="N54" s="308"/>
      <c r="O54" s="308"/>
    </row>
    <row r="55" spans="1:16" ht="15.75" thickBot="1">
      <c r="A55" s="760"/>
      <c r="B55" s="522"/>
      <c r="C55" s="309"/>
      <c r="D55" s="246"/>
      <c r="E55" s="307"/>
      <c r="F55" s="307"/>
      <c r="G55" s="307"/>
      <c r="H55" s="307"/>
      <c r="I55" s="307"/>
      <c r="J55" s="307"/>
      <c r="K55" s="529"/>
      <c r="L55" s="308"/>
      <c r="M55" s="308"/>
      <c r="N55" s="308"/>
      <c r="O55" s="308"/>
    </row>
    <row r="56" spans="1:16" ht="46.5" customHeight="1">
      <c r="A56" s="1670" t="s">
        <v>6</v>
      </c>
      <c r="B56" s="1673" t="s">
        <v>633</v>
      </c>
      <c r="C56" s="1676" t="s">
        <v>8</v>
      </c>
      <c r="D56" s="1676" t="s">
        <v>9</v>
      </c>
      <c r="E56" s="1656" t="s">
        <v>634</v>
      </c>
      <c r="F56" s="1656" t="s">
        <v>11</v>
      </c>
      <c r="G56" s="1676" t="s">
        <v>12</v>
      </c>
      <c r="H56" s="1656" t="s">
        <v>13</v>
      </c>
      <c r="I56" s="1656" t="s">
        <v>269</v>
      </c>
      <c r="J56" s="1656" t="s">
        <v>59</v>
      </c>
      <c r="K56" s="1665" t="s">
        <v>635</v>
      </c>
      <c r="L56" s="1725" t="s">
        <v>636</v>
      </c>
      <c r="M56" s="1719"/>
      <c r="N56" s="1719"/>
      <c r="O56" s="1726"/>
    </row>
    <row r="57" spans="1:16" ht="46.5" customHeight="1">
      <c r="A57" s="1671"/>
      <c r="B57" s="1674"/>
      <c r="C57" s="1677"/>
      <c r="D57" s="1677"/>
      <c r="E57" s="1657"/>
      <c r="F57" s="1657"/>
      <c r="G57" s="1677"/>
      <c r="H57" s="1657"/>
      <c r="I57" s="1698"/>
      <c r="J57" s="1657"/>
      <c r="K57" s="1666"/>
      <c r="L57" s="1679" t="s">
        <v>637</v>
      </c>
      <c r="M57" s="1654"/>
      <c r="N57" s="1654"/>
      <c r="O57" s="1680"/>
    </row>
    <row r="58" spans="1:16" ht="30" customHeight="1" thickBot="1">
      <c r="A58" s="1672"/>
      <c r="B58" s="1675"/>
      <c r="C58" s="1678"/>
      <c r="D58" s="1678"/>
      <c r="E58" s="1658"/>
      <c r="F58" s="1658"/>
      <c r="G58" s="1678"/>
      <c r="H58" s="1658"/>
      <c r="I58" s="1699"/>
      <c r="J58" s="1658"/>
      <c r="K58" s="1667"/>
      <c r="L58" s="571" t="s">
        <v>638</v>
      </c>
      <c r="M58" s="761" t="s">
        <v>639</v>
      </c>
      <c r="N58" s="761" t="s">
        <v>640</v>
      </c>
      <c r="O58" s="762" t="s">
        <v>16</v>
      </c>
    </row>
    <row r="59" spans="1:16" ht="44.25" thickBot="1">
      <c r="A59" s="575" t="s">
        <v>26</v>
      </c>
      <c r="B59" s="1362" t="s">
        <v>424</v>
      </c>
      <c r="C59" s="1363" t="s">
        <v>365</v>
      </c>
      <c r="D59" s="1364" t="s">
        <v>415</v>
      </c>
      <c r="E59" s="1363">
        <v>16</v>
      </c>
      <c r="F59" s="1150" t="s">
        <v>367</v>
      </c>
      <c r="G59" s="1154" t="s">
        <v>365</v>
      </c>
      <c r="H59" s="1551" t="s">
        <v>425</v>
      </c>
      <c r="I59" s="1154">
        <v>70507460</v>
      </c>
      <c r="J59" s="85" t="s">
        <v>65</v>
      </c>
      <c r="K59" s="527">
        <v>24</v>
      </c>
      <c r="L59" s="297"/>
      <c r="M59" s="322">
        <f>69300-51782</f>
        <v>17518</v>
      </c>
      <c r="N59" s="322">
        <f>55240-24467</f>
        <v>30773</v>
      </c>
      <c r="O59" s="299">
        <f>M59+N59</f>
        <v>48291</v>
      </c>
    </row>
    <row r="60" spans="1:16" ht="30">
      <c r="A60" s="1146"/>
      <c r="B60" s="1365" t="s">
        <v>22</v>
      </c>
      <c r="C60" s="306" t="s">
        <v>435</v>
      </c>
      <c r="D60" s="243"/>
      <c r="E60" s="246"/>
      <c r="F60" s="362"/>
      <c r="G60" s="1622" t="s">
        <v>1920</v>
      </c>
      <c r="H60" s="306" t="s">
        <v>1262</v>
      </c>
      <c r="I60" s="424"/>
      <c r="J60" s="307"/>
      <c r="K60" s="529"/>
      <c r="L60" s="308"/>
      <c r="M60" s="308"/>
      <c r="N60" s="298" t="s">
        <v>23</v>
      </c>
      <c r="O60" s="602">
        <f>O59</f>
        <v>48291</v>
      </c>
    </row>
    <row r="61" spans="1:16" ht="15">
      <c r="A61" s="1146"/>
      <c r="B61" s="604"/>
      <c r="C61" s="309" t="s">
        <v>405</v>
      </c>
      <c r="D61" s="247"/>
      <c r="E61" s="246"/>
      <c r="F61" s="362"/>
      <c r="G61" s="1113"/>
      <c r="H61" s="309" t="s">
        <v>1263</v>
      </c>
      <c r="I61" s="425"/>
      <c r="J61" s="307"/>
      <c r="K61" s="529"/>
      <c r="L61" s="308"/>
      <c r="M61" s="308"/>
      <c r="N61" s="308"/>
      <c r="O61" s="308"/>
    </row>
    <row r="62" spans="1:16" ht="15.75" thickBot="1">
      <c r="A62" s="1146"/>
      <c r="B62" s="604"/>
      <c r="C62" s="309" t="s">
        <v>406</v>
      </c>
      <c r="D62" s="247"/>
      <c r="E62" s="246"/>
      <c r="F62" s="362"/>
      <c r="G62" s="1114"/>
      <c r="H62" s="310" t="s">
        <v>406</v>
      </c>
      <c r="I62" s="426"/>
      <c r="J62" s="307"/>
      <c r="K62" s="529"/>
      <c r="L62" s="308"/>
      <c r="M62" s="308"/>
      <c r="N62" s="308"/>
      <c r="O62" s="308"/>
    </row>
    <row r="63" spans="1:16" ht="15">
      <c r="A63" s="1146"/>
      <c r="B63" s="604" t="s">
        <v>160</v>
      </c>
      <c r="C63" s="1272">
        <v>8222147162</v>
      </c>
      <c r="D63" s="247"/>
      <c r="E63" s="246"/>
      <c r="F63" s="362"/>
      <c r="G63" s="362"/>
      <c r="H63" s="362"/>
      <c r="I63" s="362"/>
      <c r="J63" s="307"/>
      <c r="K63" s="529"/>
      <c r="L63" s="308"/>
      <c r="M63" s="308"/>
      <c r="N63" s="308"/>
      <c r="O63" s="308"/>
    </row>
    <row r="64" spans="1:16" ht="15.75" thickBot="1">
      <c r="A64" s="760"/>
      <c r="B64" s="433" t="s">
        <v>1061</v>
      </c>
      <c r="C64" s="17" t="s">
        <v>1722</v>
      </c>
      <c r="D64" s="18"/>
      <c r="E64" s="362"/>
      <c r="F64" s="362"/>
      <c r="G64" s="362"/>
      <c r="H64" s="362"/>
      <c r="I64" s="362"/>
      <c r="J64" s="307"/>
      <c r="K64" s="529"/>
      <c r="L64" s="308"/>
      <c r="M64" s="308"/>
      <c r="N64" s="308"/>
      <c r="O64" s="308"/>
    </row>
    <row r="65" spans="1:15" ht="15">
      <c r="A65" s="760"/>
      <c r="B65" s="522"/>
      <c r="C65" s="309"/>
      <c r="D65" s="246"/>
      <c r="E65" s="307"/>
      <c r="F65" s="307"/>
      <c r="G65" s="307"/>
      <c r="H65" s="307"/>
      <c r="I65" s="307"/>
      <c r="J65" s="307"/>
      <c r="K65" s="529"/>
      <c r="L65" s="308"/>
      <c r="M65" s="308"/>
      <c r="N65" s="308"/>
      <c r="O65" s="308"/>
    </row>
    <row r="66" spans="1:15" ht="15.75" thickBot="1">
      <c r="A66" s="760"/>
      <c r="B66" s="522"/>
      <c r="C66" s="309"/>
      <c r="D66" s="246"/>
      <c r="E66" s="307"/>
      <c r="F66" s="307"/>
      <c r="G66" s="307"/>
      <c r="H66" s="307"/>
      <c r="I66" s="307"/>
      <c r="J66" s="307"/>
      <c r="K66" s="529"/>
      <c r="L66" s="308"/>
      <c r="M66" s="308"/>
      <c r="N66" s="308"/>
      <c r="O66" s="308"/>
    </row>
    <row r="67" spans="1:15" ht="41.25" customHeight="1">
      <c r="A67" s="1670" t="s">
        <v>6</v>
      </c>
      <c r="B67" s="1673" t="s">
        <v>633</v>
      </c>
      <c r="C67" s="1676" t="s">
        <v>8</v>
      </c>
      <c r="D67" s="1676" t="s">
        <v>9</v>
      </c>
      <c r="E67" s="1656" t="s">
        <v>634</v>
      </c>
      <c r="F67" s="1656" t="s">
        <v>11</v>
      </c>
      <c r="G67" s="1676" t="s">
        <v>12</v>
      </c>
      <c r="H67" s="1656" t="s">
        <v>13</v>
      </c>
      <c r="I67" s="1656" t="s">
        <v>269</v>
      </c>
      <c r="J67" s="1656" t="s">
        <v>59</v>
      </c>
      <c r="K67" s="1665" t="s">
        <v>635</v>
      </c>
      <c r="L67" s="1725" t="s">
        <v>636</v>
      </c>
      <c r="M67" s="1719"/>
      <c r="N67" s="1719"/>
      <c r="O67" s="1726"/>
    </row>
    <row r="68" spans="1:15" ht="41.25" customHeight="1">
      <c r="A68" s="1671"/>
      <c r="B68" s="1674"/>
      <c r="C68" s="1677"/>
      <c r="D68" s="1677"/>
      <c r="E68" s="1657"/>
      <c r="F68" s="1657"/>
      <c r="G68" s="1677"/>
      <c r="H68" s="1657"/>
      <c r="I68" s="1698"/>
      <c r="J68" s="1657"/>
      <c r="K68" s="1666"/>
      <c r="L68" s="1679" t="s">
        <v>637</v>
      </c>
      <c r="M68" s="1654"/>
      <c r="N68" s="1654"/>
      <c r="O68" s="1680"/>
    </row>
    <row r="69" spans="1:15" ht="41.25" customHeight="1" thickBot="1">
      <c r="A69" s="1672"/>
      <c r="B69" s="1675"/>
      <c r="C69" s="1678"/>
      <c r="D69" s="1678"/>
      <c r="E69" s="1658"/>
      <c r="F69" s="1658"/>
      <c r="G69" s="1678"/>
      <c r="H69" s="1658"/>
      <c r="I69" s="1699"/>
      <c r="J69" s="1658"/>
      <c r="K69" s="1667"/>
      <c r="L69" s="571" t="s">
        <v>638</v>
      </c>
      <c r="M69" s="761" t="s">
        <v>639</v>
      </c>
      <c r="N69" s="761" t="s">
        <v>640</v>
      </c>
      <c r="O69" s="762" t="s">
        <v>16</v>
      </c>
    </row>
    <row r="70" spans="1:15" ht="57.75">
      <c r="A70" s="575" t="s">
        <v>26</v>
      </c>
      <c r="B70" s="301" t="s">
        <v>426</v>
      </c>
      <c r="C70" s="300" t="s">
        <v>365</v>
      </c>
      <c r="D70" s="293" t="s">
        <v>415</v>
      </c>
      <c r="E70" s="312">
        <v>15</v>
      </c>
      <c r="F70" s="294" t="s">
        <v>367</v>
      </c>
      <c r="G70" s="300" t="s">
        <v>365</v>
      </c>
      <c r="H70" s="764" t="s">
        <v>427</v>
      </c>
      <c r="I70" s="300">
        <v>90342629</v>
      </c>
      <c r="J70" s="85" t="s">
        <v>65</v>
      </c>
      <c r="K70" s="527">
        <v>10</v>
      </c>
      <c r="L70" s="297"/>
      <c r="M70" s="31">
        <f>4965-2123</f>
        <v>2842</v>
      </c>
      <c r="N70" s="322">
        <f>8630-3787</f>
        <v>4843</v>
      </c>
      <c r="O70" s="299">
        <f>M70+N70</f>
        <v>7685</v>
      </c>
    </row>
    <row r="71" spans="1:15" ht="58.5" thickBot="1">
      <c r="A71" s="575" t="s">
        <v>26</v>
      </c>
      <c r="B71" s="301" t="s">
        <v>426</v>
      </c>
      <c r="C71" s="300" t="s">
        <v>365</v>
      </c>
      <c r="D71" s="293" t="s">
        <v>415</v>
      </c>
      <c r="E71" s="300">
        <v>15</v>
      </c>
      <c r="F71" s="294" t="s">
        <v>367</v>
      </c>
      <c r="G71" s="312" t="s">
        <v>365</v>
      </c>
      <c r="H71" s="771" t="s">
        <v>831</v>
      </c>
      <c r="I71" s="1369">
        <v>90342580</v>
      </c>
      <c r="J71" s="85" t="s">
        <v>65</v>
      </c>
      <c r="K71" s="525">
        <v>25</v>
      </c>
      <c r="L71" s="297"/>
      <c r="M71" s="322">
        <f>7461-2695</f>
        <v>4766</v>
      </c>
      <c r="N71" s="322">
        <f>38578-20006</f>
        <v>18572</v>
      </c>
      <c r="O71" s="299">
        <f>M71+N71</f>
        <v>23338</v>
      </c>
    </row>
    <row r="72" spans="1:15" ht="30">
      <c r="A72" s="1146"/>
      <c r="B72" s="1365" t="s">
        <v>22</v>
      </c>
      <c r="C72" s="306" t="s">
        <v>435</v>
      </c>
      <c r="D72" s="243"/>
      <c r="E72" s="246"/>
      <c r="F72" s="362"/>
      <c r="G72" s="1622" t="s">
        <v>1920</v>
      </c>
      <c r="H72" s="306" t="s">
        <v>1264</v>
      </c>
      <c r="I72" s="1370"/>
      <c r="J72" s="444"/>
      <c r="K72" s="447"/>
      <c r="L72" s="448"/>
      <c r="M72" s="448"/>
      <c r="N72" s="298" t="s">
        <v>23</v>
      </c>
      <c r="O72" s="678">
        <f>SUM(O70:O71)</f>
        <v>31023</v>
      </c>
    </row>
    <row r="73" spans="1:15" ht="15">
      <c r="A73" s="1146"/>
      <c r="B73" s="604"/>
      <c r="C73" s="309" t="s">
        <v>405</v>
      </c>
      <c r="D73" s="247"/>
      <c r="E73" s="246"/>
      <c r="F73" s="362"/>
      <c r="G73" s="1371"/>
      <c r="H73" s="309" t="s">
        <v>1265</v>
      </c>
      <c r="I73" s="1372"/>
      <c r="J73" s="444"/>
      <c r="K73" s="447"/>
      <c r="L73" s="448"/>
      <c r="M73" s="448"/>
      <c r="N73" s="448"/>
      <c r="O73" s="448"/>
    </row>
    <row r="74" spans="1:15" ht="15.75" thickBot="1">
      <c r="A74" s="1146"/>
      <c r="B74" s="604"/>
      <c r="C74" s="309" t="s">
        <v>406</v>
      </c>
      <c r="D74" s="247"/>
      <c r="E74" s="246"/>
      <c r="F74" s="362"/>
      <c r="G74" s="1373"/>
      <c r="H74" s="310" t="s">
        <v>406</v>
      </c>
      <c r="I74" s="1374"/>
      <c r="J74" s="444"/>
      <c r="K74" s="447"/>
      <c r="L74" s="448"/>
      <c r="M74" s="448"/>
      <c r="N74" s="448"/>
      <c r="O74" s="448"/>
    </row>
    <row r="75" spans="1:15" ht="15">
      <c r="A75" s="1146"/>
      <c r="B75" s="604" t="s">
        <v>160</v>
      </c>
      <c r="C75" s="1272">
        <v>8222147162</v>
      </c>
      <c r="D75" s="247"/>
      <c r="E75" s="246"/>
      <c r="F75" s="362"/>
      <c r="G75" s="445"/>
      <c r="H75" s="444"/>
      <c r="I75" s="446"/>
      <c r="J75" s="444"/>
      <c r="K75" s="447"/>
      <c r="L75" s="448"/>
      <c r="M75" s="448"/>
      <c r="N75" s="448"/>
      <c r="O75" s="448"/>
    </row>
    <row r="76" spans="1:15" ht="15.75" thickBot="1">
      <c r="A76" s="444"/>
      <c r="B76" s="433" t="s">
        <v>1061</v>
      </c>
      <c r="C76" s="17" t="s">
        <v>1722</v>
      </c>
      <c r="D76" s="18"/>
      <c r="E76" s="362"/>
      <c r="F76" s="362"/>
      <c r="G76" s="445"/>
      <c r="H76" s="444"/>
      <c r="I76" s="446"/>
      <c r="J76" s="444"/>
      <c r="K76" s="447"/>
      <c r="L76" s="448"/>
      <c r="M76" s="448"/>
      <c r="N76" s="448"/>
      <c r="O76" s="448"/>
    </row>
    <row r="77" spans="1:15">
      <c r="A77" s="444"/>
      <c r="B77" s="763"/>
      <c r="C77" s="445"/>
      <c r="D77" s="445"/>
      <c r="E77" s="444"/>
      <c r="F77" s="444"/>
      <c r="G77" s="445"/>
      <c r="H77" s="444"/>
      <c r="I77" s="446"/>
      <c r="J77" s="444"/>
      <c r="K77" s="447"/>
      <c r="L77" s="448"/>
      <c r="M77" s="448"/>
      <c r="N77" s="448"/>
      <c r="O77" s="448"/>
    </row>
    <row r="78" spans="1:15" ht="15" thickBot="1">
      <c r="A78" s="444"/>
      <c r="B78" s="763"/>
      <c r="C78" s="445"/>
      <c r="D78" s="445"/>
      <c r="E78" s="444"/>
      <c r="F78" s="444"/>
      <c r="G78" s="445"/>
      <c r="H78" s="444"/>
      <c r="I78" s="446"/>
      <c r="J78" s="444"/>
      <c r="K78" s="447"/>
      <c r="L78" s="448"/>
      <c r="M78" s="448"/>
      <c r="N78" s="448"/>
      <c r="O78" s="448"/>
    </row>
    <row r="79" spans="1:15" ht="38.25" customHeight="1">
      <c r="A79" s="1670" t="s">
        <v>6</v>
      </c>
      <c r="B79" s="1673" t="s">
        <v>633</v>
      </c>
      <c r="C79" s="1676" t="s">
        <v>8</v>
      </c>
      <c r="D79" s="1676" t="s">
        <v>9</v>
      </c>
      <c r="E79" s="1656" t="s">
        <v>634</v>
      </c>
      <c r="F79" s="1656" t="s">
        <v>11</v>
      </c>
      <c r="G79" s="1676" t="s">
        <v>12</v>
      </c>
      <c r="H79" s="1656" t="s">
        <v>13</v>
      </c>
      <c r="I79" s="1656" t="s">
        <v>269</v>
      </c>
      <c r="J79" s="1656" t="s">
        <v>59</v>
      </c>
      <c r="K79" s="1665" t="s">
        <v>635</v>
      </c>
      <c r="L79" s="1725" t="s">
        <v>636</v>
      </c>
      <c r="M79" s="1719"/>
      <c r="N79" s="1719"/>
      <c r="O79" s="1726"/>
    </row>
    <row r="80" spans="1:15" ht="38.25" customHeight="1">
      <c r="A80" s="1671"/>
      <c r="B80" s="1674"/>
      <c r="C80" s="1677"/>
      <c r="D80" s="1677"/>
      <c r="E80" s="1657"/>
      <c r="F80" s="1657"/>
      <c r="G80" s="1677"/>
      <c r="H80" s="1657"/>
      <c r="I80" s="1698"/>
      <c r="J80" s="1657"/>
      <c r="K80" s="1666"/>
      <c r="L80" s="1679" t="s">
        <v>637</v>
      </c>
      <c r="M80" s="1654"/>
      <c r="N80" s="1654"/>
      <c r="O80" s="1680"/>
    </row>
    <row r="81" spans="1:15" ht="38.25" customHeight="1" thickBot="1">
      <c r="A81" s="1672"/>
      <c r="B81" s="1675"/>
      <c r="C81" s="1678"/>
      <c r="D81" s="1678"/>
      <c r="E81" s="1658"/>
      <c r="F81" s="1658"/>
      <c r="G81" s="1678"/>
      <c r="H81" s="1658"/>
      <c r="I81" s="1699"/>
      <c r="J81" s="1658"/>
      <c r="K81" s="1667"/>
      <c r="L81" s="571" t="s">
        <v>638</v>
      </c>
      <c r="M81" s="761" t="s">
        <v>639</v>
      </c>
      <c r="N81" s="761" t="s">
        <v>640</v>
      </c>
      <c r="O81" s="762" t="s">
        <v>16</v>
      </c>
    </row>
    <row r="82" spans="1:15" ht="44.25" thickBot="1">
      <c r="A82" s="575" t="s">
        <v>26</v>
      </c>
      <c r="B82" s="1151" t="s">
        <v>414</v>
      </c>
      <c r="C82" s="1154" t="s">
        <v>365</v>
      </c>
      <c r="D82" s="1153" t="s">
        <v>415</v>
      </c>
      <c r="E82" s="1154">
        <v>9</v>
      </c>
      <c r="F82" s="1150" t="s">
        <v>367</v>
      </c>
      <c r="G82" s="300" t="s">
        <v>365</v>
      </c>
      <c r="H82" s="1264" t="s">
        <v>416</v>
      </c>
      <c r="I82" s="300">
        <v>90342638</v>
      </c>
      <c r="J82" s="85" t="s">
        <v>65</v>
      </c>
      <c r="K82" s="525">
        <v>7</v>
      </c>
      <c r="L82" s="297"/>
      <c r="M82" s="322">
        <v>1000</v>
      </c>
      <c r="N82" s="322">
        <v>1700</v>
      </c>
      <c r="O82" s="299">
        <f>M82+N82</f>
        <v>2700</v>
      </c>
    </row>
    <row r="83" spans="1:15" ht="30">
      <c r="A83" s="444"/>
      <c r="B83" s="464" t="s">
        <v>22</v>
      </c>
      <c r="C83" s="306" t="s">
        <v>1266</v>
      </c>
      <c r="D83" s="242"/>
      <c r="E83" s="424"/>
      <c r="F83" s="362"/>
      <c r="G83" s="1622" t="s">
        <v>1920</v>
      </c>
      <c r="H83" s="306" t="s">
        <v>1266</v>
      </c>
      <c r="I83" s="243"/>
      <c r="J83" s="444"/>
      <c r="K83" s="447"/>
      <c r="L83" s="448"/>
      <c r="M83" s="448"/>
      <c r="N83" s="298" t="s">
        <v>23</v>
      </c>
      <c r="O83" s="678">
        <f>SUM(O82)</f>
        <v>2700</v>
      </c>
    </row>
    <row r="84" spans="1:15" ht="15">
      <c r="A84" s="444"/>
      <c r="B84" s="192"/>
      <c r="C84" s="309" t="s">
        <v>1267</v>
      </c>
      <c r="D84" s="246"/>
      <c r="E84" s="425"/>
      <c r="F84" s="362"/>
      <c r="G84" s="1371"/>
      <c r="H84" s="309" t="s">
        <v>1267</v>
      </c>
      <c r="I84" s="247"/>
      <c r="J84" s="444"/>
      <c r="K84" s="447"/>
      <c r="L84" s="448"/>
      <c r="M84" s="448"/>
      <c r="N84" s="448"/>
      <c r="O84" s="448"/>
    </row>
    <row r="85" spans="1:15" ht="15.75" thickBot="1">
      <c r="A85" s="444"/>
      <c r="B85" s="192"/>
      <c r="C85" s="309" t="s">
        <v>406</v>
      </c>
      <c r="D85" s="246"/>
      <c r="E85" s="425"/>
      <c r="F85" s="362"/>
      <c r="G85" s="1373"/>
      <c r="H85" s="310" t="s">
        <v>406</v>
      </c>
      <c r="I85" s="251"/>
      <c r="J85" s="444"/>
      <c r="K85" s="447"/>
      <c r="L85" s="448"/>
      <c r="M85" s="448"/>
      <c r="N85" s="448"/>
      <c r="O85" s="448"/>
    </row>
    <row r="86" spans="1:15" ht="15">
      <c r="A86" s="444"/>
      <c r="B86" s="604" t="s">
        <v>160</v>
      </c>
      <c r="C86" s="309" t="s">
        <v>1268</v>
      </c>
      <c r="D86" s="246"/>
      <c r="E86" s="425"/>
      <c r="F86" s="362"/>
      <c r="G86" s="445"/>
      <c r="H86" s="444"/>
      <c r="I86" s="446"/>
      <c r="J86" s="444"/>
      <c r="K86" s="447"/>
      <c r="L86" s="448"/>
      <c r="M86" s="448"/>
      <c r="N86" s="448"/>
      <c r="O86" s="448"/>
    </row>
    <row r="87" spans="1:15" ht="15.75" thickBot="1">
      <c r="A87" s="444"/>
      <c r="B87" s="465" t="s">
        <v>1061</v>
      </c>
      <c r="C87" s="310" t="s">
        <v>1628</v>
      </c>
      <c r="D87" s="250"/>
      <c r="E87" s="426"/>
      <c r="F87" s="362"/>
      <c r="G87" s="445"/>
      <c r="H87" s="444"/>
      <c r="I87" s="446"/>
      <c r="J87" s="444"/>
      <c r="K87" s="447"/>
      <c r="L87" s="448"/>
      <c r="M87" s="448"/>
      <c r="N87" s="448"/>
      <c r="O87" s="448"/>
    </row>
    <row r="88" spans="1:15">
      <c r="A88" s="444"/>
      <c r="B88" s="763"/>
      <c r="C88" s="445"/>
      <c r="D88" s="445"/>
      <c r="E88" s="444"/>
      <c r="F88" s="444"/>
      <c r="G88" s="445"/>
      <c r="H88" s="444"/>
      <c r="I88" s="446"/>
      <c r="J88" s="444"/>
      <c r="K88" s="447"/>
      <c r="L88" s="448"/>
      <c r="M88" s="448"/>
      <c r="N88" s="448"/>
      <c r="O88" s="448"/>
    </row>
    <row r="89" spans="1:15" ht="15" thickBot="1">
      <c r="A89" s="444"/>
      <c r="B89" s="763"/>
      <c r="C89" s="445"/>
      <c r="D89" s="445"/>
      <c r="E89" s="444"/>
      <c r="F89" s="444"/>
      <c r="G89" s="445"/>
      <c r="H89" s="444"/>
      <c r="I89" s="446"/>
      <c r="J89" s="444"/>
      <c r="K89" s="447"/>
      <c r="L89" s="448"/>
      <c r="M89" s="448"/>
      <c r="N89" s="448"/>
      <c r="O89" s="448"/>
    </row>
    <row r="90" spans="1:15" ht="36.75" customHeight="1">
      <c r="A90" s="1670" t="s">
        <v>6</v>
      </c>
      <c r="B90" s="1673" t="s">
        <v>633</v>
      </c>
      <c r="C90" s="1676" t="s">
        <v>8</v>
      </c>
      <c r="D90" s="1676" t="s">
        <v>9</v>
      </c>
      <c r="E90" s="1656" t="s">
        <v>634</v>
      </c>
      <c r="F90" s="1656" t="s">
        <v>11</v>
      </c>
      <c r="G90" s="1676" t="s">
        <v>12</v>
      </c>
      <c r="H90" s="1656" t="s">
        <v>13</v>
      </c>
      <c r="I90" s="1656" t="s">
        <v>269</v>
      </c>
      <c r="J90" s="1656" t="s">
        <v>59</v>
      </c>
      <c r="K90" s="1665" t="s">
        <v>635</v>
      </c>
      <c r="L90" s="1725" t="s">
        <v>636</v>
      </c>
      <c r="M90" s="1719"/>
      <c r="N90" s="1719"/>
      <c r="O90" s="1726"/>
    </row>
    <row r="91" spans="1:15" ht="36.75" customHeight="1">
      <c r="A91" s="1671"/>
      <c r="B91" s="1674"/>
      <c r="C91" s="1677"/>
      <c r="D91" s="1677"/>
      <c r="E91" s="1657"/>
      <c r="F91" s="1657"/>
      <c r="G91" s="1677"/>
      <c r="H91" s="1657"/>
      <c r="I91" s="1698"/>
      <c r="J91" s="1657"/>
      <c r="K91" s="1666"/>
      <c r="L91" s="1679" t="s">
        <v>637</v>
      </c>
      <c r="M91" s="1654"/>
      <c r="N91" s="1654"/>
      <c r="O91" s="1680"/>
    </row>
    <row r="92" spans="1:15" ht="36.75" customHeight="1" thickBot="1">
      <c r="A92" s="1672"/>
      <c r="B92" s="1675"/>
      <c r="C92" s="1678"/>
      <c r="D92" s="1678"/>
      <c r="E92" s="1658"/>
      <c r="F92" s="1658"/>
      <c r="G92" s="1678"/>
      <c r="H92" s="1658"/>
      <c r="I92" s="1699"/>
      <c r="J92" s="1658"/>
      <c r="K92" s="1667"/>
      <c r="L92" s="571" t="s">
        <v>638</v>
      </c>
      <c r="M92" s="761" t="s">
        <v>639</v>
      </c>
      <c r="N92" s="761" t="s">
        <v>640</v>
      </c>
      <c r="O92" s="762" t="s">
        <v>16</v>
      </c>
    </row>
    <row r="93" spans="1:15" ht="44.25" thickBot="1">
      <c r="A93" s="575" t="s">
        <v>26</v>
      </c>
      <c r="B93" s="1362" t="s">
        <v>421</v>
      </c>
      <c r="C93" s="1363" t="s">
        <v>407</v>
      </c>
      <c r="D93" s="1366"/>
      <c r="E93" s="1367" t="s">
        <v>422</v>
      </c>
      <c r="F93" s="1150" t="s">
        <v>367</v>
      </c>
      <c r="G93" s="1154" t="s">
        <v>365</v>
      </c>
      <c r="H93" s="768" t="s">
        <v>423</v>
      </c>
      <c r="I93" s="312">
        <v>70995957</v>
      </c>
      <c r="J93" s="85" t="s">
        <v>65</v>
      </c>
      <c r="K93" s="525">
        <v>35</v>
      </c>
      <c r="L93" s="297"/>
      <c r="M93" s="322">
        <f>62096-52980</f>
        <v>9116</v>
      </c>
      <c r="N93" s="322">
        <f>155396-138030</f>
        <v>17366</v>
      </c>
      <c r="O93" s="299">
        <f>M93+N93</f>
        <v>26482</v>
      </c>
    </row>
    <row r="94" spans="1:15" ht="30">
      <c r="A94" s="1146"/>
      <c r="B94" s="1365" t="s">
        <v>22</v>
      </c>
      <c r="C94" s="306" t="s">
        <v>435</v>
      </c>
      <c r="D94" s="243"/>
      <c r="E94" s="246"/>
      <c r="F94" s="362"/>
      <c r="G94" s="1622" t="s">
        <v>1920</v>
      </c>
      <c r="H94" s="306" t="s">
        <v>1269</v>
      </c>
      <c r="I94" s="1370"/>
      <c r="J94" s="444"/>
      <c r="K94" s="447"/>
      <c r="L94" s="448"/>
      <c r="M94" s="448"/>
      <c r="N94" s="298" t="s">
        <v>23</v>
      </c>
      <c r="O94" s="678">
        <f>SUM(O93)</f>
        <v>26482</v>
      </c>
    </row>
    <row r="95" spans="1:15" ht="15">
      <c r="A95" s="1146"/>
      <c r="B95" s="604"/>
      <c r="C95" s="309" t="s">
        <v>405</v>
      </c>
      <c r="D95" s="247"/>
      <c r="E95" s="246"/>
      <c r="F95" s="362"/>
      <c r="G95" s="1371"/>
      <c r="H95" s="309" t="s">
        <v>1270</v>
      </c>
      <c r="I95" s="1372"/>
      <c r="J95" s="444"/>
      <c r="K95" s="447"/>
      <c r="L95" s="448"/>
      <c r="M95" s="448"/>
      <c r="N95" s="448"/>
      <c r="O95" s="448"/>
    </row>
    <row r="96" spans="1:15" ht="15.75" thickBot="1">
      <c r="A96" s="1146"/>
      <c r="B96" s="604"/>
      <c r="C96" s="309" t="s">
        <v>406</v>
      </c>
      <c r="D96" s="247"/>
      <c r="E96" s="246"/>
      <c r="F96" s="362"/>
      <c r="G96" s="1373"/>
      <c r="H96" s="310" t="s">
        <v>406</v>
      </c>
      <c r="I96" s="1374"/>
      <c r="J96" s="444"/>
      <c r="K96" s="447"/>
      <c r="L96" s="448"/>
      <c r="M96" s="448"/>
      <c r="N96" s="448"/>
      <c r="O96" s="448"/>
    </row>
    <row r="97" spans="1:15" ht="15">
      <c r="A97" s="1146"/>
      <c r="B97" s="604" t="s">
        <v>160</v>
      </c>
      <c r="C97" s="1272">
        <v>8222147162</v>
      </c>
      <c r="D97" s="247"/>
      <c r="E97" s="246"/>
      <c r="F97" s="362"/>
      <c r="G97" s="445"/>
      <c r="H97" s="444"/>
      <c r="I97" s="446"/>
      <c r="J97" s="444"/>
      <c r="K97" s="447"/>
      <c r="L97" s="448"/>
      <c r="M97" s="448"/>
      <c r="N97" s="448"/>
      <c r="O97" s="448"/>
    </row>
    <row r="98" spans="1:15" ht="15.75" thickBot="1">
      <c r="A98" s="444"/>
      <c r="B98" s="433" t="s">
        <v>1061</v>
      </c>
      <c r="C98" s="17" t="s">
        <v>1722</v>
      </c>
      <c r="D98" s="18"/>
      <c r="E98" s="362"/>
      <c r="F98" s="362"/>
      <c r="G98" s="445"/>
      <c r="H98" s="444"/>
      <c r="I98" s="446"/>
      <c r="J98" s="444"/>
      <c r="K98" s="447"/>
      <c r="L98" s="448"/>
      <c r="M98" s="448"/>
      <c r="N98" s="448"/>
      <c r="O98" s="448"/>
    </row>
    <row r="99" spans="1:15">
      <c r="A99" s="444"/>
      <c r="B99" s="763"/>
      <c r="C99" s="445"/>
      <c r="D99" s="445"/>
      <c r="E99" s="444"/>
      <c r="F99" s="444"/>
      <c r="G99" s="445"/>
      <c r="H99" s="444"/>
      <c r="I99" s="446"/>
      <c r="J99" s="444"/>
      <c r="K99" s="447"/>
      <c r="L99" s="448"/>
      <c r="M99" s="448"/>
      <c r="N99" s="448"/>
      <c r="O99" s="448"/>
    </row>
    <row r="100" spans="1:15" ht="15" thickBot="1">
      <c r="A100" s="444"/>
      <c r="B100" s="763"/>
      <c r="C100" s="445"/>
      <c r="D100" s="445"/>
      <c r="E100" s="444"/>
      <c r="F100" s="444"/>
      <c r="G100" s="445"/>
      <c r="H100" s="444"/>
      <c r="I100" s="446"/>
      <c r="J100" s="444"/>
      <c r="K100" s="447"/>
      <c r="L100" s="448"/>
      <c r="M100" s="448"/>
      <c r="N100" s="448"/>
      <c r="O100" s="448"/>
    </row>
    <row r="101" spans="1:15" ht="41.25" customHeight="1">
      <c r="A101" s="1670" t="s">
        <v>6</v>
      </c>
      <c r="B101" s="1673" t="s">
        <v>633</v>
      </c>
      <c r="C101" s="1676" t="s">
        <v>8</v>
      </c>
      <c r="D101" s="1676" t="s">
        <v>9</v>
      </c>
      <c r="E101" s="1656" t="s">
        <v>634</v>
      </c>
      <c r="F101" s="1656" t="s">
        <v>11</v>
      </c>
      <c r="G101" s="1676" t="s">
        <v>12</v>
      </c>
      <c r="H101" s="1656" t="s">
        <v>13</v>
      </c>
      <c r="I101" s="1656" t="s">
        <v>269</v>
      </c>
      <c r="J101" s="1656" t="s">
        <v>59</v>
      </c>
      <c r="K101" s="1665" t="s">
        <v>635</v>
      </c>
      <c r="L101" s="1725" t="s">
        <v>636</v>
      </c>
      <c r="M101" s="1719"/>
      <c r="N101" s="1719"/>
      <c r="O101" s="1726"/>
    </row>
    <row r="102" spans="1:15" ht="41.25" customHeight="1">
      <c r="A102" s="1671"/>
      <c r="B102" s="1674"/>
      <c r="C102" s="1677"/>
      <c r="D102" s="1677"/>
      <c r="E102" s="1657"/>
      <c r="F102" s="1657"/>
      <c r="G102" s="1677"/>
      <c r="H102" s="1657"/>
      <c r="I102" s="1698"/>
      <c r="J102" s="1657"/>
      <c r="K102" s="1666"/>
      <c r="L102" s="1679" t="s">
        <v>637</v>
      </c>
      <c r="M102" s="1654"/>
      <c r="N102" s="1654"/>
      <c r="O102" s="1680"/>
    </row>
    <row r="103" spans="1:15" ht="41.25" customHeight="1" thickBot="1">
      <c r="A103" s="1672"/>
      <c r="B103" s="1675"/>
      <c r="C103" s="1678"/>
      <c r="D103" s="1678"/>
      <c r="E103" s="1658"/>
      <c r="F103" s="1658"/>
      <c r="G103" s="1678"/>
      <c r="H103" s="1658"/>
      <c r="I103" s="1699"/>
      <c r="J103" s="1658"/>
      <c r="K103" s="1667"/>
      <c r="L103" s="571" t="s">
        <v>638</v>
      </c>
      <c r="M103" s="761" t="s">
        <v>639</v>
      </c>
      <c r="N103" s="761" t="s">
        <v>640</v>
      </c>
      <c r="O103" s="762" t="s">
        <v>16</v>
      </c>
    </row>
    <row r="104" spans="1:15" ht="44.25" thickBot="1">
      <c r="A104" s="575" t="s">
        <v>26</v>
      </c>
      <c r="B104" s="1362" t="s">
        <v>417</v>
      </c>
      <c r="C104" s="1363" t="s">
        <v>418</v>
      </c>
      <c r="D104" s="1364"/>
      <c r="E104" s="1367" t="s">
        <v>419</v>
      </c>
      <c r="F104" s="1150" t="s">
        <v>367</v>
      </c>
      <c r="G104" s="1154" t="s">
        <v>365</v>
      </c>
      <c r="H104" s="768" t="s">
        <v>420</v>
      </c>
      <c r="I104" s="312">
        <v>70926467</v>
      </c>
      <c r="J104" s="85" t="s">
        <v>65</v>
      </c>
      <c r="K104" s="525">
        <v>26</v>
      </c>
      <c r="L104" s="297"/>
      <c r="M104" s="322">
        <f>8316-4929</f>
        <v>3387</v>
      </c>
      <c r="N104" s="322">
        <f>12938-6336</f>
        <v>6602</v>
      </c>
      <c r="O104" s="299">
        <f>M104+N104</f>
        <v>9989</v>
      </c>
    </row>
    <row r="105" spans="1:15" ht="30">
      <c r="A105" s="1146"/>
      <c r="B105" s="1365" t="s">
        <v>22</v>
      </c>
      <c r="C105" s="306" t="s">
        <v>435</v>
      </c>
      <c r="D105" s="243"/>
      <c r="E105" s="246"/>
      <c r="F105" s="362"/>
      <c r="G105" s="1622" t="s">
        <v>1920</v>
      </c>
      <c r="H105" s="306" t="s">
        <v>1626</v>
      </c>
      <c r="I105" s="1370"/>
      <c r="J105" s="444"/>
      <c r="K105" s="447"/>
      <c r="L105" s="448"/>
      <c r="M105" s="448"/>
      <c r="N105" s="298" t="s">
        <v>23</v>
      </c>
      <c r="O105" s="678">
        <f>SUM(O104)</f>
        <v>9989</v>
      </c>
    </row>
    <row r="106" spans="1:15" ht="15">
      <c r="A106" s="1146"/>
      <c r="B106" s="604"/>
      <c r="C106" s="309" t="s">
        <v>405</v>
      </c>
      <c r="D106" s="247"/>
      <c r="E106" s="246"/>
      <c r="F106" s="362"/>
      <c r="G106" s="1371"/>
      <c r="H106" s="309" t="s">
        <v>1271</v>
      </c>
      <c r="I106" s="1372"/>
      <c r="J106" s="444"/>
      <c r="K106" s="447"/>
      <c r="L106" s="448"/>
      <c r="M106" s="448"/>
      <c r="N106" s="448"/>
      <c r="O106" s="448"/>
    </row>
    <row r="107" spans="1:15" ht="15.75" thickBot="1">
      <c r="A107" s="1146"/>
      <c r="B107" s="604"/>
      <c r="C107" s="309" t="s">
        <v>406</v>
      </c>
      <c r="D107" s="247"/>
      <c r="E107" s="246"/>
      <c r="F107" s="362"/>
      <c r="G107" s="1373"/>
      <c r="H107" s="310" t="s">
        <v>406</v>
      </c>
      <c r="I107" s="1374"/>
      <c r="J107" s="444"/>
      <c r="K107" s="447"/>
      <c r="L107" s="448"/>
      <c r="M107" s="448"/>
      <c r="N107" s="448"/>
      <c r="O107" s="448"/>
    </row>
    <row r="108" spans="1:15" ht="15">
      <c r="A108" s="1146"/>
      <c r="B108" s="604" t="s">
        <v>160</v>
      </c>
      <c r="C108" s="1272">
        <v>8222147162</v>
      </c>
      <c r="D108" s="247"/>
      <c r="E108" s="246"/>
      <c r="F108" s="362"/>
      <c r="G108" s="320"/>
      <c r="H108" s="765"/>
      <c r="I108" s="765"/>
      <c r="J108" s="765"/>
      <c r="K108" s="766"/>
      <c r="L108" s="767"/>
      <c r="M108" s="767"/>
      <c r="N108" s="767"/>
      <c r="O108" s="767"/>
    </row>
    <row r="109" spans="1:15" ht="15.75" thickBot="1">
      <c r="A109" s="74"/>
      <c r="B109" s="433" t="s">
        <v>1061</v>
      </c>
      <c r="C109" s="17" t="s">
        <v>1722</v>
      </c>
      <c r="D109" s="18"/>
      <c r="E109" s="362"/>
      <c r="F109" s="362"/>
      <c r="G109" s="320"/>
      <c r="H109" s="765"/>
      <c r="I109" s="765"/>
      <c r="J109" s="765"/>
      <c r="K109" s="766"/>
      <c r="L109" s="767"/>
      <c r="M109" s="767"/>
      <c r="N109" s="767"/>
      <c r="O109" s="767"/>
    </row>
    <row r="110" spans="1:15" ht="15">
      <c r="A110" s="760"/>
      <c r="B110" s="522"/>
      <c r="C110" s="309"/>
      <c r="D110" s="246"/>
      <c r="E110" s="307"/>
      <c r="F110" s="307"/>
      <c r="G110" s="307"/>
      <c r="H110" s="307"/>
      <c r="I110" s="307"/>
      <c r="J110" s="307"/>
      <c r="K110" s="529"/>
      <c r="L110" s="308"/>
      <c r="M110" s="308"/>
      <c r="N110" s="308"/>
      <c r="O110" s="308"/>
    </row>
    <row r="111" spans="1:15" ht="15.75" thickBot="1">
      <c r="A111" s="287"/>
      <c r="B111" s="246"/>
      <c r="C111" s="309"/>
      <c r="D111" s="246"/>
      <c r="E111" s="307"/>
      <c r="F111" s="307"/>
      <c r="G111" s="307"/>
      <c r="H111" s="307"/>
      <c r="I111" s="307"/>
      <c r="J111" s="307"/>
      <c r="K111" s="529"/>
      <c r="L111" s="308"/>
      <c r="M111" s="308"/>
      <c r="N111" s="308"/>
      <c r="O111" s="308"/>
    </row>
    <row r="112" spans="1:15" ht="36.75" customHeight="1">
      <c r="A112" s="1670" t="s">
        <v>6</v>
      </c>
      <c r="B112" s="1673" t="s">
        <v>633</v>
      </c>
      <c r="C112" s="1676" t="s">
        <v>8</v>
      </c>
      <c r="D112" s="1676" t="s">
        <v>9</v>
      </c>
      <c r="E112" s="1656" t="s">
        <v>634</v>
      </c>
      <c r="F112" s="1656" t="s">
        <v>11</v>
      </c>
      <c r="G112" s="1676" t="s">
        <v>12</v>
      </c>
      <c r="H112" s="1656" t="s">
        <v>13</v>
      </c>
      <c r="I112" s="1656" t="s">
        <v>269</v>
      </c>
      <c r="J112" s="1656" t="s">
        <v>59</v>
      </c>
      <c r="K112" s="1764" t="s">
        <v>635</v>
      </c>
      <c r="L112" s="1725" t="s">
        <v>636</v>
      </c>
      <c r="M112" s="1719"/>
      <c r="N112" s="1719"/>
      <c r="O112" s="1726"/>
    </row>
    <row r="113" spans="1:15" ht="42" customHeight="1">
      <c r="A113" s="1671"/>
      <c r="B113" s="1674"/>
      <c r="C113" s="1677"/>
      <c r="D113" s="1677"/>
      <c r="E113" s="1657"/>
      <c r="F113" s="1657"/>
      <c r="G113" s="1677"/>
      <c r="H113" s="1657"/>
      <c r="I113" s="1698"/>
      <c r="J113" s="1657"/>
      <c r="K113" s="1765"/>
      <c r="L113" s="1679" t="s">
        <v>637</v>
      </c>
      <c r="M113" s="1654"/>
      <c r="N113" s="1654"/>
      <c r="O113" s="1680"/>
    </row>
    <row r="114" spans="1:15" ht="25.5" customHeight="1" thickBot="1">
      <c r="A114" s="1672"/>
      <c r="B114" s="1675"/>
      <c r="C114" s="1678"/>
      <c r="D114" s="1678"/>
      <c r="E114" s="1658"/>
      <c r="F114" s="1658"/>
      <c r="G114" s="1678"/>
      <c r="H114" s="1658"/>
      <c r="I114" s="1699"/>
      <c r="J114" s="1658"/>
      <c r="K114" s="1766"/>
      <c r="L114" s="263" t="s">
        <v>638</v>
      </c>
      <c r="M114" s="270" t="s">
        <v>639</v>
      </c>
      <c r="N114" s="270" t="s">
        <v>640</v>
      </c>
      <c r="O114" s="265" t="s">
        <v>16</v>
      </c>
    </row>
    <row r="115" spans="1:15" ht="18">
      <c r="A115" s="601" t="s">
        <v>26</v>
      </c>
      <c r="B115" s="420"/>
      <c r="C115" s="769" t="s">
        <v>365</v>
      </c>
      <c r="D115" s="669" t="s">
        <v>754</v>
      </c>
      <c r="E115" s="373">
        <v>36</v>
      </c>
      <c r="F115" s="421" t="s">
        <v>367</v>
      </c>
      <c r="G115" s="422" t="s">
        <v>365</v>
      </c>
      <c r="H115" s="710" t="s">
        <v>755</v>
      </c>
      <c r="I115" s="373">
        <v>234589</v>
      </c>
      <c r="J115" s="523" t="s">
        <v>28</v>
      </c>
      <c r="K115" s="530">
        <v>22</v>
      </c>
      <c r="L115" s="315">
        <f>25590-20419</f>
        <v>5171</v>
      </c>
      <c r="M115" s="427"/>
      <c r="N115" s="427"/>
      <c r="O115" s="315">
        <f>L115</f>
        <v>5171</v>
      </c>
    </row>
    <row r="116" spans="1:15" ht="18.75" thickBot="1">
      <c r="A116" s="575" t="s">
        <v>26</v>
      </c>
      <c r="B116" s="651"/>
      <c r="C116" s="606" t="s">
        <v>365</v>
      </c>
      <c r="D116" s="46" t="s">
        <v>754</v>
      </c>
      <c r="E116" s="295">
        <v>36</v>
      </c>
      <c r="F116" s="294" t="s">
        <v>367</v>
      </c>
      <c r="G116" s="312" t="s">
        <v>365</v>
      </c>
      <c r="H116" s="771" t="s">
        <v>756</v>
      </c>
      <c r="I116" s="314">
        <v>4143422</v>
      </c>
      <c r="J116" s="486" t="s">
        <v>28</v>
      </c>
      <c r="K116" s="527">
        <v>33</v>
      </c>
      <c r="L116" s="298">
        <f>(2920.26-1377.28)*30</f>
        <v>46289.400000000009</v>
      </c>
      <c r="M116" s="297"/>
      <c r="N116" s="297"/>
      <c r="O116" s="298">
        <f>L116</f>
        <v>46289.400000000009</v>
      </c>
    </row>
    <row r="117" spans="1:15" ht="30">
      <c r="A117" s="287"/>
      <c r="B117" s="1365" t="s">
        <v>22</v>
      </c>
      <c r="C117" s="306" t="s">
        <v>435</v>
      </c>
      <c r="D117" s="243"/>
      <c r="E117" s="246"/>
      <c r="F117" s="307"/>
      <c r="G117" s="1622" t="s">
        <v>1920</v>
      </c>
      <c r="H117" s="306" t="s">
        <v>752</v>
      </c>
      <c r="I117" s="424"/>
      <c r="J117" s="307"/>
      <c r="K117" s="529"/>
      <c r="L117" s="308"/>
      <c r="M117" s="308"/>
      <c r="N117" s="298" t="s">
        <v>23</v>
      </c>
      <c r="O117" s="602">
        <f>SUM(O115:O116)</f>
        <v>51460.400000000009</v>
      </c>
    </row>
    <row r="118" spans="1:15" ht="15">
      <c r="A118" s="287"/>
      <c r="B118" s="604"/>
      <c r="C118" s="309" t="s">
        <v>405</v>
      </c>
      <c r="D118" s="247"/>
      <c r="E118" s="246"/>
      <c r="F118" s="307"/>
      <c r="G118" s="1113"/>
      <c r="H118" s="309" t="s">
        <v>753</v>
      </c>
      <c r="I118" s="425"/>
      <c r="J118" s="307"/>
      <c r="K118" s="529"/>
      <c r="L118" s="308"/>
      <c r="M118" s="308"/>
      <c r="N118" s="308"/>
      <c r="O118" s="308"/>
    </row>
    <row r="119" spans="1:15" ht="15.75" thickBot="1">
      <c r="A119" s="287"/>
      <c r="B119" s="604"/>
      <c r="C119" s="309" t="s">
        <v>406</v>
      </c>
      <c r="D119" s="247"/>
      <c r="E119" s="246"/>
      <c r="F119" s="307"/>
      <c r="G119" s="1114"/>
      <c r="H119" s="310" t="s">
        <v>406</v>
      </c>
      <c r="I119" s="426"/>
      <c r="J119" s="307"/>
      <c r="K119" s="529"/>
      <c r="L119" s="308"/>
      <c r="M119" s="308"/>
      <c r="N119" s="308"/>
      <c r="O119" s="308"/>
    </row>
    <row r="120" spans="1:15" ht="15">
      <c r="A120" s="287"/>
      <c r="B120" s="604" t="s">
        <v>160</v>
      </c>
      <c r="C120" s="1272">
        <v>8222147162</v>
      </c>
      <c r="D120" s="247"/>
      <c r="E120" s="246"/>
      <c r="F120" s="307"/>
      <c r="G120" s="307"/>
      <c r="H120" s="307"/>
      <c r="I120" s="307"/>
      <c r="J120" s="307"/>
      <c r="K120" s="529"/>
      <c r="L120" s="308"/>
      <c r="M120" s="308"/>
      <c r="O120" s="308"/>
    </row>
    <row r="121" spans="1:15" ht="15.75" thickBot="1">
      <c r="A121" s="287"/>
      <c r="B121" s="433" t="s">
        <v>1061</v>
      </c>
      <c r="C121" s="17" t="s">
        <v>1722</v>
      </c>
      <c r="D121" s="18"/>
      <c r="E121" s="362"/>
      <c r="F121" s="362"/>
      <c r="G121" s="307"/>
      <c r="H121" s="307"/>
      <c r="I121" s="307"/>
      <c r="J121" s="307"/>
      <c r="K121" s="529"/>
      <c r="L121" s="31"/>
      <c r="M121" s="308"/>
      <c r="N121" s="308"/>
      <c r="O121" s="308"/>
    </row>
    <row r="122" spans="1:15" ht="17.25" customHeight="1" thickBot="1">
      <c r="A122" s="287"/>
      <c r="B122" s="246"/>
      <c r="C122" s="309"/>
      <c r="D122" s="246"/>
      <c r="E122" s="362"/>
      <c r="F122" s="362"/>
      <c r="G122" s="307"/>
      <c r="H122" s="307"/>
      <c r="I122" s="307"/>
      <c r="J122" s="307"/>
      <c r="K122" s="529"/>
      <c r="L122" s="31"/>
      <c r="M122" s="308"/>
      <c r="N122" s="308"/>
      <c r="O122" s="308"/>
    </row>
    <row r="123" spans="1:15" ht="42.75" customHeight="1">
      <c r="A123" s="1670" t="s">
        <v>6</v>
      </c>
      <c r="B123" s="1692" t="s">
        <v>633</v>
      </c>
      <c r="C123" s="1681" t="s">
        <v>8</v>
      </c>
      <c r="D123" s="1681" t="s">
        <v>9</v>
      </c>
      <c r="E123" s="1695" t="s">
        <v>634</v>
      </c>
      <c r="F123" s="1695" t="s">
        <v>11</v>
      </c>
      <c r="G123" s="1681" t="s">
        <v>12</v>
      </c>
      <c r="H123" s="1695" t="s">
        <v>13</v>
      </c>
      <c r="I123" s="1695" t="s">
        <v>269</v>
      </c>
      <c r="J123" s="1695" t="s">
        <v>59</v>
      </c>
      <c r="K123" s="1769" t="s">
        <v>635</v>
      </c>
      <c r="L123" s="1753" t="s">
        <v>636</v>
      </c>
      <c r="M123" s="1754"/>
      <c r="N123" s="1754"/>
      <c r="O123" s="1755"/>
    </row>
    <row r="124" spans="1:15" ht="50.25" customHeight="1">
      <c r="A124" s="1671"/>
      <c r="B124" s="1693"/>
      <c r="C124" s="1682"/>
      <c r="D124" s="1682"/>
      <c r="E124" s="1696"/>
      <c r="F124" s="1696"/>
      <c r="G124" s="1682"/>
      <c r="H124" s="1696"/>
      <c r="I124" s="1696"/>
      <c r="J124" s="1696"/>
      <c r="K124" s="1770"/>
      <c r="L124" s="1688" t="s">
        <v>637</v>
      </c>
      <c r="M124" s="1689"/>
      <c r="N124" s="1689"/>
      <c r="O124" s="1690"/>
    </row>
    <row r="125" spans="1:15" ht="27" customHeight="1" thickBot="1">
      <c r="A125" s="1672"/>
      <c r="B125" s="1694"/>
      <c r="C125" s="1683"/>
      <c r="D125" s="1683"/>
      <c r="E125" s="1697"/>
      <c r="F125" s="1697"/>
      <c r="G125" s="1683"/>
      <c r="H125" s="1697"/>
      <c r="I125" s="1697"/>
      <c r="J125" s="1697"/>
      <c r="K125" s="1771"/>
      <c r="L125" s="467" t="s">
        <v>638</v>
      </c>
      <c r="M125" s="468" t="s">
        <v>639</v>
      </c>
      <c r="N125" s="468" t="s">
        <v>640</v>
      </c>
      <c r="O125" s="466" t="s">
        <v>16</v>
      </c>
    </row>
    <row r="126" spans="1:15" ht="28.5" customHeight="1" thickBot="1">
      <c r="A126" s="601" t="s">
        <v>26</v>
      </c>
      <c r="B126" s="359"/>
      <c r="C126" s="1063" t="s">
        <v>412</v>
      </c>
      <c r="D126" s="1368" t="s">
        <v>779</v>
      </c>
      <c r="E126" s="484" t="s">
        <v>829</v>
      </c>
      <c r="F126" s="421" t="s">
        <v>367</v>
      </c>
      <c r="G126" s="422" t="s">
        <v>365</v>
      </c>
      <c r="H126" s="710" t="s">
        <v>830</v>
      </c>
      <c r="I126" s="485">
        <v>90465706</v>
      </c>
      <c r="J126" s="1378" t="s">
        <v>65</v>
      </c>
      <c r="K126" s="531">
        <v>26</v>
      </c>
      <c r="L126" s="427"/>
      <c r="M126" s="436">
        <f>4856-3084</f>
        <v>1772</v>
      </c>
      <c r="N126" s="436">
        <f>2936-1904</f>
        <v>1032</v>
      </c>
      <c r="O126" s="435">
        <f>M126+N126</f>
        <v>2804</v>
      </c>
    </row>
    <row r="127" spans="1:15" ht="30">
      <c r="A127" s="287"/>
      <c r="B127" s="1365" t="s">
        <v>22</v>
      </c>
      <c r="C127" s="306" t="s">
        <v>435</v>
      </c>
      <c r="D127" s="243"/>
      <c r="E127" s="246"/>
      <c r="F127" s="307"/>
      <c r="G127" s="1622" t="s">
        <v>1920</v>
      </c>
      <c r="H127" s="12" t="s">
        <v>376</v>
      </c>
      <c r="I127" s="307"/>
      <c r="J127" s="307"/>
      <c r="K127" s="529"/>
      <c r="L127" s="308"/>
      <c r="M127" s="308"/>
      <c r="N127" s="298" t="s">
        <v>23</v>
      </c>
      <c r="O127" s="602">
        <f>SUM(O126)</f>
        <v>2804</v>
      </c>
    </row>
    <row r="128" spans="1:15" ht="15">
      <c r="A128" s="287"/>
      <c r="B128" s="604"/>
      <c r="C128" s="309" t="s">
        <v>405</v>
      </c>
      <c r="D128" s="247"/>
      <c r="E128" s="246"/>
      <c r="F128" s="307"/>
      <c r="G128" s="16"/>
      <c r="H128" s="176" t="s">
        <v>405</v>
      </c>
      <c r="I128" s="307"/>
      <c r="J128" s="307"/>
      <c r="K128" s="529"/>
      <c r="L128" s="308"/>
      <c r="M128" s="308"/>
      <c r="N128" s="308"/>
      <c r="O128" s="308"/>
    </row>
    <row r="129" spans="1:15" ht="15.75" thickBot="1">
      <c r="A129" s="287"/>
      <c r="B129" s="604"/>
      <c r="C129" s="309" t="s">
        <v>406</v>
      </c>
      <c r="D129" s="247"/>
      <c r="E129" s="246"/>
      <c r="F129" s="307"/>
      <c r="G129" s="1124"/>
      <c r="H129" s="177" t="s">
        <v>406</v>
      </c>
      <c r="I129" s="307"/>
      <c r="J129" s="307"/>
      <c r="K129" s="529"/>
      <c r="L129" s="308"/>
      <c r="M129" s="308"/>
      <c r="N129" s="308"/>
      <c r="O129" s="308"/>
    </row>
    <row r="130" spans="1:15" ht="15">
      <c r="A130" s="287"/>
      <c r="B130" s="604" t="s">
        <v>160</v>
      </c>
      <c r="C130" s="1272">
        <v>8222147162</v>
      </c>
      <c r="D130" s="247"/>
      <c r="E130" s="246"/>
      <c r="F130" s="307"/>
      <c r="G130" s="307"/>
      <c r="H130" s="307"/>
      <c r="I130" s="307"/>
      <c r="J130" s="307"/>
      <c r="K130" s="529"/>
      <c r="L130" s="308"/>
      <c r="M130" s="308"/>
      <c r="N130" s="308"/>
      <c r="O130" s="308"/>
    </row>
    <row r="131" spans="1:15" ht="15.75" thickBot="1">
      <c r="A131" s="287"/>
      <c r="B131" s="433" t="s">
        <v>1061</v>
      </c>
      <c r="C131" s="17" t="s">
        <v>1722</v>
      </c>
      <c r="D131" s="18"/>
      <c r="E131" s="362"/>
      <c r="F131" s="362"/>
      <c r="G131" s="307"/>
      <c r="H131" s="307"/>
      <c r="I131" s="307"/>
      <c r="J131" s="307"/>
      <c r="K131" s="529"/>
      <c r="L131" s="31"/>
      <c r="M131" s="308"/>
      <c r="N131" s="308"/>
      <c r="O131" s="308"/>
    </row>
    <row r="132" spans="1:15" ht="15.75" thickBot="1">
      <c r="A132" s="287"/>
      <c r="B132" s="246"/>
      <c r="C132" s="309"/>
      <c r="D132" s="246"/>
      <c r="E132" s="362"/>
      <c r="F132" s="362"/>
      <c r="G132" s="307"/>
      <c r="H132" s="307"/>
      <c r="I132" s="307"/>
      <c r="J132" s="307"/>
      <c r="K132" s="529"/>
      <c r="L132" s="31"/>
      <c r="M132" s="308"/>
      <c r="N132" s="308"/>
      <c r="O132" s="308"/>
    </row>
    <row r="133" spans="1:15" ht="43.5" customHeight="1">
      <c r="A133" s="1670" t="s">
        <v>6</v>
      </c>
      <c r="B133" s="1692" t="s">
        <v>633</v>
      </c>
      <c r="C133" s="1681" t="s">
        <v>8</v>
      </c>
      <c r="D133" s="1681" t="s">
        <v>9</v>
      </c>
      <c r="E133" s="1695" t="s">
        <v>634</v>
      </c>
      <c r="F133" s="1695" t="s">
        <v>11</v>
      </c>
      <c r="G133" s="1681" t="s">
        <v>12</v>
      </c>
      <c r="H133" s="1695" t="s">
        <v>13</v>
      </c>
      <c r="I133" s="1695" t="s">
        <v>269</v>
      </c>
      <c r="J133" s="1695" t="s">
        <v>59</v>
      </c>
      <c r="K133" s="1769" t="s">
        <v>635</v>
      </c>
      <c r="L133" s="1753" t="s">
        <v>636</v>
      </c>
      <c r="M133" s="1754"/>
      <c r="N133" s="1754"/>
      <c r="O133" s="1755"/>
    </row>
    <row r="134" spans="1:15" ht="27" customHeight="1">
      <c r="A134" s="1671"/>
      <c r="B134" s="1693"/>
      <c r="C134" s="1682"/>
      <c r="D134" s="1682"/>
      <c r="E134" s="1696"/>
      <c r="F134" s="1696"/>
      <c r="G134" s="1682"/>
      <c r="H134" s="1696"/>
      <c r="I134" s="1696"/>
      <c r="J134" s="1696"/>
      <c r="K134" s="1770"/>
      <c r="L134" s="1688" t="s">
        <v>637</v>
      </c>
      <c r="M134" s="1689"/>
      <c r="N134" s="1689"/>
      <c r="O134" s="1690"/>
    </row>
    <row r="135" spans="1:15" ht="27" customHeight="1" thickBot="1">
      <c r="A135" s="1672"/>
      <c r="B135" s="1694"/>
      <c r="C135" s="1683"/>
      <c r="D135" s="1683"/>
      <c r="E135" s="1697"/>
      <c r="F135" s="1697"/>
      <c r="G135" s="1683"/>
      <c r="H135" s="1697"/>
      <c r="I135" s="1697"/>
      <c r="J135" s="1697"/>
      <c r="K135" s="1771"/>
      <c r="L135" s="571" t="s">
        <v>638</v>
      </c>
      <c r="M135" s="1291" t="s">
        <v>639</v>
      </c>
      <c r="N135" s="1291" t="s">
        <v>640</v>
      </c>
      <c r="O135" s="1292" t="s">
        <v>16</v>
      </c>
    </row>
    <row r="136" spans="1:15" ht="29.25" customHeight="1">
      <c r="A136" s="601" t="s">
        <v>26</v>
      </c>
      <c r="B136" s="669" t="s">
        <v>435</v>
      </c>
      <c r="C136" s="769" t="s">
        <v>365</v>
      </c>
      <c r="D136" s="669" t="s">
        <v>754</v>
      </c>
      <c r="E136" s="373">
        <v>36</v>
      </c>
      <c r="F136" s="421" t="s">
        <v>367</v>
      </c>
      <c r="G136" s="422" t="s">
        <v>365</v>
      </c>
      <c r="H136" s="710" t="s">
        <v>1272</v>
      </c>
      <c r="I136" s="524">
        <v>11001582</v>
      </c>
      <c r="J136" s="534" t="s">
        <v>28</v>
      </c>
      <c r="K136" s="532">
        <v>31</v>
      </c>
      <c r="L136" s="268">
        <f>26335-19759</f>
        <v>6576</v>
      </c>
      <c r="M136" s="427"/>
      <c r="N136" s="427"/>
      <c r="O136" s="315">
        <f>L136</f>
        <v>6576</v>
      </c>
    </row>
    <row r="137" spans="1:15" ht="29.25" customHeight="1" thickBot="1">
      <c r="A137" s="601" t="s">
        <v>26</v>
      </c>
      <c r="B137" s="605"/>
      <c r="C137" s="606" t="s">
        <v>1098</v>
      </c>
      <c r="D137" s="46"/>
      <c r="E137" s="295">
        <v>14</v>
      </c>
      <c r="F137" s="295" t="s">
        <v>367</v>
      </c>
      <c r="G137" s="295" t="s">
        <v>365</v>
      </c>
      <c r="H137" s="710" t="s">
        <v>1273</v>
      </c>
      <c r="I137" s="295">
        <v>91416487</v>
      </c>
      <c r="J137" s="29" t="s">
        <v>1099</v>
      </c>
      <c r="K137" s="527">
        <v>7</v>
      </c>
      <c r="L137" s="297"/>
      <c r="M137" s="298">
        <f>86*10</f>
        <v>860</v>
      </c>
      <c r="N137" s="298">
        <f>74*10</f>
        <v>740</v>
      </c>
      <c r="O137" s="298">
        <f>SUM(M137:N137)</f>
        <v>1600</v>
      </c>
    </row>
    <row r="138" spans="1:15" ht="30">
      <c r="A138" s="287"/>
      <c r="B138" s="1365" t="s">
        <v>22</v>
      </c>
      <c r="C138" s="306" t="s">
        <v>435</v>
      </c>
      <c r="D138" s="243"/>
      <c r="E138" s="362"/>
      <c r="F138" s="362"/>
      <c r="G138" s="1622" t="s">
        <v>1920</v>
      </c>
      <c r="H138" s="12" t="s">
        <v>376</v>
      </c>
      <c r="I138" s="307"/>
      <c r="J138" s="307"/>
      <c r="K138" s="307"/>
      <c r="L138" s="31"/>
      <c r="M138" s="308"/>
      <c r="N138" s="298" t="s">
        <v>23</v>
      </c>
      <c r="O138" s="602">
        <f>SUM(O136:O137)</f>
        <v>8176</v>
      </c>
    </row>
    <row r="139" spans="1:15" ht="15">
      <c r="A139" s="287"/>
      <c r="B139" s="604"/>
      <c r="C139" s="309" t="s">
        <v>405</v>
      </c>
      <c r="D139" s="247"/>
      <c r="E139" s="362"/>
      <c r="F139" s="362"/>
      <c r="G139" s="16"/>
      <c r="H139" s="176" t="s">
        <v>405</v>
      </c>
      <c r="I139" s="307"/>
      <c r="J139" s="307"/>
      <c r="K139" s="307"/>
      <c r="L139" s="31"/>
      <c r="M139" s="308"/>
      <c r="N139" s="308"/>
      <c r="O139" s="308"/>
    </row>
    <row r="140" spans="1:15" ht="15.75" thickBot="1">
      <c r="B140" s="604"/>
      <c r="C140" s="309" t="s">
        <v>406</v>
      </c>
      <c r="D140" s="247"/>
      <c r="E140" s="307"/>
      <c r="F140" s="307"/>
      <c r="G140" s="1124"/>
      <c r="H140" s="177" t="s">
        <v>406</v>
      </c>
      <c r="I140" s="307"/>
      <c r="J140" s="307"/>
      <c r="K140" s="307"/>
      <c r="L140" s="308"/>
      <c r="M140" s="308"/>
      <c r="N140" s="308"/>
      <c r="O140" s="308"/>
    </row>
    <row r="141" spans="1:15" ht="15">
      <c r="B141" s="604" t="s">
        <v>160</v>
      </c>
      <c r="C141" s="1272">
        <v>8222147162</v>
      </c>
      <c r="D141" s="247"/>
      <c r="E141" s="307"/>
      <c r="F141" s="307"/>
      <c r="G141" s="307"/>
      <c r="H141" s="307"/>
      <c r="I141" s="307"/>
      <c r="J141" s="307"/>
      <c r="K141" s="307"/>
      <c r="L141" s="308"/>
      <c r="M141" s="308"/>
      <c r="N141" s="308"/>
      <c r="O141" s="308"/>
    </row>
    <row r="142" spans="1:15" ht="15.75" thickBot="1">
      <c r="A142" s="825"/>
      <c r="B142" s="433" t="s">
        <v>1061</v>
      </c>
      <c r="C142" s="17" t="s">
        <v>1722</v>
      </c>
      <c r="D142" s="18"/>
      <c r="E142" s="307"/>
      <c r="F142" s="307"/>
      <c r="G142" s="307"/>
      <c r="H142" s="307"/>
      <c r="I142" s="307"/>
      <c r="J142" s="307"/>
      <c r="K142" s="307"/>
      <c r="L142" s="308"/>
      <c r="M142" s="308"/>
      <c r="N142" s="308"/>
      <c r="O142" s="308"/>
    </row>
    <row r="143" spans="1:15" ht="15">
      <c r="A143" s="1106"/>
      <c r="B143" s="522"/>
      <c r="C143" s="309"/>
      <c r="D143" s="246"/>
      <c r="E143" s="362"/>
      <c r="F143" s="362"/>
      <c r="G143" s="362"/>
      <c r="H143" s="307"/>
      <c r="I143" s="307"/>
      <c r="J143" s="307"/>
      <c r="K143" s="307"/>
      <c r="L143" s="308"/>
      <c r="M143" s="308"/>
      <c r="N143" s="308"/>
      <c r="O143" s="308"/>
    </row>
    <row r="144" spans="1:15" ht="15.75" thickBot="1">
      <c r="A144" s="1106"/>
      <c r="B144" s="522"/>
      <c r="C144" s="309"/>
      <c r="D144" s="246"/>
      <c r="E144" s="362"/>
      <c r="F144" s="362"/>
      <c r="G144" s="362"/>
      <c r="H144" s="307"/>
      <c r="I144" s="307"/>
      <c r="J144" s="307"/>
      <c r="K144" s="307"/>
      <c r="L144" s="308"/>
      <c r="M144" s="308"/>
      <c r="N144" s="308"/>
      <c r="O144" s="308"/>
    </row>
    <row r="145" spans="1:15" ht="37.5" customHeight="1">
      <c r="A145" s="1670" t="s">
        <v>6</v>
      </c>
      <c r="B145" s="1692" t="s">
        <v>633</v>
      </c>
      <c r="C145" s="1681" t="s">
        <v>8</v>
      </c>
      <c r="D145" s="1681" t="s">
        <v>9</v>
      </c>
      <c r="E145" s="1695" t="s">
        <v>634</v>
      </c>
      <c r="F145" s="1695" t="s">
        <v>11</v>
      </c>
      <c r="G145" s="1681" t="s">
        <v>12</v>
      </c>
      <c r="H145" s="1695" t="s">
        <v>13</v>
      </c>
      <c r="I145" s="1695" t="s">
        <v>269</v>
      </c>
      <c r="J145" s="1695" t="s">
        <v>59</v>
      </c>
      <c r="K145" s="1769" t="s">
        <v>635</v>
      </c>
      <c r="L145" s="1753" t="s">
        <v>636</v>
      </c>
      <c r="M145" s="1754"/>
      <c r="N145" s="1754"/>
      <c r="O145" s="1755"/>
    </row>
    <row r="146" spans="1:15" ht="37.5" customHeight="1">
      <c r="A146" s="1671"/>
      <c r="B146" s="1693"/>
      <c r="C146" s="1682"/>
      <c r="D146" s="1682"/>
      <c r="E146" s="1696"/>
      <c r="F146" s="1696"/>
      <c r="G146" s="1682"/>
      <c r="H146" s="1696"/>
      <c r="I146" s="1696"/>
      <c r="J146" s="1696"/>
      <c r="K146" s="1770"/>
      <c r="L146" s="1688" t="s">
        <v>637</v>
      </c>
      <c r="M146" s="1689"/>
      <c r="N146" s="1689"/>
      <c r="O146" s="1690"/>
    </row>
    <row r="147" spans="1:15" ht="37.5" customHeight="1" thickBot="1">
      <c r="A147" s="1672"/>
      <c r="B147" s="1694"/>
      <c r="C147" s="1683"/>
      <c r="D147" s="1683"/>
      <c r="E147" s="1697"/>
      <c r="F147" s="1697"/>
      <c r="G147" s="1683"/>
      <c r="H147" s="1697"/>
      <c r="I147" s="1697"/>
      <c r="J147" s="1697"/>
      <c r="K147" s="1771"/>
      <c r="L147" s="571" t="s">
        <v>638</v>
      </c>
      <c r="M147" s="1291" t="s">
        <v>639</v>
      </c>
      <c r="N147" s="1291" t="s">
        <v>640</v>
      </c>
      <c r="O147" s="1292" t="s">
        <v>16</v>
      </c>
    </row>
    <row r="148" spans="1:15" ht="44.25" thickBot="1">
      <c r="A148" s="1149" t="s">
        <v>26</v>
      </c>
      <c r="B148" s="1375" t="s">
        <v>364</v>
      </c>
      <c r="C148" s="1376" t="s">
        <v>365</v>
      </c>
      <c r="D148" s="1153" t="s">
        <v>366</v>
      </c>
      <c r="E148" s="1153">
        <v>2</v>
      </c>
      <c r="F148" s="1150" t="s">
        <v>367</v>
      </c>
      <c r="G148" s="304" t="s">
        <v>365</v>
      </c>
      <c r="H148" s="1550" t="s">
        <v>368</v>
      </c>
      <c r="I148" s="304">
        <v>39634</v>
      </c>
      <c r="J148" s="85" t="s">
        <v>65</v>
      </c>
      <c r="K148" s="525">
        <v>10</v>
      </c>
      <c r="L148" s="297"/>
      <c r="M148" s="298">
        <f>11071-9891</f>
        <v>1180</v>
      </c>
      <c r="N148" s="298">
        <f>30326-27044</f>
        <v>3282</v>
      </c>
      <c r="O148" s="299">
        <f>SUM(M148:N148)</f>
        <v>4462</v>
      </c>
    </row>
    <row r="149" spans="1:15" customFormat="1" ht="30">
      <c r="A149" s="5"/>
      <c r="B149" s="697" t="s">
        <v>22</v>
      </c>
      <c r="C149" s="80" t="s">
        <v>364</v>
      </c>
      <c r="D149" s="11"/>
      <c r="E149" s="12"/>
      <c r="F149" s="54"/>
      <c r="G149" s="1622" t="s">
        <v>1920</v>
      </c>
      <c r="H149" s="118" t="s">
        <v>364</v>
      </c>
      <c r="I149" s="12"/>
      <c r="N149" s="298" t="s">
        <v>23</v>
      </c>
      <c r="O149" s="556">
        <f>SUM(O148)</f>
        <v>4462</v>
      </c>
    </row>
    <row r="150" spans="1:15" ht="15">
      <c r="A150" s="1"/>
      <c r="B150" s="553"/>
      <c r="C150" s="68" t="s">
        <v>1642</v>
      </c>
      <c r="D150" s="14"/>
      <c r="E150" s="15"/>
      <c r="F150" s="54"/>
      <c r="G150" s="13"/>
      <c r="H150" s="14" t="s">
        <v>1642</v>
      </c>
      <c r="I150" s="15"/>
    </row>
    <row r="151" spans="1:15" ht="15">
      <c r="A151" s="1"/>
      <c r="B151" s="553"/>
      <c r="C151" s="68" t="s">
        <v>406</v>
      </c>
      <c r="D151" s="14"/>
      <c r="E151" s="15"/>
      <c r="F151" s="54"/>
      <c r="G151" s="13"/>
      <c r="H151" s="14" t="s">
        <v>406</v>
      </c>
      <c r="I151" s="15"/>
    </row>
    <row r="152" spans="1:15" ht="15.75" thickBot="1">
      <c r="A152" s="1"/>
      <c r="B152" s="433" t="s">
        <v>160</v>
      </c>
      <c r="C152" s="702">
        <v>8221935041</v>
      </c>
      <c r="D152" s="17"/>
      <c r="E152" s="18"/>
      <c r="F152" s="14"/>
      <c r="G152" s="71"/>
      <c r="H152" s="17"/>
      <c r="I152" s="18"/>
    </row>
    <row r="153" spans="1:15">
      <c r="A153" s="1"/>
      <c r="C153" s="1"/>
    </row>
    <row r="154" spans="1:15" customFormat="1" ht="15" thickBot="1"/>
    <row r="155" spans="1:15" ht="32.25" customHeight="1">
      <c r="A155" s="1670" t="s">
        <v>6</v>
      </c>
      <c r="B155" s="1692" t="s">
        <v>633</v>
      </c>
      <c r="C155" s="1681" t="s">
        <v>8</v>
      </c>
      <c r="D155" s="1681" t="s">
        <v>9</v>
      </c>
      <c r="E155" s="1695" t="s">
        <v>634</v>
      </c>
      <c r="F155" s="1695" t="s">
        <v>11</v>
      </c>
      <c r="G155" s="1681" t="s">
        <v>12</v>
      </c>
      <c r="H155" s="1695" t="s">
        <v>13</v>
      </c>
      <c r="I155" s="1695" t="s">
        <v>269</v>
      </c>
      <c r="J155" s="1695" t="s">
        <v>59</v>
      </c>
      <c r="K155" s="1769" t="s">
        <v>635</v>
      </c>
      <c r="L155" s="1753" t="s">
        <v>636</v>
      </c>
      <c r="M155" s="1754"/>
      <c r="N155" s="1754"/>
      <c r="O155" s="1755"/>
    </row>
    <row r="156" spans="1:15" ht="32.25" customHeight="1">
      <c r="A156" s="1671"/>
      <c r="B156" s="1693"/>
      <c r="C156" s="1682"/>
      <c r="D156" s="1682"/>
      <c r="E156" s="1696"/>
      <c r="F156" s="1696"/>
      <c r="G156" s="1682"/>
      <c r="H156" s="1696"/>
      <c r="I156" s="1696"/>
      <c r="J156" s="1696"/>
      <c r="K156" s="1770"/>
      <c r="L156" s="1688" t="s">
        <v>637</v>
      </c>
      <c r="M156" s="1689"/>
      <c r="N156" s="1689"/>
      <c r="O156" s="1690"/>
    </row>
    <row r="157" spans="1:15" ht="32.25" customHeight="1" thickBot="1">
      <c r="A157" s="1672"/>
      <c r="B157" s="1694"/>
      <c r="C157" s="1683"/>
      <c r="D157" s="1683"/>
      <c r="E157" s="1697"/>
      <c r="F157" s="1697"/>
      <c r="G157" s="1683"/>
      <c r="H157" s="1697"/>
      <c r="I157" s="1697"/>
      <c r="J157" s="1697"/>
      <c r="K157" s="1771"/>
      <c r="L157" s="571" t="s">
        <v>638</v>
      </c>
      <c r="M157" s="1291" t="s">
        <v>639</v>
      </c>
      <c r="N157" s="1291" t="s">
        <v>640</v>
      </c>
      <c r="O157" s="1292" t="s">
        <v>16</v>
      </c>
    </row>
    <row r="158" spans="1:15" ht="43.5" thickBot="1">
      <c r="A158" s="1149" t="s">
        <v>26</v>
      </c>
      <c r="B158" s="1121" t="s">
        <v>369</v>
      </c>
      <c r="C158" s="1120" t="s">
        <v>370</v>
      </c>
      <c r="D158" s="304"/>
      <c r="E158" s="312">
        <v>57</v>
      </c>
      <c r="F158" s="1150" t="s">
        <v>367</v>
      </c>
      <c r="G158" s="312" t="s">
        <v>365</v>
      </c>
      <c r="H158" s="1548" t="s">
        <v>371</v>
      </c>
      <c r="I158" s="312">
        <v>91296951</v>
      </c>
      <c r="J158" s="85" t="s">
        <v>65</v>
      </c>
      <c r="K158" s="525">
        <v>5</v>
      </c>
      <c r="L158" s="297"/>
      <c r="M158" s="298">
        <f>4232-3711</f>
        <v>521</v>
      </c>
      <c r="N158" s="298">
        <f>11251-9513</f>
        <v>1738</v>
      </c>
      <c r="O158" s="299">
        <f>SUM(M158:N158)</f>
        <v>2259</v>
      </c>
    </row>
    <row r="159" spans="1:15" customFormat="1" ht="30">
      <c r="A159" s="5"/>
      <c r="B159" s="697" t="s">
        <v>22</v>
      </c>
      <c r="C159" s="1122" t="s">
        <v>369</v>
      </c>
      <c r="D159" s="11"/>
      <c r="E159" s="12"/>
      <c r="F159" s="54"/>
      <c r="G159" s="1622" t="s">
        <v>1920</v>
      </c>
      <c r="H159" s="1122" t="s">
        <v>369</v>
      </c>
      <c r="I159" s="26"/>
      <c r="N159" s="298" t="s">
        <v>23</v>
      </c>
      <c r="O159" s="556">
        <f>SUM(O158)</f>
        <v>2259</v>
      </c>
    </row>
    <row r="160" spans="1:15" customFormat="1" ht="15">
      <c r="A160" s="5"/>
      <c r="B160" s="553"/>
      <c r="C160" s="700" t="s">
        <v>370</v>
      </c>
      <c r="D160" s="14"/>
      <c r="E160" s="15"/>
      <c r="F160" s="54"/>
      <c r="G160" s="13"/>
      <c r="H160" s="14" t="s">
        <v>370</v>
      </c>
      <c r="I160" s="27"/>
    </row>
    <row r="161" spans="1:15" customFormat="1" ht="15.75" thickBot="1">
      <c r="A161" s="5"/>
      <c r="B161" s="553"/>
      <c r="C161" s="700" t="s">
        <v>406</v>
      </c>
      <c r="D161" s="14"/>
      <c r="E161" s="15"/>
      <c r="F161" s="54"/>
      <c r="G161" s="71"/>
      <c r="H161" s="17" t="s">
        <v>406</v>
      </c>
      <c r="I161" s="28"/>
    </row>
    <row r="162" spans="1:15" customFormat="1" ht="15.75" thickBot="1">
      <c r="A162" s="5"/>
      <c r="B162" s="433" t="s">
        <v>160</v>
      </c>
      <c r="C162" s="702">
        <v>8222079609</v>
      </c>
      <c r="D162" s="17"/>
      <c r="E162" s="18"/>
      <c r="F162" s="14"/>
      <c r="G162" s="14"/>
      <c r="H162" s="14"/>
      <c r="I162" s="54"/>
    </row>
    <row r="163" spans="1:15" customFormat="1"/>
    <row r="164" spans="1:15" customFormat="1"/>
    <row r="165" spans="1:15" customFormat="1"/>
    <row r="166" spans="1:15" customFormat="1" ht="15" thickBot="1"/>
    <row r="167" spans="1:15" customFormat="1" ht="41.25" customHeight="1">
      <c r="A167" s="1670" t="s">
        <v>6</v>
      </c>
      <c r="B167" s="1692" t="s">
        <v>633</v>
      </c>
      <c r="C167" s="1681" t="s">
        <v>8</v>
      </c>
      <c r="D167" s="1681" t="s">
        <v>9</v>
      </c>
      <c r="E167" s="1695" t="s">
        <v>634</v>
      </c>
      <c r="F167" s="1695" t="s">
        <v>11</v>
      </c>
      <c r="G167" s="1681" t="s">
        <v>12</v>
      </c>
      <c r="H167" s="1695" t="s">
        <v>13</v>
      </c>
      <c r="I167" s="1695" t="s">
        <v>269</v>
      </c>
      <c r="J167" s="1695" t="s">
        <v>59</v>
      </c>
      <c r="K167" s="1769" t="s">
        <v>635</v>
      </c>
      <c r="L167" s="1753" t="s">
        <v>636</v>
      </c>
      <c r="M167" s="1754"/>
      <c r="N167" s="1754"/>
      <c r="O167" s="1755"/>
    </row>
    <row r="168" spans="1:15" customFormat="1" ht="41.25" customHeight="1">
      <c r="A168" s="1671"/>
      <c r="B168" s="1693"/>
      <c r="C168" s="1682"/>
      <c r="D168" s="1682"/>
      <c r="E168" s="1696"/>
      <c r="F168" s="1696"/>
      <c r="G168" s="1682"/>
      <c r="H168" s="1696"/>
      <c r="I168" s="1696"/>
      <c r="J168" s="1696"/>
      <c r="K168" s="1770"/>
      <c r="L168" s="1688" t="s">
        <v>637</v>
      </c>
      <c r="M168" s="1689"/>
      <c r="N168" s="1689"/>
      <c r="O168" s="1690"/>
    </row>
    <row r="169" spans="1:15" customFormat="1" ht="41.25" customHeight="1" thickBot="1">
      <c r="A169" s="1672"/>
      <c r="B169" s="1694"/>
      <c r="C169" s="1683"/>
      <c r="D169" s="1683"/>
      <c r="E169" s="1697"/>
      <c r="F169" s="1697"/>
      <c r="G169" s="1683"/>
      <c r="H169" s="1697"/>
      <c r="I169" s="1697"/>
      <c r="J169" s="1697"/>
      <c r="K169" s="1771"/>
      <c r="L169" s="571" t="s">
        <v>638</v>
      </c>
      <c r="M169" s="1291" t="s">
        <v>639</v>
      </c>
      <c r="N169" s="1291" t="s">
        <v>640</v>
      </c>
      <c r="O169" s="1292" t="s">
        <v>16</v>
      </c>
    </row>
    <row r="170" spans="1:15" ht="43.5" thickBot="1">
      <c r="A170" s="1149" t="s">
        <v>26</v>
      </c>
      <c r="B170" s="1377" t="s">
        <v>372</v>
      </c>
      <c r="C170" s="1152" t="s">
        <v>373</v>
      </c>
      <c r="D170" s="1152" t="s">
        <v>374</v>
      </c>
      <c r="E170" s="1154">
        <v>1</v>
      </c>
      <c r="F170" s="1150" t="s">
        <v>367</v>
      </c>
      <c r="G170" s="1154" t="s">
        <v>365</v>
      </c>
      <c r="H170" s="1549" t="s">
        <v>375</v>
      </c>
      <c r="I170" s="312">
        <v>39641</v>
      </c>
      <c r="J170" s="85" t="s">
        <v>65</v>
      </c>
      <c r="K170" s="525">
        <v>6</v>
      </c>
      <c r="L170" s="297"/>
      <c r="M170" s="298">
        <f>984-868</f>
        <v>116</v>
      </c>
      <c r="N170" s="298">
        <f>9471-8539</f>
        <v>932</v>
      </c>
      <c r="O170" s="299">
        <f>SUM(M170:N170)</f>
        <v>1048</v>
      </c>
    </row>
    <row r="171" spans="1:15" customFormat="1" ht="30">
      <c r="A171" s="5"/>
      <c r="B171" s="697" t="s">
        <v>22</v>
      </c>
      <c r="C171" s="1122" t="s">
        <v>372</v>
      </c>
      <c r="D171" s="11"/>
      <c r="E171" s="26"/>
      <c r="F171" s="54"/>
      <c r="G171" s="1622" t="s">
        <v>1920</v>
      </c>
      <c r="H171" s="1122" t="s">
        <v>372</v>
      </c>
      <c r="I171" s="26"/>
      <c r="N171" s="298" t="s">
        <v>23</v>
      </c>
      <c r="O171" s="556">
        <f>SUM(O170)</f>
        <v>1048</v>
      </c>
    </row>
    <row r="172" spans="1:15" ht="15">
      <c r="B172" s="553"/>
      <c r="C172" s="700" t="s">
        <v>1644</v>
      </c>
      <c r="D172" s="14"/>
      <c r="E172" s="27"/>
      <c r="F172" s="54"/>
      <c r="G172" s="185"/>
      <c r="H172" s="14" t="s">
        <v>1644</v>
      </c>
      <c r="I172" s="27"/>
    </row>
    <row r="173" spans="1:15" ht="15">
      <c r="B173" s="553"/>
      <c r="C173" s="700" t="s">
        <v>1643</v>
      </c>
      <c r="D173" s="14"/>
      <c r="E173" s="27"/>
      <c r="F173" s="54"/>
      <c r="G173" s="185"/>
      <c r="H173" s="14" t="s">
        <v>1643</v>
      </c>
      <c r="I173" s="27"/>
    </row>
    <row r="174" spans="1:15" customFormat="1" ht="15.75" thickBot="1">
      <c r="A174" s="5"/>
      <c r="B174" s="185"/>
      <c r="C174" s="700" t="s">
        <v>406</v>
      </c>
      <c r="D174" s="14"/>
      <c r="E174" s="27"/>
      <c r="F174" s="54"/>
      <c r="G174" s="188"/>
      <c r="H174" s="17" t="s">
        <v>406</v>
      </c>
      <c r="I174" s="28"/>
    </row>
    <row r="175" spans="1:15" customFormat="1" ht="15.75" thickBot="1">
      <c r="A175" s="5"/>
      <c r="B175" s="433" t="s">
        <v>160</v>
      </c>
      <c r="C175" s="702">
        <v>8222059446</v>
      </c>
      <c r="D175" s="17"/>
      <c r="E175" s="28"/>
      <c r="F175" s="54"/>
      <c r="G175" s="54"/>
      <c r="H175" s="54"/>
    </row>
    <row r="176" spans="1:15" customFormat="1" ht="15" thickBot="1"/>
    <row r="177" spans="1:15" customFormat="1" ht="34.5" customHeight="1">
      <c r="A177" s="1670" t="s">
        <v>6</v>
      </c>
      <c r="B177" s="1692" t="s">
        <v>633</v>
      </c>
      <c r="C177" s="1681" t="s">
        <v>8</v>
      </c>
      <c r="D177" s="1681" t="s">
        <v>9</v>
      </c>
      <c r="E177" s="1695" t="s">
        <v>634</v>
      </c>
      <c r="F177" s="1695" t="s">
        <v>11</v>
      </c>
      <c r="G177" s="1681" t="s">
        <v>12</v>
      </c>
      <c r="H177" s="1695" t="s">
        <v>13</v>
      </c>
      <c r="I177" s="1695" t="s">
        <v>269</v>
      </c>
      <c r="J177" s="1695" t="s">
        <v>59</v>
      </c>
      <c r="K177" s="1769" t="s">
        <v>635</v>
      </c>
      <c r="L177" s="1753" t="s">
        <v>636</v>
      </c>
      <c r="M177" s="1754"/>
      <c r="N177" s="1754"/>
      <c r="O177" s="1755"/>
    </row>
    <row r="178" spans="1:15" customFormat="1" ht="34.5" customHeight="1">
      <c r="A178" s="1671"/>
      <c r="B178" s="1693"/>
      <c r="C178" s="1682"/>
      <c r="D178" s="1682"/>
      <c r="E178" s="1696"/>
      <c r="F178" s="1696"/>
      <c r="G178" s="1682"/>
      <c r="H178" s="1696"/>
      <c r="I178" s="1696"/>
      <c r="J178" s="1696"/>
      <c r="K178" s="1770"/>
      <c r="L178" s="1688" t="s">
        <v>637</v>
      </c>
      <c r="M178" s="1689"/>
      <c r="N178" s="1689"/>
      <c r="O178" s="1690"/>
    </row>
    <row r="179" spans="1:15" customFormat="1" ht="34.5" customHeight="1" thickBot="1">
      <c r="A179" s="1672"/>
      <c r="B179" s="1694"/>
      <c r="C179" s="1683"/>
      <c r="D179" s="1683"/>
      <c r="E179" s="1697"/>
      <c r="F179" s="1697"/>
      <c r="G179" s="1683"/>
      <c r="H179" s="1697"/>
      <c r="I179" s="1697"/>
      <c r="J179" s="1697"/>
      <c r="K179" s="1771"/>
      <c r="L179" s="571" t="s">
        <v>638</v>
      </c>
      <c r="M179" s="1291" t="s">
        <v>639</v>
      </c>
      <c r="N179" s="1291" t="s">
        <v>640</v>
      </c>
      <c r="O179" s="1292" t="s">
        <v>16</v>
      </c>
    </row>
    <row r="180" spans="1:15" ht="44.25" thickBot="1">
      <c r="A180" s="1149" t="s">
        <v>26</v>
      </c>
      <c r="B180" s="1151" t="s">
        <v>388</v>
      </c>
      <c r="C180" s="1152" t="s">
        <v>389</v>
      </c>
      <c r="D180" s="1153"/>
      <c r="E180" s="1154"/>
      <c r="F180" s="1150" t="s">
        <v>367</v>
      </c>
      <c r="G180" s="1154" t="s">
        <v>365</v>
      </c>
      <c r="H180" s="1548" t="s">
        <v>390</v>
      </c>
      <c r="I180" s="312">
        <v>70903601</v>
      </c>
      <c r="J180" s="85" t="s">
        <v>65</v>
      </c>
      <c r="K180" s="525">
        <v>6.6</v>
      </c>
      <c r="L180" s="297"/>
      <c r="M180" s="298">
        <v>40</v>
      </c>
      <c r="N180" s="298">
        <v>90</v>
      </c>
      <c r="O180" s="299">
        <f>SUM(M180:N180)</f>
        <v>130</v>
      </c>
    </row>
    <row r="181" spans="1:15" ht="30">
      <c r="B181" s="697" t="s">
        <v>22</v>
      </c>
      <c r="C181" s="118" t="s">
        <v>388</v>
      </c>
      <c r="D181" s="11"/>
      <c r="E181" s="424"/>
      <c r="F181" s="54"/>
      <c r="G181" s="1622" t="s">
        <v>1920</v>
      </c>
      <c r="H181" s="80" t="s">
        <v>388</v>
      </c>
      <c r="I181" s="424"/>
      <c r="J181" s="307"/>
      <c r="K181" s="307"/>
      <c r="L181" s="308"/>
      <c r="M181" s="308"/>
      <c r="N181" s="298" t="s">
        <v>23</v>
      </c>
      <c r="O181" s="556">
        <f>SUM(O180)</f>
        <v>130</v>
      </c>
    </row>
    <row r="182" spans="1:15" ht="15">
      <c r="B182" s="553"/>
      <c r="C182" s="700" t="s">
        <v>1645</v>
      </c>
      <c r="D182" s="14"/>
      <c r="E182" s="425"/>
      <c r="F182" s="54"/>
      <c r="G182" s="1113"/>
      <c r="H182" s="577" t="s">
        <v>1645</v>
      </c>
      <c r="I182" s="425"/>
      <c r="J182" s="307"/>
      <c r="K182" s="307"/>
      <c r="L182" s="308"/>
      <c r="M182" s="308"/>
      <c r="N182" s="308"/>
      <c r="O182" s="308"/>
    </row>
    <row r="183" spans="1:15" ht="15.75" thickBot="1">
      <c r="B183" s="553"/>
      <c r="C183" s="700" t="s">
        <v>406</v>
      </c>
      <c r="D183" s="14"/>
      <c r="E183" s="425"/>
      <c r="F183" s="54"/>
      <c r="G183" s="1114"/>
      <c r="H183" s="1115" t="s">
        <v>406</v>
      </c>
      <c r="I183" s="426"/>
      <c r="J183" s="307"/>
      <c r="K183" s="307"/>
      <c r="L183" s="308"/>
      <c r="M183" s="308"/>
      <c r="N183" s="308"/>
      <c r="O183" s="308"/>
    </row>
    <row r="184" spans="1:15" ht="15.75" thickBot="1">
      <c r="B184" s="433" t="s">
        <v>160</v>
      </c>
      <c r="C184" s="702">
        <v>82221153487</v>
      </c>
      <c r="D184" s="17"/>
      <c r="E184" s="426"/>
      <c r="F184" s="362"/>
      <c r="G184" s="362"/>
      <c r="H184" s="362"/>
      <c r="I184" s="307"/>
      <c r="J184" s="307"/>
      <c r="K184" s="307"/>
      <c r="L184" s="308"/>
      <c r="M184" s="308"/>
      <c r="N184" s="308"/>
      <c r="O184" s="308"/>
    </row>
    <row r="185" spans="1:15" ht="15">
      <c r="A185" s="1106"/>
      <c r="B185" s="522"/>
      <c r="C185" s="309"/>
      <c r="D185" s="246"/>
      <c r="E185" s="362"/>
      <c r="F185" s="362"/>
      <c r="G185" s="362"/>
      <c r="H185" s="307"/>
      <c r="I185" s="307"/>
      <c r="J185" s="307"/>
      <c r="K185" s="307"/>
      <c r="L185" s="308"/>
      <c r="M185" s="308"/>
      <c r="N185" s="308"/>
      <c r="O185" s="308"/>
    </row>
    <row r="186" spans="1:15" ht="15">
      <c r="A186" s="1106"/>
      <c r="B186" s="522"/>
      <c r="C186" s="309"/>
      <c r="D186" s="246"/>
      <c r="E186" s="362"/>
      <c r="F186" s="362"/>
      <c r="G186" s="362"/>
      <c r="H186" s="307"/>
      <c r="I186" s="307"/>
      <c r="J186" s="307"/>
      <c r="K186" s="307"/>
      <c r="L186" s="308"/>
      <c r="M186" s="308"/>
      <c r="N186" s="308"/>
      <c r="O186" s="308"/>
    </row>
    <row r="187" spans="1:15" ht="15">
      <c r="A187" s="1106"/>
      <c r="B187" s="522"/>
      <c r="C187" s="309"/>
      <c r="D187" s="246"/>
      <c r="E187" s="362"/>
      <c r="F187" s="362"/>
      <c r="G187" s="362"/>
      <c r="H187" s="307"/>
      <c r="I187" s="307"/>
      <c r="J187" s="307"/>
      <c r="K187" s="307"/>
      <c r="L187" s="308"/>
      <c r="M187" s="308"/>
      <c r="N187" s="308"/>
      <c r="O187" s="308"/>
    </row>
    <row r="188" spans="1:15" ht="15.75" thickBot="1">
      <c r="A188" s="287"/>
      <c r="B188" s="522"/>
      <c r="C188" s="309"/>
      <c r="D188" s="246"/>
      <c r="E188" s="307"/>
      <c r="F188" s="307"/>
      <c r="G188" s="307"/>
      <c r="H188" s="307"/>
      <c r="I188" s="307"/>
      <c r="J188" s="307"/>
      <c r="K188" s="307"/>
      <c r="L188" s="308"/>
      <c r="M188" s="308"/>
      <c r="N188" s="308"/>
      <c r="O188" s="308"/>
    </row>
    <row r="189" spans="1:15" ht="36.75" customHeight="1">
      <c r="A189" s="1662" t="s">
        <v>6</v>
      </c>
      <c r="B189" s="1656" t="s">
        <v>7</v>
      </c>
      <c r="C189" s="1656" t="s">
        <v>8</v>
      </c>
      <c r="D189" s="1656" t="s">
        <v>9</v>
      </c>
      <c r="E189" s="1656" t="s">
        <v>10</v>
      </c>
      <c r="F189" s="1656" t="s">
        <v>11</v>
      </c>
      <c r="G189" s="1656" t="s">
        <v>12</v>
      </c>
      <c r="H189" s="1695" t="s">
        <v>13</v>
      </c>
      <c r="I189" s="1656" t="s">
        <v>269</v>
      </c>
      <c r="J189" s="1656" t="s">
        <v>59</v>
      </c>
      <c r="K189" s="1659" t="s">
        <v>15</v>
      </c>
      <c r="L189" s="1753" t="s">
        <v>636</v>
      </c>
      <c r="M189" s="1754"/>
      <c r="N189" s="1754"/>
      <c r="O189" s="1755"/>
    </row>
    <row r="190" spans="1:15" ht="36.75" customHeight="1">
      <c r="A190" s="1663"/>
      <c r="B190" s="1657"/>
      <c r="C190" s="1657"/>
      <c r="D190" s="1657"/>
      <c r="E190" s="1657"/>
      <c r="F190" s="1657"/>
      <c r="G190" s="1657"/>
      <c r="H190" s="1696"/>
      <c r="I190" s="1657"/>
      <c r="J190" s="1657"/>
      <c r="K190" s="1660"/>
      <c r="L190" s="1688" t="s">
        <v>637</v>
      </c>
      <c r="M190" s="1689"/>
      <c r="N190" s="1689"/>
      <c r="O190" s="1690"/>
    </row>
    <row r="191" spans="1:15" ht="36.75" customHeight="1" thickBot="1">
      <c r="A191" s="1664"/>
      <c r="B191" s="1658"/>
      <c r="C191" s="1658"/>
      <c r="D191" s="1658"/>
      <c r="E191" s="1658"/>
      <c r="F191" s="1658"/>
      <c r="G191" s="1658"/>
      <c r="H191" s="1697"/>
      <c r="I191" s="1658"/>
      <c r="J191" s="1658"/>
      <c r="K191" s="1661"/>
      <c r="L191" s="571" t="s">
        <v>638</v>
      </c>
      <c r="M191" s="1546" t="s">
        <v>639</v>
      </c>
      <c r="N191" s="1546" t="s">
        <v>640</v>
      </c>
      <c r="O191" s="1547" t="s">
        <v>16</v>
      </c>
    </row>
    <row r="192" spans="1:15" ht="30" thickBot="1">
      <c r="A192" s="1149" t="s">
        <v>26</v>
      </c>
      <c r="B192" s="1092" t="s">
        <v>660</v>
      </c>
      <c r="C192" s="1068" t="s">
        <v>407</v>
      </c>
      <c r="D192" s="1068"/>
      <c r="E192" s="1068"/>
      <c r="F192" s="1150" t="s">
        <v>367</v>
      </c>
      <c r="G192" s="1154" t="s">
        <v>365</v>
      </c>
      <c r="H192" s="768" t="s">
        <v>1882</v>
      </c>
      <c r="I192" s="182">
        <v>4693710</v>
      </c>
      <c r="J192" s="483" t="s">
        <v>65</v>
      </c>
      <c r="K192" s="182">
        <v>6.6</v>
      </c>
      <c r="L192" s="427"/>
      <c r="M192" s="268">
        <f>3027-2678</f>
        <v>349</v>
      </c>
      <c r="N192" s="268">
        <f>18886-17396</f>
        <v>1490</v>
      </c>
      <c r="O192" s="268">
        <f>M192+N192</f>
        <v>1839</v>
      </c>
    </row>
    <row r="193" spans="1:21" ht="30">
      <c r="B193" s="1365" t="s">
        <v>22</v>
      </c>
      <c r="C193" s="306" t="s">
        <v>435</v>
      </c>
      <c r="D193" s="243"/>
      <c r="E193" s="14"/>
      <c r="F193" s="54"/>
      <c r="G193" s="1622" t="s">
        <v>1920</v>
      </c>
      <c r="H193" s="12" t="s">
        <v>376</v>
      </c>
      <c r="N193" s="298" t="s">
        <v>23</v>
      </c>
      <c r="O193" s="556">
        <f>SUM(O192)</f>
        <v>1839</v>
      </c>
    </row>
    <row r="194" spans="1:21" s="25" customFormat="1" ht="15">
      <c r="B194" s="604"/>
      <c r="C194" s="309" t="s">
        <v>405</v>
      </c>
      <c r="D194" s="247"/>
      <c r="E194" s="43"/>
      <c r="F194" s="57"/>
      <c r="G194" s="16"/>
      <c r="H194" s="176" t="s">
        <v>405</v>
      </c>
      <c r="I194" s="57"/>
      <c r="J194" s="57"/>
      <c r="K194" s="57"/>
      <c r="L194" s="59"/>
      <c r="M194" s="59"/>
      <c r="N194" s="59"/>
      <c r="O194" s="59"/>
      <c r="P194" s="59"/>
      <c r="Q194" s="59"/>
      <c r="R194" s="59"/>
      <c r="S194" s="59"/>
      <c r="T194" s="66"/>
      <c r="U194" s="57"/>
    </row>
    <row r="195" spans="1:21" s="25" customFormat="1" ht="15.75" thickBot="1">
      <c r="B195" s="604"/>
      <c r="C195" s="309" t="s">
        <v>406</v>
      </c>
      <c r="D195" s="247"/>
      <c r="E195" s="43"/>
      <c r="F195" s="57"/>
      <c r="G195" s="1124"/>
      <c r="H195" s="177" t="s">
        <v>406</v>
      </c>
      <c r="I195" s="57"/>
      <c r="J195" s="57"/>
      <c r="K195" s="57"/>
      <c r="L195" s="59"/>
      <c r="M195" s="59"/>
      <c r="N195" s="59"/>
      <c r="O195" s="59"/>
      <c r="P195" s="59"/>
      <c r="Q195" s="59"/>
      <c r="R195" s="59"/>
      <c r="S195" s="59"/>
      <c r="T195" s="66"/>
      <c r="U195" s="57"/>
    </row>
    <row r="196" spans="1:21" s="25" customFormat="1" ht="15">
      <c r="B196" s="604" t="s">
        <v>160</v>
      </c>
      <c r="C196" s="1272">
        <v>8222147162</v>
      </c>
      <c r="D196" s="247"/>
      <c r="E196" s="43"/>
      <c r="F196" s="57"/>
      <c r="G196" s="43"/>
      <c r="H196" s="43"/>
      <c r="I196" s="57"/>
      <c r="J196" s="57"/>
      <c r="K196" s="57"/>
      <c r="L196" s="59"/>
      <c r="M196" s="59"/>
      <c r="N196" s="59"/>
      <c r="O196" s="59"/>
      <c r="P196" s="59"/>
      <c r="Q196" s="59"/>
      <c r="R196" s="59"/>
      <c r="S196" s="59"/>
      <c r="T196" s="66"/>
      <c r="U196" s="57"/>
    </row>
    <row r="197" spans="1:21" ht="15.75" thickBot="1">
      <c r="A197" s="287"/>
      <c r="B197" s="465"/>
      <c r="C197" s="310"/>
      <c r="D197" s="251"/>
      <c r="E197" s="307"/>
      <c r="F197" s="307"/>
      <c r="G197" s="307"/>
      <c r="H197" s="307"/>
      <c r="I197" s="307"/>
      <c r="J197" s="307"/>
      <c r="K197" s="307"/>
      <c r="L197" s="308"/>
      <c r="M197" s="308" t="s">
        <v>62</v>
      </c>
      <c r="N197" s="308">
        <f>O38+O49+O60+O72+O83+O94+O105+O117+O127+O138+O149+O159+O171+O181+O193</f>
        <v>662225.35</v>
      </c>
      <c r="O197" s="308"/>
      <c r="P197" s="31"/>
      <c r="Q197" s="31"/>
      <c r="R197" s="31"/>
      <c r="S197" s="31"/>
    </row>
    <row r="198" spans="1:21" ht="15.75" thickBot="1">
      <c r="A198" s="287"/>
      <c r="B198" s="522"/>
      <c r="C198" s="309"/>
      <c r="D198" s="246"/>
      <c r="E198" s="307"/>
      <c r="F198" s="307"/>
      <c r="G198" s="307"/>
      <c r="H198" s="307"/>
      <c r="I198" s="307"/>
      <c r="J198" s="307"/>
      <c r="K198" s="307"/>
      <c r="L198" s="308"/>
      <c r="M198" s="308"/>
      <c r="N198" s="308"/>
      <c r="O198" s="308"/>
      <c r="P198" s="31"/>
      <c r="Q198" s="31"/>
      <c r="R198" s="31"/>
      <c r="S198" s="31"/>
    </row>
    <row r="199" spans="1:21" ht="48" customHeight="1">
      <c r="B199" s="307"/>
      <c r="C199" s="311"/>
      <c r="D199" s="307"/>
      <c r="E199" s="307"/>
      <c r="J199" s="318"/>
      <c r="K199" s="1759" t="s">
        <v>59</v>
      </c>
      <c r="L199" s="1761" t="s">
        <v>644</v>
      </c>
      <c r="M199" s="1762"/>
      <c r="N199" s="1763"/>
      <c r="O199" s="1767" t="s">
        <v>60</v>
      </c>
    </row>
    <row r="200" spans="1:21" ht="22.5" customHeight="1" thickBot="1">
      <c r="B200" s="307"/>
      <c r="C200" s="311"/>
      <c r="D200" s="307"/>
      <c r="E200" s="307"/>
      <c r="J200" s="318"/>
      <c r="K200" s="1760"/>
      <c r="L200" s="319" t="s">
        <v>61</v>
      </c>
      <c r="M200" s="319" t="s">
        <v>639</v>
      </c>
      <c r="N200" s="319" t="s">
        <v>640</v>
      </c>
      <c r="O200" s="1768"/>
    </row>
    <row r="201" spans="1:21" ht="16.5" customHeight="1">
      <c r="A201" s="825"/>
      <c r="B201" s="307"/>
      <c r="C201" s="311"/>
      <c r="D201" s="307"/>
      <c r="E201" s="307"/>
      <c r="J201" s="318"/>
      <c r="K201" s="1387" t="s">
        <v>716</v>
      </c>
      <c r="L201" s="1388">
        <f>O36</f>
        <v>3</v>
      </c>
      <c r="M201" s="1389"/>
      <c r="N201" s="1390"/>
      <c r="O201" s="1383">
        <v>1</v>
      </c>
    </row>
    <row r="202" spans="1:21" ht="16.5" customHeight="1">
      <c r="A202" s="825"/>
      <c r="B202" s="307"/>
      <c r="C202" s="311"/>
      <c r="D202" s="307"/>
      <c r="E202" s="307"/>
      <c r="J202" s="318"/>
      <c r="K202" s="1391" t="s">
        <v>1099</v>
      </c>
      <c r="L202" s="834"/>
      <c r="M202" s="835">
        <f>M137</f>
        <v>860</v>
      </c>
      <c r="N202" s="1392">
        <f>N137</f>
        <v>740</v>
      </c>
      <c r="O202" s="1383">
        <v>1</v>
      </c>
    </row>
    <row r="203" spans="1:21">
      <c r="B203" s="307"/>
      <c r="C203" s="311"/>
      <c r="D203" s="307"/>
      <c r="E203" s="307"/>
      <c r="K203" s="1391" t="s">
        <v>28</v>
      </c>
      <c r="L203" s="840">
        <f>O115+O116+O136</f>
        <v>58036.400000000009</v>
      </c>
      <c r="M203" s="836"/>
      <c r="N203" s="1393"/>
      <c r="O203" s="1384">
        <v>3</v>
      </c>
    </row>
    <row r="204" spans="1:21">
      <c r="A204" s="825"/>
      <c r="B204" s="307"/>
      <c r="C204" s="311"/>
      <c r="D204" s="307"/>
      <c r="E204" s="307"/>
      <c r="J204" s="320"/>
      <c r="K204" s="1623" t="s">
        <v>65</v>
      </c>
      <c r="L204" s="837"/>
      <c r="M204" s="838">
        <f>M18+M19+M20+M21+M22+M23+M24+M25+M26+M27+M28+M29+M30+M31+M32+M33+M35+M48+M59+M71+M82+M93+M104+M148+M158+M170+M180+M192+M37+M70+M126</f>
        <v>121436.34999999999</v>
      </c>
      <c r="N204" s="1394">
        <f>N18+N19+N20+N21+N22+N23+N24+N25+N26+N27+N28+N29+N30+N31+N32+N33+N35+N48+N59+N71+N82+N93+N104+N148+N158+N170+N180+N192+N37+N70+N126</f>
        <v>325380.40000000002</v>
      </c>
      <c r="O204" s="1385">
        <v>31</v>
      </c>
    </row>
    <row r="205" spans="1:21" ht="15" thickBot="1">
      <c r="A205" s="1290"/>
      <c r="B205" s="307"/>
      <c r="C205" s="311"/>
      <c r="D205" s="307"/>
      <c r="E205" s="307"/>
      <c r="J205" s="320"/>
      <c r="K205" s="1624" t="s">
        <v>70</v>
      </c>
      <c r="L205" s="459"/>
      <c r="M205" s="330">
        <f>M34</f>
        <v>48134.100000000006</v>
      </c>
      <c r="N205" s="331">
        <f>N34</f>
        <v>107635.09999999999</v>
      </c>
      <c r="O205" s="1386">
        <v>1</v>
      </c>
    </row>
    <row r="206" spans="1:21" ht="15" thickBot="1">
      <c r="B206" s="307"/>
      <c r="C206" s="311"/>
      <c r="D206" s="307"/>
      <c r="E206" s="307"/>
      <c r="J206" s="320"/>
      <c r="K206" s="839" t="s">
        <v>62</v>
      </c>
      <c r="L206" s="1379">
        <f>SUM(L201:L205)</f>
        <v>58039.400000000009</v>
      </c>
      <c r="M206" s="1380">
        <f>SUM(M201:M205)</f>
        <v>170430.45</v>
      </c>
      <c r="N206" s="1381">
        <f>SUM(N201:N205)</f>
        <v>433755.5</v>
      </c>
      <c r="O206" s="1382">
        <f>SUM(O201:O205)</f>
        <v>37</v>
      </c>
    </row>
    <row r="207" spans="1:21" ht="18.75" thickBot="1">
      <c r="J207" s="57"/>
      <c r="L207" s="36" t="s">
        <v>63</v>
      </c>
      <c r="M207" s="659">
        <f>SUM(L206:N206)</f>
        <v>662225.35000000009</v>
      </c>
    </row>
    <row r="218" spans="9:12">
      <c r="I218" s="31"/>
      <c r="K218"/>
      <c r="L218"/>
    </row>
    <row r="219" spans="9:12">
      <c r="I219"/>
      <c r="J219"/>
      <c r="K219"/>
      <c r="L219"/>
    </row>
    <row r="220" spans="9:12">
      <c r="I220"/>
      <c r="K220"/>
      <c r="L220"/>
    </row>
  </sheetData>
  <mergeCells count="201">
    <mergeCell ref="J177:J179"/>
    <mergeCell ref="K177:K179"/>
    <mergeCell ref="L177:O177"/>
    <mergeCell ref="L178:O178"/>
    <mergeCell ref="A177:A179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55:J157"/>
    <mergeCell ref="K155:K157"/>
    <mergeCell ref="L155:O155"/>
    <mergeCell ref="L156:O156"/>
    <mergeCell ref="A167:A169"/>
    <mergeCell ref="B167:B169"/>
    <mergeCell ref="C167:C169"/>
    <mergeCell ref="D167:D169"/>
    <mergeCell ref="E167:E169"/>
    <mergeCell ref="F167:F169"/>
    <mergeCell ref="G167:G169"/>
    <mergeCell ref="H167:H169"/>
    <mergeCell ref="I167:I169"/>
    <mergeCell ref="J167:J169"/>
    <mergeCell ref="K167:K169"/>
    <mergeCell ref="L167:O167"/>
    <mergeCell ref="L168:O168"/>
    <mergeCell ref="A155:A157"/>
    <mergeCell ref="B155:B157"/>
    <mergeCell ref="C155:C157"/>
    <mergeCell ref="D155:D157"/>
    <mergeCell ref="E155:E157"/>
    <mergeCell ref="F155:F157"/>
    <mergeCell ref="G155:G157"/>
    <mergeCell ref="H155:H157"/>
    <mergeCell ref="I155:I157"/>
    <mergeCell ref="J101:J103"/>
    <mergeCell ref="K101:K103"/>
    <mergeCell ref="L101:O101"/>
    <mergeCell ref="L102:O102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J145:J147"/>
    <mergeCell ref="K145:K147"/>
    <mergeCell ref="L145:O145"/>
    <mergeCell ref="L146:O146"/>
    <mergeCell ref="A101:A103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L79:O79"/>
    <mergeCell ref="L80:O80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J90:J92"/>
    <mergeCell ref="K90:K92"/>
    <mergeCell ref="L90:O90"/>
    <mergeCell ref="L91:O91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A133:A135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A123:A125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A15:A17"/>
    <mergeCell ref="B15:B17"/>
    <mergeCell ref="C15:C17"/>
    <mergeCell ref="D15:D17"/>
    <mergeCell ref="E15:E17"/>
    <mergeCell ref="F15:F17"/>
    <mergeCell ref="A112:A114"/>
    <mergeCell ref="B112:B114"/>
    <mergeCell ref="C112:C114"/>
    <mergeCell ref="D112:D114"/>
    <mergeCell ref="E112:E114"/>
    <mergeCell ref="F112:F114"/>
    <mergeCell ref="A45:A47"/>
    <mergeCell ref="B45:B47"/>
    <mergeCell ref="C45:C47"/>
    <mergeCell ref="D45:D47"/>
    <mergeCell ref="E45:E47"/>
    <mergeCell ref="F45:F47"/>
    <mergeCell ref="A56:A58"/>
    <mergeCell ref="B56:B58"/>
    <mergeCell ref="C56:C58"/>
    <mergeCell ref="D56:D58"/>
    <mergeCell ref="E56:E58"/>
    <mergeCell ref="F56:F58"/>
    <mergeCell ref="O199:O200"/>
    <mergeCell ref="L16:O16"/>
    <mergeCell ref="G15:G17"/>
    <mergeCell ref="H15:H17"/>
    <mergeCell ref="I15:I17"/>
    <mergeCell ref="J15:J17"/>
    <mergeCell ref="K15:K17"/>
    <mergeCell ref="L15:O15"/>
    <mergeCell ref="L112:O112"/>
    <mergeCell ref="L113:O113"/>
    <mergeCell ref="J123:J125"/>
    <mergeCell ref="K123:K125"/>
    <mergeCell ref="L123:O123"/>
    <mergeCell ref="L124:O124"/>
    <mergeCell ref="J133:J135"/>
    <mergeCell ref="K133:K135"/>
    <mergeCell ref="L133:O133"/>
    <mergeCell ref="L134:O134"/>
    <mergeCell ref="G45:G47"/>
    <mergeCell ref="H45:H47"/>
    <mergeCell ref="I45:I47"/>
    <mergeCell ref="J45:J47"/>
    <mergeCell ref="K45:K47"/>
    <mergeCell ref="L45:O45"/>
    <mergeCell ref="B3:I3"/>
    <mergeCell ref="B5:I5"/>
    <mergeCell ref="B1:I1"/>
    <mergeCell ref="K199:K200"/>
    <mergeCell ref="L199:N199"/>
    <mergeCell ref="G112:G114"/>
    <mergeCell ref="H112:H114"/>
    <mergeCell ref="I112:I114"/>
    <mergeCell ref="J112:J114"/>
    <mergeCell ref="K112:K114"/>
    <mergeCell ref="L46:O46"/>
    <mergeCell ref="G56:G58"/>
    <mergeCell ref="H56:H58"/>
    <mergeCell ref="I56:I58"/>
    <mergeCell ref="J56:J58"/>
    <mergeCell ref="K56:K58"/>
    <mergeCell ref="L56:O56"/>
    <mergeCell ref="L57:O57"/>
    <mergeCell ref="J67:J69"/>
    <mergeCell ref="K67:K69"/>
    <mergeCell ref="L67:O67"/>
    <mergeCell ref="L68:O68"/>
    <mergeCell ref="J79:J81"/>
    <mergeCell ref="K79:K81"/>
    <mergeCell ref="G189:G191"/>
    <mergeCell ref="H189:H191"/>
    <mergeCell ref="I189:I191"/>
    <mergeCell ref="J189:J191"/>
    <mergeCell ref="K189:K191"/>
    <mergeCell ref="L189:O189"/>
    <mergeCell ref="L190:O190"/>
    <mergeCell ref="A189:A191"/>
    <mergeCell ref="B189:B191"/>
    <mergeCell ref="C189:C191"/>
    <mergeCell ref="D189:D191"/>
    <mergeCell ref="E189:E191"/>
    <mergeCell ref="F189:F191"/>
  </mergeCells>
  <pageMargins left="0.7" right="0.7" top="0.75" bottom="0.75" header="0.3" footer="0.3"/>
  <pageSetup paperSize="9" orientation="portrait" r:id="rId1"/>
  <ignoredErrors>
    <ignoredError sqref="O2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B100" zoomScale="80" zoomScaleNormal="80" workbookViewId="0">
      <selection activeCell="L125" sqref="L125"/>
    </sheetView>
  </sheetViews>
  <sheetFormatPr defaultRowHeight="14.25"/>
  <cols>
    <col min="1" max="1" width="11.5" style="1" customWidth="1"/>
    <col min="2" max="2" width="20.25" style="1" customWidth="1"/>
    <col min="3" max="3" width="15.625" style="1" customWidth="1"/>
    <col min="4" max="4" width="13.5" style="1" customWidth="1"/>
    <col min="5" max="5" width="11.125" style="1" customWidth="1"/>
    <col min="6" max="6" width="11.375" style="1" customWidth="1"/>
    <col min="7" max="7" width="17.125" style="1" customWidth="1"/>
    <col min="8" max="8" width="26.25" style="1" customWidth="1"/>
    <col min="9" max="9" width="15.5" style="1" customWidth="1"/>
    <col min="10" max="10" width="11.75" style="1" customWidth="1"/>
    <col min="11" max="11" width="11.25" style="5" customWidth="1"/>
    <col min="12" max="12" width="14.375" style="1" customWidth="1"/>
    <col min="13" max="13" width="13.875" style="1" customWidth="1"/>
    <col min="14" max="14" width="16.875" style="1" customWidth="1"/>
    <col min="15" max="15" width="19.25" style="1" customWidth="1"/>
    <col min="16" max="16" width="29.625" style="1" customWidth="1"/>
    <col min="17" max="17" width="19.75" style="1" customWidth="1"/>
    <col min="18" max="18" width="14.5" style="1" customWidth="1"/>
    <col min="19" max="19" width="14.75" style="1" customWidth="1"/>
    <col min="20" max="20" width="23.5" style="1" customWidth="1"/>
    <col min="21" max="21" width="22.625" style="1" customWidth="1"/>
    <col min="22" max="16384" width="9" style="1"/>
  </cols>
  <sheetData>
    <row r="1" spans="1:15" ht="18">
      <c r="B1" s="1691" t="s">
        <v>1174</v>
      </c>
      <c r="C1" s="1691"/>
      <c r="D1" s="1691"/>
      <c r="E1" s="1691"/>
      <c r="F1" s="1691"/>
      <c r="G1" s="1691"/>
      <c r="H1" s="1691"/>
      <c r="I1" s="1691"/>
      <c r="L1" s="7"/>
      <c r="N1" s="31"/>
      <c r="O1" s="31"/>
    </row>
    <row r="2" spans="1:15">
      <c r="H2" s="287"/>
      <c r="K2" s="287"/>
      <c r="L2" s="7"/>
      <c r="N2" s="31"/>
      <c r="O2" s="31"/>
    </row>
    <row r="3" spans="1:15" ht="29.25" customHeight="1">
      <c r="B3" s="1727" t="s">
        <v>699</v>
      </c>
      <c r="C3" s="1728"/>
      <c r="D3" s="1728"/>
      <c r="E3" s="1728"/>
      <c r="F3" s="1728"/>
      <c r="G3" s="1728"/>
      <c r="H3" s="1728"/>
      <c r="I3" s="1729"/>
      <c r="K3" s="287"/>
      <c r="L3" s="7"/>
      <c r="N3" s="31"/>
      <c r="O3" s="31"/>
    </row>
    <row r="4" spans="1:15" ht="15">
      <c r="B4" s="469"/>
      <c r="C4" s="469"/>
      <c r="D4" s="469"/>
      <c r="E4" s="469"/>
      <c r="F4" s="469"/>
      <c r="G4" s="469"/>
      <c r="H4" s="469"/>
      <c r="I4" s="469"/>
      <c r="K4" s="287"/>
      <c r="L4" s="7"/>
      <c r="N4" s="31"/>
      <c r="O4" s="31"/>
    </row>
    <row r="5" spans="1:15" ht="15">
      <c r="B5" s="1687" t="s">
        <v>1052</v>
      </c>
      <c r="C5" s="1687"/>
      <c r="D5" s="1687"/>
      <c r="E5" s="1687"/>
      <c r="F5" s="1687"/>
      <c r="G5" s="1687"/>
      <c r="H5" s="1687"/>
      <c r="I5" s="1687"/>
      <c r="K5" s="287"/>
      <c r="L5" s="7"/>
      <c r="N5" s="31"/>
      <c r="O5" s="31"/>
    </row>
    <row r="6" spans="1:15" ht="20.25">
      <c r="B6" s="469"/>
      <c r="C6" s="469"/>
      <c r="D6" s="469"/>
      <c r="E6" s="469"/>
      <c r="F6" s="469"/>
      <c r="G6" s="469"/>
      <c r="H6" s="472"/>
      <c r="I6" s="471"/>
      <c r="J6" s="62"/>
      <c r="L6" s="7"/>
      <c r="N6" s="31"/>
      <c r="O6" s="31"/>
    </row>
    <row r="7" spans="1:15" ht="15.75">
      <c r="B7" s="470" t="s">
        <v>1</v>
      </c>
      <c r="C7" s="471"/>
      <c r="D7" s="469"/>
      <c r="E7" s="469"/>
      <c r="F7" s="469"/>
      <c r="G7" s="471"/>
      <c r="H7" s="472"/>
      <c r="I7" s="471"/>
      <c r="L7" s="7"/>
      <c r="N7" s="31"/>
      <c r="O7" s="31"/>
    </row>
    <row r="8" spans="1:15" ht="15.75">
      <c r="B8" s="1307" t="s">
        <v>1921</v>
      </c>
      <c r="C8" s="471"/>
      <c r="D8" s="469"/>
      <c r="E8" s="469"/>
      <c r="F8" s="469"/>
      <c r="G8" s="471"/>
      <c r="H8" s="472"/>
      <c r="I8" s="471"/>
      <c r="L8" s="7"/>
      <c r="N8" s="31"/>
      <c r="O8" s="31"/>
    </row>
    <row r="9" spans="1:15" ht="15.75">
      <c r="B9" s="473" t="s">
        <v>1872</v>
      </c>
      <c r="C9" s="471"/>
      <c r="D9" s="474"/>
      <c r="E9" s="469"/>
      <c r="F9" s="469"/>
      <c r="G9" s="471"/>
      <c r="H9" s="472"/>
      <c r="I9" s="471"/>
      <c r="L9" s="7"/>
      <c r="N9" s="31"/>
      <c r="O9" s="31"/>
    </row>
    <row r="10" spans="1:15" ht="15.75">
      <c r="B10" s="473" t="s">
        <v>1045</v>
      </c>
      <c r="C10" s="471"/>
      <c r="D10" s="474"/>
      <c r="E10" s="469"/>
      <c r="F10" s="469"/>
      <c r="G10" s="471"/>
      <c r="H10" s="472"/>
      <c r="I10" s="471"/>
      <c r="L10" s="7"/>
      <c r="N10" s="31"/>
      <c r="O10" s="31"/>
    </row>
    <row r="11" spans="1:15" ht="15">
      <c r="B11" s="471" t="s">
        <v>696</v>
      </c>
      <c r="C11" s="471"/>
      <c r="D11" s="471"/>
      <c r="E11" s="471"/>
      <c r="F11" s="471"/>
      <c r="G11" s="471"/>
      <c r="H11" s="472"/>
      <c r="I11" s="471"/>
      <c r="L11" s="7"/>
      <c r="N11" s="31"/>
      <c r="O11" s="31"/>
    </row>
    <row r="12" spans="1:15" ht="15.75">
      <c r="B12" s="475"/>
      <c r="C12" s="476"/>
      <c r="D12" s="474"/>
      <c r="E12" s="474"/>
      <c r="F12" s="474"/>
      <c r="G12" s="474"/>
      <c r="H12" s="471"/>
      <c r="I12" s="471"/>
      <c r="L12" s="7"/>
      <c r="N12" s="31"/>
      <c r="O12" s="31"/>
    </row>
    <row r="13" spans="1:15" ht="15.75">
      <c r="B13" s="475" t="s">
        <v>4</v>
      </c>
      <c r="C13" s="470" t="s">
        <v>5</v>
      </c>
      <c r="D13" s="474"/>
      <c r="E13" s="474"/>
      <c r="F13" s="474"/>
      <c r="G13" s="474"/>
      <c r="H13" s="471"/>
      <c r="I13" s="471"/>
      <c r="L13" s="7"/>
      <c r="N13" s="31"/>
      <c r="O13" s="31"/>
    </row>
    <row r="14" spans="1:15" ht="15" thickBot="1">
      <c r="A14" s="57"/>
      <c r="B14" s="57"/>
      <c r="C14" s="56"/>
      <c r="D14" s="57"/>
      <c r="E14" s="57"/>
      <c r="F14" s="57"/>
      <c r="G14" s="57"/>
      <c r="H14" s="1187"/>
      <c r="L14" s="7"/>
      <c r="N14" s="31"/>
      <c r="O14" s="31"/>
    </row>
    <row r="15" spans="1:15" ht="39.75" customHeight="1">
      <c r="A15" s="1670" t="s">
        <v>6</v>
      </c>
      <c r="B15" s="1673" t="s">
        <v>633</v>
      </c>
      <c r="C15" s="1676" t="s">
        <v>8</v>
      </c>
      <c r="D15" s="1676" t="s">
        <v>9</v>
      </c>
      <c r="E15" s="1656" t="s">
        <v>812</v>
      </c>
      <c r="F15" s="1656" t="s">
        <v>11</v>
      </c>
      <c r="G15" s="1676" t="s">
        <v>12</v>
      </c>
      <c r="H15" s="1656" t="s">
        <v>13</v>
      </c>
      <c r="I15" s="1656" t="s">
        <v>269</v>
      </c>
      <c r="J15" s="1656" t="s">
        <v>59</v>
      </c>
      <c r="K15" s="1665" t="s">
        <v>635</v>
      </c>
      <c r="L15" s="1725" t="s">
        <v>636</v>
      </c>
      <c r="M15" s="1719"/>
      <c r="N15" s="1719"/>
      <c r="O15" s="1726"/>
    </row>
    <row r="16" spans="1:15" ht="40.5" customHeight="1">
      <c r="A16" s="1671"/>
      <c r="B16" s="1674"/>
      <c r="C16" s="1677"/>
      <c r="D16" s="1677"/>
      <c r="E16" s="1657"/>
      <c r="F16" s="1657"/>
      <c r="G16" s="1677"/>
      <c r="H16" s="1657"/>
      <c r="I16" s="1698"/>
      <c r="J16" s="1657"/>
      <c r="K16" s="1666"/>
      <c r="L16" s="1679" t="s">
        <v>637</v>
      </c>
      <c r="M16" s="1654"/>
      <c r="N16" s="1654"/>
      <c r="O16" s="1680"/>
    </row>
    <row r="17" spans="1:15" ht="33.75" customHeight="1" thickBot="1">
      <c r="A17" s="1672"/>
      <c r="B17" s="1675"/>
      <c r="C17" s="1678"/>
      <c r="D17" s="1678"/>
      <c r="E17" s="1658"/>
      <c r="F17" s="1658"/>
      <c r="G17" s="1678"/>
      <c r="H17" s="1658"/>
      <c r="I17" s="1699"/>
      <c r="J17" s="1658"/>
      <c r="K17" s="1667"/>
      <c r="L17" s="263" t="s">
        <v>638</v>
      </c>
      <c r="M17" s="270" t="s">
        <v>639</v>
      </c>
      <c r="N17" s="270" t="s">
        <v>640</v>
      </c>
      <c r="O17" s="265" t="s">
        <v>16</v>
      </c>
    </row>
    <row r="18" spans="1:15" ht="18">
      <c r="A18" s="639" t="s">
        <v>26</v>
      </c>
      <c r="B18" s="3" t="s">
        <v>221</v>
      </c>
      <c r="C18" s="63" t="s">
        <v>436</v>
      </c>
      <c r="D18" s="4" t="s">
        <v>181</v>
      </c>
      <c r="E18" s="200">
        <v>6</v>
      </c>
      <c r="F18" s="200" t="s">
        <v>437</v>
      </c>
      <c r="G18" s="201" t="s">
        <v>436</v>
      </c>
      <c r="H18" s="778" t="s">
        <v>438</v>
      </c>
      <c r="I18" s="253">
        <v>43890</v>
      </c>
      <c r="J18" s="85" t="s">
        <v>65</v>
      </c>
      <c r="K18" s="8">
        <v>2</v>
      </c>
      <c r="L18" s="202"/>
      <c r="M18" s="203">
        <f>965-609</f>
        <v>356</v>
      </c>
      <c r="N18" s="203">
        <f>1917-1212</f>
        <v>705</v>
      </c>
      <c r="O18" s="203">
        <f>SUM(M18:N18)</f>
        <v>1061</v>
      </c>
    </row>
    <row r="19" spans="1:15" ht="18">
      <c r="A19" s="639" t="s">
        <v>26</v>
      </c>
      <c r="B19" s="3" t="s">
        <v>439</v>
      </c>
      <c r="C19" s="63" t="s">
        <v>436</v>
      </c>
      <c r="D19" s="4" t="s">
        <v>440</v>
      </c>
      <c r="E19" s="127"/>
      <c r="F19" s="200" t="s">
        <v>437</v>
      </c>
      <c r="G19" s="201" t="s">
        <v>436</v>
      </c>
      <c r="H19" s="778" t="s">
        <v>441</v>
      </c>
      <c r="I19" s="253">
        <v>70907588</v>
      </c>
      <c r="J19" s="380" t="s">
        <v>442</v>
      </c>
      <c r="K19" s="8">
        <v>6</v>
      </c>
      <c r="L19" s="204"/>
      <c r="M19" s="205">
        <f>26228-20914</f>
        <v>5314</v>
      </c>
      <c r="N19" s="205">
        <f>18195-14347</f>
        <v>3848</v>
      </c>
      <c r="O19" s="205">
        <f>SUM(M19:N19)</f>
        <v>9162</v>
      </c>
    </row>
    <row r="20" spans="1:15" ht="18">
      <c r="A20" s="639" t="s">
        <v>26</v>
      </c>
      <c r="B20" s="3" t="s">
        <v>443</v>
      </c>
      <c r="C20" s="63" t="s">
        <v>444</v>
      </c>
      <c r="D20" s="63" t="s">
        <v>444</v>
      </c>
      <c r="E20" s="4" t="s">
        <v>445</v>
      </c>
      <c r="F20" s="200" t="s">
        <v>437</v>
      </c>
      <c r="G20" s="201" t="s">
        <v>436</v>
      </c>
      <c r="H20" s="778" t="s">
        <v>446</v>
      </c>
      <c r="I20" s="253">
        <v>70907949</v>
      </c>
      <c r="J20" s="380" t="s">
        <v>442</v>
      </c>
      <c r="K20" s="8">
        <v>14</v>
      </c>
      <c r="L20" s="204"/>
      <c r="M20" s="206">
        <f>16071-11997</f>
        <v>4074</v>
      </c>
      <c r="N20" s="206">
        <f>11654-8757</f>
        <v>2897</v>
      </c>
      <c r="O20" s="206">
        <f>SUM(M20:N20)</f>
        <v>6971</v>
      </c>
    </row>
    <row r="21" spans="1:15" ht="29.25">
      <c r="A21" s="639" t="s">
        <v>26</v>
      </c>
      <c r="B21" s="63" t="s">
        <v>138</v>
      </c>
      <c r="C21" s="63" t="s">
        <v>436</v>
      </c>
      <c r="D21" s="201" t="s">
        <v>440</v>
      </c>
      <c r="E21" s="127"/>
      <c r="F21" s="200" t="s">
        <v>437</v>
      </c>
      <c r="G21" s="201" t="s">
        <v>436</v>
      </c>
      <c r="H21" s="778" t="s">
        <v>447</v>
      </c>
      <c r="I21" s="537">
        <v>70542809</v>
      </c>
      <c r="J21" s="383" t="s">
        <v>28</v>
      </c>
      <c r="K21" s="8">
        <v>3.2</v>
      </c>
      <c r="L21" s="205">
        <f>2984-2858</f>
        <v>126</v>
      </c>
      <c r="M21" s="204"/>
      <c r="N21" s="204"/>
      <c r="O21" s="208">
        <f>L21</f>
        <v>126</v>
      </c>
    </row>
    <row r="22" spans="1:15" ht="29.25">
      <c r="A22" s="639" t="s">
        <v>26</v>
      </c>
      <c r="B22" s="63" t="s">
        <v>138</v>
      </c>
      <c r="C22" s="63" t="s">
        <v>436</v>
      </c>
      <c r="D22" s="63" t="s">
        <v>29</v>
      </c>
      <c r="E22" s="127"/>
      <c r="F22" s="200" t="s">
        <v>437</v>
      </c>
      <c r="G22" s="201" t="s">
        <v>436</v>
      </c>
      <c r="H22" s="778" t="s">
        <v>448</v>
      </c>
      <c r="I22" s="537">
        <v>37268</v>
      </c>
      <c r="J22" s="383" t="s">
        <v>28</v>
      </c>
      <c r="K22" s="8">
        <v>7.9</v>
      </c>
      <c r="L22" s="205">
        <f>26679-23370</f>
        <v>3309</v>
      </c>
      <c r="M22" s="204"/>
      <c r="N22" s="204"/>
      <c r="O22" s="208">
        <f t="shared" ref="O22:O29" si="0">L22</f>
        <v>3309</v>
      </c>
    </row>
    <row r="23" spans="1:15" ht="29.25">
      <c r="A23" s="639" t="s">
        <v>26</v>
      </c>
      <c r="B23" s="63" t="s">
        <v>138</v>
      </c>
      <c r="C23" s="63" t="s">
        <v>436</v>
      </c>
      <c r="D23" s="201"/>
      <c r="E23" s="127"/>
      <c r="F23" s="200" t="s">
        <v>437</v>
      </c>
      <c r="G23" s="201" t="s">
        <v>436</v>
      </c>
      <c r="H23" s="778" t="s">
        <v>449</v>
      </c>
      <c r="I23" s="537">
        <v>70750549</v>
      </c>
      <c r="J23" s="383" t="s">
        <v>28</v>
      </c>
      <c r="K23" s="8">
        <v>10</v>
      </c>
      <c r="L23" s="205">
        <f>1647-1401</f>
        <v>246</v>
      </c>
      <c r="M23" s="204"/>
      <c r="N23" s="204"/>
      <c r="O23" s="208">
        <f t="shared" si="0"/>
        <v>246</v>
      </c>
    </row>
    <row r="24" spans="1:15" ht="29.25">
      <c r="A24" s="639" t="s">
        <v>26</v>
      </c>
      <c r="B24" s="63" t="s">
        <v>138</v>
      </c>
      <c r="C24" s="63" t="s">
        <v>436</v>
      </c>
      <c r="D24" s="201"/>
      <c r="E24" s="127"/>
      <c r="F24" s="200" t="s">
        <v>437</v>
      </c>
      <c r="G24" s="201" t="s">
        <v>436</v>
      </c>
      <c r="H24" s="778" t="s">
        <v>450</v>
      </c>
      <c r="I24" s="537">
        <v>70529820</v>
      </c>
      <c r="J24" s="383" t="s">
        <v>28</v>
      </c>
      <c r="K24" s="8">
        <v>4</v>
      </c>
      <c r="L24" s="205">
        <f>10161-9893</f>
        <v>268</v>
      </c>
      <c r="M24" s="204"/>
      <c r="N24" s="204"/>
      <c r="O24" s="208">
        <f t="shared" si="0"/>
        <v>268</v>
      </c>
    </row>
    <row r="25" spans="1:15" ht="29.25">
      <c r="A25" s="639" t="s">
        <v>26</v>
      </c>
      <c r="B25" s="63" t="s">
        <v>138</v>
      </c>
      <c r="C25" s="63" t="s">
        <v>436</v>
      </c>
      <c r="D25" s="201"/>
      <c r="E25" s="127"/>
      <c r="F25" s="200" t="s">
        <v>437</v>
      </c>
      <c r="G25" s="201" t="s">
        <v>436</v>
      </c>
      <c r="H25" s="778" t="s">
        <v>451</v>
      </c>
      <c r="I25" s="537">
        <v>70907473</v>
      </c>
      <c r="J25" s="383" t="s">
        <v>28</v>
      </c>
      <c r="K25" s="8">
        <v>4</v>
      </c>
      <c r="L25" s="205">
        <f>2341-2003</f>
        <v>338</v>
      </c>
      <c r="M25" s="204"/>
      <c r="N25" s="204"/>
      <c r="O25" s="208">
        <f t="shared" si="0"/>
        <v>338</v>
      </c>
    </row>
    <row r="26" spans="1:15" ht="29.25">
      <c r="A26" s="639" t="s">
        <v>26</v>
      </c>
      <c r="B26" s="63" t="s">
        <v>138</v>
      </c>
      <c r="C26" s="63" t="s">
        <v>436</v>
      </c>
      <c r="D26" s="201" t="s">
        <v>440</v>
      </c>
      <c r="E26" s="127"/>
      <c r="F26" s="200" t="s">
        <v>437</v>
      </c>
      <c r="G26" s="201" t="s">
        <v>436</v>
      </c>
      <c r="H26" s="778" t="s">
        <v>452</v>
      </c>
      <c r="I26" s="537">
        <v>14114644</v>
      </c>
      <c r="J26" s="383" t="s">
        <v>28</v>
      </c>
      <c r="K26" s="8">
        <v>2.4</v>
      </c>
      <c r="L26" s="205">
        <f>21618-17483</f>
        <v>4135</v>
      </c>
      <c r="M26" s="204"/>
      <c r="N26" s="204"/>
      <c r="O26" s="208">
        <f t="shared" si="0"/>
        <v>4135</v>
      </c>
    </row>
    <row r="27" spans="1:15" ht="29.25">
      <c r="A27" s="639" t="s">
        <v>26</v>
      </c>
      <c r="B27" s="63" t="s">
        <v>138</v>
      </c>
      <c r="C27" s="63" t="s">
        <v>436</v>
      </c>
      <c r="D27" s="201" t="s">
        <v>440</v>
      </c>
      <c r="E27" s="127"/>
      <c r="F27" s="200" t="s">
        <v>437</v>
      </c>
      <c r="G27" s="201" t="s">
        <v>436</v>
      </c>
      <c r="H27" s="778" t="s">
        <v>453</v>
      </c>
      <c r="I27" s="537">
        <v>70541782</v>
      </c>
      <c r="J27" s="383" t="s">
        <v>28</v>
      </c>
      <c r="K27" s="8">
        <v>3.2</v>
      </c>
      <c r="L27" s="205">
        <f>1044-889</f>
        <v>155</v>
      </c>
      <c r="M27" s="204"/>
      <c r="N27" s="204"/>
      <c r="O27" s="208">
        <f t="shared" si="0"/>
        <v>155</v>
      </c>
    </row>
    <row r="28" spans="1:15" ht="29.25">
      <c r="A28" s="639" t="s">
        <v>26</v>
      </c>
      <c r="B28" s="63" t="s">
        <v>138</v>
      </c>
      <c r="C28" s="63" t="s">
        <v>436</v>
      </c>
      <c r="D28" s="201"/>
      <c r="E28" s="127"/>
      <c r="F28" s="200" t="s">
        <v>437</v>
      </c>
      <c r="G28" s="201" t="s">
        <v>436</v>
      </c>
      <c r="H28" s="778" t="s">
        <v>454</v>
      </c>
      <c r="I28" s="537">
        <v>70907918</v>
      </c>
      <c r="J28" s="383" t="s">
        <v>28</v>
      </c>
      <c r="K28" s="8">
        <v>4.2</v>
      </c>
      <c r="L28" s="205">
        <f>8939-8039</f>
        <v>900</v>
      </c>
      <c r="M28" s="204"/>
      <c r="N28" s="204"/>
      <c r="O28" s="208">
        <f t="shared" si="0"/>
        <v>900</v>
      </c>
    </row>
    <row r="29" spans="1:15" ht="29.25">
      <c r="A29" s="639" t="s">
        <v>26</v>
      </c>
      <c r="B29" s="63" t="s">
        <v>138</v>
      </c>
      <c r="C29" s="63" t="s">
        <v>436</v>
      </c>
      <c r="D29" s="63" t="s">
        <v>838</v>
      </c>
      <c r="E29" s="127"/>
      <c r="F29" s="200" t="s">
        <v>437</v>
      </c>
      <c r="G29" s="201" t="s">
        <v>436</v>
      </c>
      <c r="H29" s="778" t="s">
        <v>455</v>
      </c>
      <c r="I29" s="537">
        <v>70511161</v>
      </c>
      <c r="J29" s="383" t="s">
        <v>28</v>
      </c>
      <c r="K29" s="8">
        <v>2.1</v>
      </c>
      <c r="L29" s="205">
        <f>3257-3145</f>
        <v>112</v>
      </c>
      <c r="M29" s="204"/>
      <c r="N29" s="204"/>
      <c r="O29" s="208">
        <f t="shared" si="0"/>
        <v>112</v>
      </c>
    </row>
    <row r="30" spans="1:15" ht="18">
      <c r="A30" s="639" t="s">
        <v>26</v>
      </c>
      <c r="B30" s="3" t="s">
        <v>456</v>
      </c>
      <c r="C30" s="63" t="s">
        <v>836</v>
      </c>
      <c r="D30" s="4"/>
      <c r="E30" s="127" t="s">
        <v>837</v>
      </c>
      <c r="F30" s="200" t="s">
        <v>437</v>
      </c>
      <c r="G30" s="201" t="s">
        <v>436</v>
      </c>
      <c r="H30" s="778" t="s">
        <v>457</v>
      </c>
      <c r="I30" s="253">
        <v>30640</v>
      </c>
      <c r="J30" s="383" t="s">
        <v>28</v>
      </c>
      <c r="K30" s="112">
        <v>2.2000000000000002</v>
      </c>
      <c r="L30" s="32">
        <f>544-535</f>
        <v>9</v>
      </c>
      <c r="M30" s="209"/>
      <c r="N30" s="33"/>
      <c r="O30" s="32">
        <f t="shared" ref="O30:O37" si="1">L30</f>
        <v>9</v>
      </c>
    </row>
    <row r="31" spans="1:15" ht="29.25">
      <c r="A31" s="639" t="s">
        <v>26</v>
      </c>
      <c r="B31" s="3" t="s">
        <v>138</v>
      </c>
      <c r="C31" s="4" t="s">
        <v>436</v>
      </c>
      <c r="D31" s="4" t="s">
        <v>458</v>
      </c>
      <c r="E31" s="127"/>
      <c r="F31" s="200" t="s">
        <v>437</v>
      </c>
      <c r="G31" s="201" t="s">
        <v>436</v>
      </c>
      <c r="H31" s="778" t="s">
        <v>459</v>
      </c>
      <c r="I31" s="253">
        <v>70830651</v>
      </c>
      <c r="J31" s="383" t="s">
        <v>28</v>
      </c>
      <c r="K31" s="8">
        <v>3</v>
      </c>
      <c r="L31" s="32">
        <f>3766-2846</f>
        <v>920</v>
      </c>
      <c r="M31" s="209"/>
      <c r="N31" s="33"/>
      <c r="O31" s="32">
        <f t="shared" si="1"/>
        <v>920</v>
      </c>
    </row>
    <row r="32" spans="1:15" ht="18">
      <c r="A32" s="639" t="s">
        <v>26</v>
      </c>
      <c r="B32" s="3" t="s">
        <v>221</v>
      </c>
      <c r="C32" s="4" t="s">
        <v>436</v>
      </c>
      <c r="D32" s="4" t="s">
        <v>460</v>
      </c>
      <c r="E32" s="112">
        <v>6</v>
      </c>
      <c r="F32" s="200" t="s">
        <v>437</v>
      </c>
      <c r="G32" s="201" t="s">
        <v>436</v>
      </c>
      <c r="H32" s="778" t="s">
        <v>461</v>
      </c>
      <c r="I32" s="253">
        <v>70853676</v>
      </c>
      <c r="J32" s="383" t="s">
        <v>28</v>
      </c>
      <c r="K32" s="8">
        <v>7</v>
      </c>
      <c r="L32" s="32">
        <f>71866-61214</f>
        <v>10652</v>
      </c>
      <c r="M32" s="209"/>
      <c r="N32" s="33"/>
      <c r="O32" s="32">
        <f t="shared" si="1"/>
        <v>10652</v>
      </c>
    </row>
    <row r="33" spans="1:15" ht="18">
      <c r="A33" s="639" t="s">
        <v>26</v>
      </c>
      <c r="B33" s="784"/>
      <c r="C33" s="201" t="s">
        <v>444</v>
      </c>
      <c r="D33" s="22"/>
      <c r="E33" s="22">
        <v>44</v>
      </c>
      <c r="F33" s="200" t="s">
        <v>437</v>
      </c>
      <c r="G33" s="207" t="s">
        <v>436</v>
      </c>
      <c r="H33" s="695" t="s">
        <v>834</v>
      </c>
      <c r="I33" s="537">
        <v>31083</v>
      </c>
      <c r="J33" s="385" t="s">
        <v>28</v>
      </c>
      <c r="K33" s="24">
        <v>2.2000000000000002</v>
      </c>
      <c r="L33" s="32">
        <f>315-260</f>
        <v>55</v>
      </c>
      <c r="M33" s="213"/>
      <c r="N33" s="30"/>
      <c r="O33" s="214">
        <f t="shared" si="1"/>
        <v>55</v>
      </c>
    </row>
    <row r="34" spans="1:15" ht="28.5">
      <c r="A34" s="639" t="s">
        <v>26</v>
      </c>
      <c r="B34" s="784" t="s">
        <v>334</v>
      </c>
      <c r="C34" s="46" t="s">
        <v>436</v>
      </c>
      <c r="D34" s="4" t="s">
        <v>181</v>
      </c>
      <c r="E34" s="4">
        <v>24</v>
      </c>
      <c r="F34" s="4" t="s">
        <v>437</v>
      </c>
      <c r="G34" s="4" t="s">
        <v>436</v>
      </c>
      <c r="H34" s="726" t="s">
        <v>1313</v>
      </c>
      <c r="I34" s="4">
        <v>30637</v>
      </c>
      <c r="J34" s="29" t="s">
        <v>716</v>
      </c>
      <c r="K34" s="174">
        <v>4</v>
      </c>
      <c r="L34" s="32">
        <f>7317-5725</f>
        <v>1592</v>
      </c>
      <c r="M34" s="33"/>
      <c r="N34" s="33"/>
      <c r="O34" s="32">
        <f t="shared" si="1"/>
        <v>1592</v>
      </c>
    </row>
    <row r="35" spans="1:15" ht="18">
      <c r="A35" s="639" t="s">
        <v>26</v>
      </c>
      <c r="B35" s="533"/>
      <c r="C35" s="46" t="s">
        <v>436</v>
      </c>
      <c r="D35" s="4" t="s">
        <v>181</v>
      </c>
      <c r="E35" s="4">
        <v>1</v>
      </c>
      <c r="F35" s="4" t="s">
        <v>437</v>
      </c>
      <c r="G35" s="4" t="s">
        <v>436</v>
      </c>
      <c r="H35" s="726" t="s">
        <v>1314</v>
      </c>
      <c r="I35" s="4">
        <v>83991296</v>
      </c>
      <c r="J35" s="29" t="s">
        <v>716</v>
      </c>
      <c r="K35" s="174">
        <v>2</v>
      </c>
      <c r="L35" s="32">
        <v>10</v>
      </c>
      <c r="M35" s="33"/>
      <c r="N35" s="33"/>
      <c r="O35" s="32">
        <f t="shared" si="1"/>
        <v>10</v>
      </c>
    </row>
    <row r="36" spans="1:15" ht="18">
      <c r="A36" s="639" t="s">
        <v>26</v>
      </c>
      <c r="B36" s="533"/>
      <c r="C36" s="46" t="s">
        <v>472</v>
      </c>
      <c r="D36" s="4"/>
      <c r="E36" s="4" t="s">
        <v>1140</v>
      </c>
      <c r="F36" s="4" t="s">
        <v>437</v>
      </c>
      <c r="G36" s="4" t="s">
        <v>436</v>
      </c>
      <c r="H36" s="726" t="s">
        <v>1315</v>
      </c>
      <c r="I36" s="4">
        <v>83990946</v>
      </c>
      <c r="J36" s="29" t="s">
        <v>716</v>
      </c>
      <c r="K36" s="174">
        <v>2</v>
      </c>
      <c r="L36" s="32">
        <v>10</v>
      </c>
      <c r="M36" s="33"/>
      <c r="N36" s="33"/>
      <c r="O36" s="32">
        <f t="shared" si="1"/>
        <v>10</v>
      </c>
    </row>
    <row r="37" spans="1:15" ht="30" thickBot="1">
      <c r="A37" s="639" t="s">
        <v>26</v>
      </c>
      <c r="B37" s="784" t="s">
        <v>1141</v>
      </c>
      <c r="C37" s="45" t="s">
        <v>1142</v>
      </c>
      <c r="D37" s="4"/>
      <c r="E37" s="4"/>
      <c r="F37" s="4" t="s">
        <v>437</v>
      </c>
      <c r="G37" s="4" t="s">
        <v>436</v>
      </c>
      <c r="H37" s="1021" t="s">
        <v>1318</v>
      </c>
      <c r="I37" s="4">
        <v>1356180</v>
      </c>
      <c r="J37" s="377" t="s">
        <v>1143</v>
      </c>
      <c r="K37" s="174">
        <v>36</v>
      </c>
      <c r="L37" s="32">
        <f>(9906.22-6208.13)*15</f>
        <v>55471.349999999991</v>
      </c>
      <c r="M37" s="33"/>
      <c r="N37" s="33"/>
      <c r="O37" s="32">
        <f t="shared" si="1"/>
        <v>55471.349999999991</v>
      </c>
    </row>
    <row r="38" spans="1:15" ht="32.25" customHeight="1">
      <c r="B38" s="640" t="s">
        <v>22</v>
      </c>
      <c r="C38" s="223" t="s">
        <v>462</v>
      </c>
      <c r="D38" s="225"/>
      <c r="G38" s="1622" t="s">
        <v>1920</v>
      </c>
      <c r="H38" s="1158" t="s">
        <v>462</v>
      </c>
      <c r="M38" s="31"/>
      <c r="N38" s="32" t="s">
        <v>23</v>
      </c>
      <c r="O38" s="556">
        <f>SUM(O18:O37)</f>
        <v>95502.349999999991</v>
      </c>
    </row>
    <row r="39" spans="1:15">
      <c r="B39" s="212"/>
      <c r="C39" s="210" t="s">
        <v>463</v>
      </c>
      <c r="D39" s="211"/>
      <c r="G39" s="185"/>
      <c r="H39" s="1159" t="s">
        <v>463</v>
      </c>
    </row>
    <row r="40" spans="1:15" ht="15" thickBot="1">
      <c r="B40" s="212"/>
      <c r="C40" s="210" t="s">
        <v>486</v>
      </c>
      <c r="D40" s="211"/>
      <c r="G40" s="188"/>
      <c r="H40" s="1160" t="s">
        <v>486</v>
      </c>
      <c r="L40" s="31"/>
      <c r="M40" s="31"/>
    </row>
    <row r="41" spans="1:15">
      <c r="B41" s="212"/>
      <c r="C41" s="210" t="s">
        <v>464</v>
      </c>
      <c r="D41" s="211"/>
    </row>
    <row r="42" spans="1:15" ht="15.75" thickBot="1">
      <c r="B42" s="433" t="s">
        <v>1061</v>
      </c>
      <c r="C42" s="97" t="s">
        <v>1130</v>
      </c>
      <c r="D42" s="28"/>
    </row>
    <row r="43" spans="1:15" ht="15">
      <c r="B43" s="577"/>
      <c r="C43" s="68"/>
      <c r="D43" s="54"/>
      <c r="K43" s="1146"/>
    </row>
    <row r="44" spans="1:15" ht="15.75" thickBot="1">
      <c r="B44" s="577"/>
      <c r="C44" s="68"/>
      <c r="D44" s="54"/>
      <c r="K44" s="1146"/>
    </row>
    <row r="45" spans="1:15" ht="37.5" customHeight="1">
      <c r="A45" s="1670" t="s">
        <v>6</v>
      </c>
      <c r="B45" s="1673" t="s">
        <v>633</v>
      </c>
      <c r="C45" s="1676" t="s">
        <v>8</v>
      </c>
      <c r="D45" s="1676" t="s">
        <v>9</v>
      </c>
      <c r="E45" s="1656" t="s">
        <v>634</v>
      </c>
      <c r="F45" s="1656" t="s">
        <v>11</v>
      </c>
      <c r="G45" s="1676" t="s">
        <v>12</v>
      </c>
      <c r="H45" s="1656" t="s">
        <v>13</v>
      </c>
      <c r="I45" s="1656" t="s">
        <v>269</v>
      </c>
      <c r="J45" s="1656" t="s">
        <v>59</v>
      </c>
      <c r="K45" s="1665" t="s">
        <v>635</v>
      </c>
      <c r="L45" s="1725" t="s">
        <v>636</v>
      </c>
      <c r="M45" s="1719"/>
      <c r="N45" s="1719"/>
      <c r="O45" s="1726"/>
    </row>
    <row r="46" spans="1:15" ht="37.5" customHeight="1">
      <c r="A46" s="1671"/>
      <c r="B46" s="1674"/>
      <c r="C46" s="1677"/>
      <c r="D46" s="1677"/>
      <c r="E46" s="1657"/>
      <c r="F46" s="1657"/>
      <c r="G46" s="1677"/>
      <c r="H46" s="1657"/>
      <c r="I46" s="1698"/>
      <c r="J46" s="1657"/>
      <c r="K46" s="1666"/>
      <c r="L46" s="1679" t="s">
        <v>637</v>
      </c>
      <c r="M46" s="1654"/>
      <c r="N46" s="1654"/>
      <c r="O46" s="1680"/>
    </row>
    <row r="47" spans="1:15" ht="37.5" customHeight="1" thickBot="1">
      <c r="A47" s="1672"/>
      <c r="B47" s="1675"/>
      <c r="C47" s="1678"/>
      <c r="D47" s="1678"/>
      <c r="E47" s="1658"/>
      <c r="F47" s="1658"/>
      <c r="G47" s="1678"/>
      <c r="H47" s="1658"/>
      <c r="I47" s="1699"/>
      <c r="J47" s="1658"/>
      <c r="K47" s="1667"/>
      <c r="L47" s="571" t="s">
        <v>638</v>
      </c>
      <c r="M47" s="1147" t="s">
        <v>639</v>
      </c>
      <c r="N47" s="1147" t="s">
        <v>640</v>
      </c>
      <c r="O47" s="1148" t="s">
        <v>16</v>
      </c>
    </row>
    <row r="48" spans="1:15" ht="44.25" thickBot="1">
      <c r="A48" s="639" t="s">
        <v>26</v>
      </c>
      <c r="B48" s="1169" t="s">
        <v>471</v>
      </c>
      <c r="C48" s="1170" t="s">
        <v>472</v>
      </c>
      <c r="D48" s="777"/>
      <c r="E48" s="774">
        <v>36</v>
      </c>
      <c r="F48" s="1161" t="s">
        <v>437</v>
      </c>
      <c r="G48" s="1163" t="s">
        <v>436</v>
      </c>
      <c r="H48" s="1164" t="s">
        <v>473</v>
      </c>
      <c r="I48" s="1165">
        <v>70921275</v>
      </c>
      <c r="J48" s="1166" t="s">
        <v>28</v>
      </c>
      <c r="K48" s="24">
        <v>40</v>
      </c>
      <c r="L48" s="32">
        <f>257434-215507</f>
        <v>41927</v>
      </c>
      <c r="M48" s="217"/>
      <c r="N48" s="30"/>
      <c r="O48" s="214">
        <f>L48</f>
        <v>41927</v>
      </c>
    </row>
    <row r="49" spans="1:15" ht="30">
      <c r="B49" s="640" t="s">
        <v>22</v>
      </c>
      <c r="C49" s="223" t="s">
        <v>462</v>
      </c>
      <c r="D49" s="225"/>
      <c r="E49" s="246"/>
      <c r="F49" s="246"/>
      <c r="G49" s="1622" t="s">
        <v>1920</v>
      </c>
      <c r="H49" s="1167" t="s">
        <v>471</v>
      </c>
      <c r="I49" s="261"/>
      <c r="J49" s="26"/>
      <c r="K49" s="1146"/>
      <c r="N49" s="32" t="s">
        <v>23</v>
      </c>
      <c r="O49" s="556">
        <f>SUM(O48)</f>
        <v>41927</v>
      </c>
    </row>
    <row r="50" spans="1:15" ht="15">
      <c r="B50" s="212"/>
      <c r="C50" s="210" t="s">
        <v>463</v>
      </c>
      <c r="D50" s="211"/>
      <c r="E50" s="246"/>
      <c r="F50" s="246"/>
      <c r="G50" s="192"/>
      <c r="H50" s="246" t="s">
        <v>1656</v>
      </c>
      <c r="I50" s="54"/>
      <c r="J50" s="27"/>
      <c r="K50" s="1146"/>
    </row>
    <row r="51" spans="1:15" ht="15">
      <c r="B51" s="212"/>
      <c r="C51" s="210" t="s">
        <v>486</v>
      </c>
      <c r="D51" s="211"/>
      <c r="E51" s="246"/>
      <c r="F51" s="246"/>
      <c r="G51" s="192"/>
      <c r="H51" s="1162" t="s">
        <v>472</v>
      </c>
      <c r="I51" s="54"/>
      <c r="J51" s="27"/>
      <c r="K51" s="1146"/>
    </row>
    <row r="52" spans="1:15" ht="15.75" thickBot="1">
      <c r="B52" s="212"/>
      <c r="C52" s="210" t="s">
        <v>464</v>
      </c>
      <c r="D52" s="211"/>
      <c r="E52" s="246"/>
      <c r="F52" s="246"/>
      <c r="G52" s="193"/>
      <c r="H52" s="1168" t="s">
        <v>468</v>
      </c>
      <c r="I52" s="226"/>
      <c r="J52" s="28"/>
      <c r="K52" s="1146"/>
    </row>
    <row r="53" spans="1:15" ht="15.75" thickBot="1">
      <c r="B53" s="433" t="s">
        <v>1061</v>
      </c>
      <c r="C53" s="97" t="s">
        <v>1130</v>
      </c>
      <c r="D53" s="251"/>
      <c r="E53" s="246"/>
      <c r="F53" s="246"/>
      <c r="G53" s="246"/>
      <c r="H53" s="246"/>
      <c r="I53" s="54"/>
      <c r="J53" s="54"/>
      <c r="K53" s="1146"/>
    </row>
    <row r="54" spans="1:15" ht="15">
      <c r="B54" s="577"/>
      <c r="C54" s="68"/>
      <c r="D54" s="54"/>
      <c r="K54" s="1146"/>
    </row>
    <row r="55" spans="1:15" ht="15" thickBot="1"/>
    <row r="56" spans="1:15" ht="45" customHeight="1">
      <c r="A56" s="1670" t="s">
        <v>6</v>
      </c>
      <c r="B56" s="1673" t="s">
        <v>633</v>
      </c>
      <c r="C56" s="1676" t="s">
        <v>8</v>
      </c>
      <c r="D56" s="1676" t="s">
        <v>9</v>
      </c>
      <c r="E56" s="1656" t="s">
        <v>634</v>
      </c>
      <c r="F56" s="1656" t="s">
        <v>11</v>
      </c>
      <c r="G56" s="1676" t="s">
        <v>12</v>
      </c>
      <c r="H56" s="1656" t="s">
        <v>13</v>
      </c>
      <c r="I56" s="1656" t="s">
        <v>269</v>
      </c>
      <c r="J56" s="1656" t="s">
        <v>59</v>
      </c>
      <c r="K56" s="1665" t="s">
        <v>635</v>
      </c>
      <c r="L56" s="1725" t="s">
        <v>636</v>
      </c>
      <c r="M56" s="1719"/>
      <c r="N56" s="1719"/>
      <c r="O56" s="1726"/>
    </row>
    <row r="57" spans="1:15" ht="40.5" customHeight="1">
      <c r="A57" s="1671"/>
      <c r="B57" s="1674"/>
      <c r="C57" s="1677"/>
      <c r="D57" s="1677"/>
      <c r="E57" s="1657"/>
      <c r="F57" s="1657"/>
      <c r="G57" s="1677"/>
      <c r="H57" s="1657"/>
      <c r="I57" s="1698"/>
      <c r="J57" s="1657"/>
      <c r="K57" s="1666"/>
      <c r="L57" s="1679" t="s">
        <v>637</v>
      </c>
      <c r="M57" s="1654"/>
      <c r="N57" s="1654"/>
      <c r="O57" s="1680"/>
    </row>
    <row r="58" spans="1:15" ht="31.5" customHeight="1" thickBot="1">
      <c r="A58" s="1672"/>
      <c r="B58" s="1675"/>
      <c r="C58" s="1678"/>
      <c r="D58" s="1678"/>
      <c r="E58" s="1658"/>
      <c r="F58" s="1658"/>
      <c r="G58" s="1678"/>
      <c r="H58" s="1658"/>
      <c r="I58" s="1699"/>
      <c r="J58" s="1658"/>
      <c r="K58" s="1667"/>
      <c r="L58" s="263" t="s">
        <v>638</v>
      </c>
      <c r="M58" s="270" t="s">
        <v>639</v>
      </c>
      <c r="N58" s="270" t="s">
        <v>640</v>
      </c>
      <c r="O58" s="265" t="s">
        <v>16</v>
      </c>
    </row>
    <row r="59" spans="1:15" ht="18">
      <c r="A59" s="639" t="s">
        <v>26</v>
      </c>
      <c r="B59" s="630" t="s">
        <v>336</v>
      </c>
      <c r="C59" s="220" t="s">
        <v>436</v>
      </c>
      <c r="D59" s="20" t="s">
        <v>181</v>
      </c>
      <c r="E59" s="22">
        <v>24</v>
      </c>
      <c r="F59" s="200" t="s">
        <v>437</v>
      </c>
      <c r="G59" s="207" t="s">
        <v>436</v>
      </c>
      <c r="H59" s="695" t="s">
        <v>466</v>
      </c>
      <c r="I59" s="537">
        <v>4143400</v>
      </c>
      <c r="J59" s="378" t="s">
        <v>21</v>
      </c>
      <c r="K59" s="24">
        <v>21</v>
      </c>
      <c r="L59" s="32">
        <f>(2442.3-1036.47)*20</f>
        <v>28116.600000000002</v>
      </c>
      <c r="M59" s="217"/>
      <c r="N59" s="30"/>
      <c r="O59" s="1020">
        <f>L59</f>
        <v>28116.600000000002</v>
      </c>
    </row>
    <row r="60" spans="1:15" ht="29.25" thickBot="1">
      <c r="A60" s="639" t="s">
        <v>26</v>
      </c>
      <c r="B60" s="630" t="s">
        <v>465</v>
      </c>
      <c r="C60" s="201" t="s">
        <v>436</v>
      </c>
      <c r="D60" s="20" t="s">
        <v>181</v>
      </c>
      <c r="E60" s="22">
        <v>24</v>
      </c>
      <c r="F60" s="200" t="s">
        <v>437</v>
      </c>
      <c r="G60" s="207" t="s">
        <v>436</v>
      </c>
      <c r="H60" s="695" t="s">
        <v>835</v>
      </c>
      <c r="I60" s="537">
        <v>70831636</v>
      </c>
      <c r="J60" s="385" t="s">
        <v>28</v>
      </c>
      <c r="K60" s="24">
        <v>20</v>
      </c>
      <c r="L60" s="32">
        <f>146889-121734</f>
        <v>25155</v>
      </c>
      <c r="M60" s="213"/>
      <c r="N60" s="30"/>
      <c r="O60" s="214">
        <f>L60</f>
        <v>25155</v>
      </c>
    </row>
    <row r="61" spans="1:15" ht="30">
      <c r="B61" s="640" t="s">
        <v>22</v>
      </c>
      <c r="C61" s="223" t="s">
        <v>462</v>
      </c>
      <c r="D61" s="225"/>
      <c r="G61" s="1622" t="s">
        <v>1920</v>
      </c>
      <c r="H61" s="1482" t="s">
        <v>465</v>
      </c>
      <c r="N61" s="4" t="s">
        <v>23</v>
      </c>
      <c r="O61" s="556">
        <f>SUM(O59:O60)</f>
        <v>53271.600000000006</v>
      </c>
    </row>
    <row r="62" spans="1:15">
      <c r="B62" s="212"/>
      <c r="C62" s="210" t="s">
        <v>463</v>
      </c>
      <c r="D62" s="211"/>
      <c r="G62" s="185"/>
      <c r="H62" s="1483" t="s">
        <v>467</v>
      </c>
    </row>
    <row r="63" spans="1:15" ht="15" thickBot="1">
      <c r="B63" s="212"/>
      <c r="C63" s="210" t="s">
        <v>486</v>
      </c>
      <c r="D63" s="211"/>
      <c r="G63" s="188"/>
      <c r="H63" s="1484" t="s">
        <v>468</v>
      </c>
      <c r="L63" s="31"/>
    </row>
    <row r="64" spans="1:15">
      <c r="B64" s="212"/>
      <c r="C64" s="210" t="s">
        <v>464</v>
      </c>
      <c r="D64" s="211"/>
    </row>
    <row r="65" spans="1:15" ht="15.75" thickBot="1">
      <c r="B65" s="433" t="s">
        <v>1061</v>
      </c>
      <c r="C65" s="97" t="s">
        <v>1130</v>
      </c>
      <c r="D65" s="28"/>
      <c r="K65" s="287"/>
    </row>
    <row r="66" spans="1:15" ht="15" thickBot="1">
      <c r="B66" s="219"/>
      <c r="C66" s="218"/>
      <c r="D66" s="219"/>
    </row>
    <row r="67" spans="1:15" ht="45" customHeight="1">
      <c r="A67" s="1670" t="s">
        <v>6</v>
      </c>
      <c r="B67" s="1673" t="s">
        <v>633</v>
      </c>
      <c r="C67" s="1676" t="s">
        <v>8</v>
      </c>
      <c r="D67" s="1676" t="s">
        <v>9</v>
      </c>
      <c r="E67" s="1656" t="s">
        <v>634</v>
      </c>
      <c r="F67" s="1656" t="s">
        <v>11</v>
      </c>
      <c r="G67" s="1676" t="s">
        <v>12</v>
      </c>
      <c r="H67" s="1656" t="s">
        <v>13</v>
      </c>
      <c r="I67" s="1656" t="s">
        <v>269</v>
      </c>
      <c r="J67" s="1656" t="s">
        <v>59</v>
      </c>
      <c r="K67" s="1665" t="s">
        <v>635</v>
      </c>
      <c r="L67" s="1725" t="s">
        <v>636</v>
      </c>
      <c r="M67" s="1719"/>
      <c r="N67" s="1719"/>
      <c r="O67" s="1726"/>
    </row>
    <row r="68" spans="1:15" ht="40.5" customHeight="1">
      <c r="A68" s="1671"/>
      <c r="B68" s="1674"/>
      <c r="C68" s="1677"/>
      <c r="D68" s="1677"/>
      <c r="E68" s="1657"/>
      <c r="F68" s="1657"/>
      <c r="G68" s="1677"/>
      <c r="H68" s="1657"/>
      <c r="I68" s="1698"/>
      <c r="J68" s="1657"/>
      <c r="K68" s="1666"/>
      <c r="L68" s="1679" t="s">
        <v>637</v>
      </c>
      <c r="M68" s="1654"/>
      <c r="N68" s="1654"/>
      <c r="O68" s="1680"/>
    </row>
    <row r="69" spans="1:15" ht="33.75" customHeight="1" thickBot="1">
      <c r="A69" s="1672"/>
      <c r="B69" s="1675"/>
      <c r="C69" s="1678"/>
      <c r="D69" s="1678"/>
      <c r="E69" s="1658"/>
      <c r="F69" s="1658"/>
      <c r="G69" s="1678"/>
      <c r="H69" s="1658"/>
      <c r="I69" s="1699"/>
      <c r="J69" s="1658"/>
      <c r="K69" s="1667"/>
      <c r="L69" s="263" t="s">
        <v>638</v>
      </c>
      <c r="M69" s="270" t="s">
        <v>639</v>
      </c>
      <c r="N69" s="270" t="s">
        <v>640</v>
      </c>
      <c r="O69" s="265" t="s">
        <v>16</v>
      </c>
    </row>
    <row r="70" spans="1:15" ht="62.25" customHeight="1" thickBot="1">
      <c r="A70" s="639" t="s">
        <v>26</v>
      </c>
      <c r="B70" s="21" t="s">
        <v>1655</v>
      </c>
      <c r="C70" s="220" t="s">
        <v>469</v>
      </c>
      <c r="D70" s="6"/>
      <c r="E70" s="20">
        <v>68</v>
      </c>
      <c r="F70" s="221" t="s">
        <v>437</v>
      </c>
      <c r="G70" s="222" t="s">
        <v>436</v>
      </c>
      <c r="H70" s="736" t="s">
        <v>470</v>
      </c>
      <c r="I70" s="641">
        <v>70907586</v>
      </c>
      <c r="J70" s="385" t="s">
        <v>28</v>
      </c>
      <c r="K70" s="24">
        <v>6.6</v>
      </c>
      <c r="L70" s="32">
        <f>40821-34855</f>
        <v>5966</v>
      </c>
      <c r="M70" s="217"/>
      <c r="N70" s="30"/>
      <c r="O70" s="214">
        <f>L70</f>
        <v>5966</v>
      </c>
    </row>
    <row r="71" spans="1:15" ht="30">
      <c r="B71" s="640" t="s">
        <v>22</v>
      </c>
      <c r="C71" s="223" t="s">
        <v>462</v>
      </c>
      <c r="D71" s="225"/>
      <c r="E71" s="224"/>
      <c r="F71" s="224"/>
      <c r="G71" s="1622" t="s">
        <v>1920</v>
      </c>
      <c r="H71" s="223" t="s">
        <v>1658</v>
      </c>
      <c r="I71" s="26"/>
      <c r="N71" s="4" t="s">
        <v>23</v>
      </c>
      <c r="O71" s="556">
        <f>SUM(O70)</f>
        <v>5966</v>
      </c>
    </row>
    <row r="72" spans="1:15">
      <c r="B72" s="212"/>
      <c r="C72" s="210" t="s">
        <v>463</v>
      </c>
      <c r="D72" s="211"/>
      <c r="E72" s="219"/>
      <c r="F72" s="219"/>
      <c r="G72" s="212"/>
      <c r="H72" s="54" t="s">
        <v>1657</v>
      </c>
      <c r="I72" s="27"/>
      <c r="K72" s="287"/>
      <c r="N72" s="54"/>
      <c r="O72" s="70"/>
    </row>
    <row r="73" spans="1:15">
      <c r="B73" s="212"/>
      <c r="C73" s="210" t="s">
        <v>486</v>
      </c>
      <c r="D73" s="211"/>
      <c r="E73" s="219"/>
      <c r="F73" s="219"/>
      <c r="G73" s="212"/>
      <c r="H73" s="54" t="s">
        <v>1656</v>
      </c>
      <c r="I73" s="27"/>
    </row>
    <row r="74" spans="1:15">
      <c r="B74" s="212"/>
      <c r="C74" s="210" t="s">
        <v>464</v>
      </c>
      <c r="D74" s="211"/>
      <c r="E74" s="219"/>
      <c r="F74" s="219"/>
      <c r="G74" s="212"/>
      <c r="H74" s="210" t="s">
        <v>472</v>
      </c>
      <c r="I74" s="27"/>
      <c r="K74" s="287"/>
    </row>
    <row r="75" spans="1:15" ht="15.75" thickBot="1">
      <c r="B75" s="433" t="s">
        <v>1061</v>
      </c>
      <c r="C75" s="97" t="s">
        <v>1130</v>
      </c>
      <c r="D75" s="28"/>
      <c r="E75" s="219"/>
      <c r="F75" s="219"/>
      <c r="G75" s="1485"/>
      <c r="H75" s="17" t="s">
        <v>468</v>
      </c>
      <c r="I75" s="28"/>
      <c r="K75" s="287"/>
    </row>
    <row r="76" spans="1:15">
      <c r="B76" s="324"/>
      <c r="C76" s="218"/>
      <c r="D76" s="324"/>
      <c r="E76" s="219"/>
      <c r="F76" s="219"/>
      <c r="G76" s="219"/>
      <c r="K76" s="287"/>
    </row>
    <row r="77" spans="1:15" ht="15" thickBot="1">
      <c r="B77" s="219"/>
      <c r="C77" s="218"/>
      <c r="D77" s="219"/>
      <c r="E77" s="54"/>
      <c r="F77" s="54"/>
      <c r="G77" s="54"/>
      <c r="K77" s="287"/>
    </row>
    <row r="78" spans="1:15" ht="45" customHeight="1">
      <c r="A78" s="1670" t="s">
        <v>6</v>
      </c>
      <c r="B78" s="1673" t="s">
        <v>633</v>
      </c>
      <c r="C78" s="1676" t="s">
        <v>8</v>
      </c>
      <c r="D78" s="1676" t="s">
        <v>9</v>
      </c>
      <c r="E78" s="1656" t="s">
        <v>634</v>
      </c>
      <c r="F78" s="1656" t="s">
        <v>11</v>
      </c>
      <c r="G78" s="1676" t="s">
        <v>12</v>
      </c>
      <c r="H78" s="1656" t="s">
        <v>13</v>
      </c>
      <c r="I78" s="1656" t="s">
        <v>269</v>
      </c>
      <c r="J78" s="1656" t="s">
        <v>59</v>
      </c>
      <c r="K78" s="1665" t="s">
        <v>635</v>
      </c>
      <c r="L78" s="1725" t="s">
        <v>636</v>
      </c>
      <c r="M78" s="1719"/>
      <c r="N78" s="1719"/>
      <c r="O78" s="1726"/>
    </row>
    <row r="79" spans="1:15" ht="40.5" customHeight="1">
      <c r="A79" s="1671"/>
      <c r="B79" s="1674"/>
      <c r="C79" s="1677"/>
      <c r="D79" s="1677"/>
      <c r="E79" s="1657"/>
      <c r="F79" s="1657"/>
      <c r="G79" s="1677"/>
      <c r="H79" s="1657"/>
      <c r="I79" s="1698"/>
      <c r="J79" s="1657"/>
      <c r="K79" s="1666"/>
      <c r="L79" s="1679" t="s">
        <v>637</v>
      </c>
      <c r="M79" s="1654"/>
      <c r="N79" s="1654"/>
      <c r="O79" s="1680"/>
    </row>
    <row r="80" spans="1:15" ht="33" customHeight="1" thickBot="1">
      <c r="A80" s="1672"/>
      <c r="B80" s="1675"/>
      <c r="C80" s="1678"/>
      <c r="D80" s="1678"/>
      <c r="E80" s="1658"/>
      <c r="F80" s="1658"/>
      <c r="G80" s="1678"/>
      <c r="H80" s="1658"/>
      <c r="I80" s="1699"/>
      <c r="J80" s="1658"/>
      <c r="K80" s="1667"/>
      <c r="L80" s="263" t="s">
        <v>638</v>
      </c>
      <c r="M80" s="270" t="s">
        <v>639</v>
      </c>
      <c r="N80" s="270" t="s">
        <v>640</v>
      </c>
      <c r="O80" s="265" t="s">
        <v>16</v>
      </c>
    </row>
    <row r="81" spans="1:16" ht="18">
      <c r="A81" s="639" t="s">
        <v>26</v>
      </c>
      <c r="C81" s="227" t="s">
        <v>436</v>
      </c>
      <c r="D81" s="23" t="s">
        <v>460</v>
      </c>
      <c r="E81" s="4">
        <v>6</v>
      </c>
      <c r="F81" s="200" t="s">
        <v>437</v>
      </c>
      <c r="G81" s="207" t="s">
        <v>436</v>
      </c>
      <c r="H81" s="781" t="s">
        <v>839</v>
      </c>
      <c r="I81" s="537">
        <v>70511590</v>
      </c>
      <c r="J81" s="383" t="s">
        <v>28</v>
      </c>
      <c r="K81" s="8">
        <v>5</v>
      </c>
      <c r="L81" s="32">
        <f>7515-7395</f>
        <v>120</v>
      </c>
      <c r="M81" s="216"/>
      <c r="N81" s="30"/>
      <c r="O81" s="205">
        <f>L81</f>
        <v>120</v>
      </c>
      <c r="P81" s="2"/>
    </row>
    <row r="82" spans="1:16" ht="18">
      <c r="A82" s="639" t="s">
        <v>26</v>
      </c>
      <c r="B82" s="23" t="s">
        <v>474</v>
      </c>
      <c r="C82" s="228" t="s">
        <v>436</v>
      </c>
      <c r="D82" s="4"/>
      <c r="E82" s="4" t="s">
        <v>475</v>
      </c>
      <c r="F82" s="200" t="s">
        <v>437</v>
      </c>
      <c r="G82" s="207" t="s">
        <v>436</v>
      </c>
      <c r="H82" s="781" t="s">
        <v>476</v>
      </c>
      <c r="I82" s="537">
        <v>70925527</v>
      </c>
      <c r="J82" s="385" t="s">
        <v>28</v>
      </c>
      <c r="K82" s="24">
        <v>7</v>
      </c>
      <c r="L82" s="32">
        <f>2512-2090</f>
        <v>422</v>
      </c>
      <c r="M82" s="216"/>
      <c r="N82" s="30"/>
      <c r="O82" s="205">
        <f t="shared" ref="O82:O89" si="2">L82</f>
        <v>422</v>
      </c>
    </row>
    <row r="83" spans="1:16" ht="29.25">
      <c r="A83" s="639" t="s">
        <v>26</v>
      </c>
      <c r="B83" s="23" t="s">
        <v>260</v>
      </c>
      <c r="C83" s="63" t="s">
        <v>477</v>
      </c>
      <c r="D83" s="4"/>
      <c r="E83" s="4" t="s">
        <v>478</v>
      </c>
      <c r="F83" s="200" t="s">
        <v>437</v>
      </c>
      <c r="G83" s="207" t="s">
        <v>436</v>
      </c>
      <c r="H83" s="695" t="s">
        <v>479</v>
      </c>
      <c r="I83" s="537">
        <v>70925525</v>
      </c>
      <c r="J83" s="385" t="s">
        <v>28</v>
      </c>
      <c r="K83" s="24">
        <v>7</v>
      </c>
      <c r="L83" s="32">
        <f>2499-2041</f>
        <v>458</v>
      </c>
      <c r="M83" s="216"/>
      <c r="N83" s="30"/>
      <c r="O83" s="205">
        <f t="shared" si="2"/>
        <v>458</v>
      </c>
    </row>
    <row r="84" spans="1:16" ht="18">
      <c r="A84" s="639" t="s">
        <v>26</v>
      </c>
      <c r="B84" s="3" t="s">
        <v>260</v>
      </c>
      <c r="C84" s="4" t="s">
        <v>436</v>
      </c>
      <c r="D84" s="4" t="s">
        <v>480</v>
      </c>
      <c r="E84" s="227" t="s">
        <v>481</v>
      </c>
      <c r="F84" s="200" t="s">
        <v>437</v>
      </c>
      <c r="G84" s="207" t="s">
        <v>436</v>
      </c>
      <c r="H84" s="781" t="s">
        <v>482</v>
      </c>
      <c r="I84" s="537">
        <v>70925536</v>
      </c>
      <c r="J84" s="385" t="s">
        <v>28</v>
      </c>
      <c r="K84" s="24">
        <v>7</v>
      </c>
      <c r="L84" s="32">
        <f>991-787</f>
        <v>204</v>
      </c>
      <c r="M84" s="216"/>
      <c r="N84" s="30"/>
      <c r="O84" s="205">
        <f t="shared" si="2"/>
        <v>204</v>
      </c>
    </row>
    <row r="85" spans="1:16" ht="18">
      <c r="A85" s="639" t="s">
        <v>26</v>
      </c>
      <c r="B85" s="3" t="s">
        <v>260</v>
      </c>
      <c r="C85" s="4" t="s">
        <v>436</v>
      </c>
      <c r="D85" s="4" t="s">
        <v>483</v>
      </c>
      <c r="E85" s="4"/>
      <c r="F85" s="200" t="s">
        <v>437</v>
      </c>
      <c r="G85" s="207" t="s">
        <v>436</v>
      </c>
      <c r="H85" s="781" t="s">
        <v>484</v>
      </c>
      <c r="I85" s="537">
        <v>70925530</v>
      </c>
      <c r="J85" s="385" t="s">
        <v>28</v>
      </c>
      <c r="K85" s="24">
        <v>7</v>
      </c>
      <c r="L85" s="32">
        <f>1162-962</f>
        <v>200</v>
      </c>
      <c r="M85" s="216"/>
      <c r="N85" s="30"/>
      <c r="O85" s="205">
        <f t="shared" si="2"/>
        <v>200</v>
      </c>
    </row>
    <row r="86" spans="1:16" ht="29.25">
      <c r="A86" s="639" t="s">
        <v>26</v>
      </c>
      <c r="B86" s="9" t="s">
        <v>260</v>
      </c>
      <c r="C86" s="9" t="s">
        <v>477</v>
      </c>
      <c r="D86" s="6"/>
      <c r="E86" s="20" t="s">
        <v>478</v>
      </c>
      <c r="F86" s="221" t="s">
        <v>437</v>
      </c>
      <c r="G86" s="222" t="s">
        <v>436</v>
      </c>
      <c r="H86" s="783" t="s">
        <v>485</v>
      </c>
      <c r="I86" s="641">
        <v>70925521</v>
      </c>
      <c r="J86" s="841" t="s">
        <v>28</v>
      </c>
      <c r="K86" s="642">
        <v>7</v>
      </c>
      <c r="L86" s="115">
        <f>1083-867</f>
        <v>216</v>
      </c>
      <c r="M86" s="643"/>
      <c r="N86" s="30"/>
      <c r="O86" s="205">
        <f t="shared" si="2"/>
        <v>216</v>
      </c>
    </row>
    <row r="87" spans="1:16" ht="18">
      <c r="A87" s="639" t="s">
        <v>26</v>
      </c>
      <c r="B87" s="3"/>
      <c r="C87" s="3" t="s">
        <v>436</v>
      </c>
      <c r="D87" s="4" t="s">
        <v>460</v>
      </c>
      <c r="E87" s="22" t="s">
        <v>1137</v>
      </c>
      <c r="F87" s="200" t="s">
        <v>437</v>
      </c>
      <c r="G87" s="207" t="s">
        <v>436</v>
      </c>
      <c r="H87" s="781" t="s">
        <v>1138</v>
      </c>
      <c r="I87" s="537">
        <v>48857</v>
      </c>
      <c r="J87" s="661" t="s">
        <v>716</v>
      </c>
      <c r="K87" s="24"/>
      <c r="L87" s="32">
        <f>9096-5595</f>
        <v>3501</v>
      </c>
      <c r="M87" s="216"/>
      <c r="N87" s="30"/>
      <c r="O87" s="205">
        <f t="shared" si="2"/>
        <v>3501</v>
      </c>
    </row>
    <row r="88" spans="1:16" ht="18">
      <c r="A88" s="644" t="s">
        <v>26</v>
      </c>
      <c r="B88" s="4" t="s">
        <v>488</v>
      </c>
      <c r="C88" s="4" t="s">
        <v>489</v>
      </c>
      <c r="D88" s="3"/>
      <c r="E88" s="4"/>
      <c r="F88" s="112" t="s">
        <v>437</v>
      </c>
      <c r="G88" s="4" t="s">
        <v>436</v>
      </c>
      <c r="H88" s="695" t="s">
        <v>842</v>
      </c>
      <c r="I88" s="22">
        <v>4142920</v>
      </c>
      <c r="J88" s="842" t="s">
        <v>21</v>
      </c>
      <c r="K88" s="8">
        <v>30</v>
      </c>
      <c r="L88" s="32">
        <f>(22140.46-18927.17)*30</f>
        <v>96398.700000000026</v>
      </c>
      <c r="M88" s="323"/>
      <c r="N88" s="33"/>
      <c r="O88" s="205">
        <f t="shared" si="2"/>
        <v>96398.700000000026</v>
      </c>
    </row>
    <row r="89" spans="1:16" ht="30" thickBot="1">
      <c r="A89" s="644" t="s">
        <v>26</v>
      </c>
      <c r="B89" s="9" t="s">
        <v>840</v>
      </c>
      <c r="C89" s="9" t="s">
        <v>1139</v>
      </c>
      <c r="D89" s="9"/>
      <c r="E89" s="4" t="s">
        <v>487</v>
      </c>
      <c r="F89" s="112" t="s">
        <v>437</v>
      </c>
      <c r="G89" s="4" t="s">
        <v>436</v>
      </c>
      <c r="H89" s="695" t="s">
        <v>841</v>
      </c>
      <c r="I89" s="22">
        <v>879942</v>
      </c>
      <c r="J89" s="843" t="s">
        <v>28</v>
      </c>
      <c r="K89" s="8">
        <v>40</v>
      </c>
      <c r="L89" s="32">
        <f>10672-8996</f>
        <v>1676</v>
      </c>
      <c r="M89" s="323"/>
      <c r="N89" s="33"/>
      <c r="O89" s="205">
        <f t="shared" si="2"/>
        <v>1676</v>
      </c>
    </row>
    <row r="90" spans="1:16" ht="30">
      <c r="B90" s="640" t="s">
        <v>22</v>
      </c>
      <c r="C90" s="223" t="s">
        <v>462</v>
      </c>
      <c r="D90" s="225"/>
      <c r="G90" s="1622" t="s">
        <v>1920</v>
      </c>
      <c r="H90" s="1158" t="s">
        <v>462</v>
      </c>
      <c r="N90" s="4" t="s">
        <v>23</v>
      </c>
      <c r="O90" s="556">
        <f>SUM(O81:O89)</f>
        <v>103195.70000000003</v>
      </c>
    </row>
    <row r="91" spans="1:16">
      <c r="B91" s="212"/>
      <c r="C91" s="210" t="s">
        <v>463</v>
      </c>
      <c r="D91" s="211"/>
      <c r="G91" s="185"/>
      <c r="H91" s="1159" t="s">
        <v>463</v>
      </c>
    </row>
    <row r="92" spans="1:16" ht="15" thickBot="1">
      <c r="B92" s="212"/>
      <c r="C92" s="210" t="s">
        <v>486</v>
      </c>
      <c r="D92" s="211"/>
      <c r="G92" s="188"/>
      <c r="H92" s="1160" t="s">
        <v>486</v>
      </c>
    </row>
    <row r="93" spans="1:16">
      <c r="B93" s="212"/>
      <c r="C93" s="210" t="s">
        <v>464</v>
      </c>
      <c r="D93" s="211"/>
    </row>
    <row r="94" spans="1:16" ht="15.75" thickBot="1">
      <c r="B94" s="433" t="s">
        <v>1061</v>
      </c>
      <c r="C94" s="97" t="s">
        <v>1130</v>
      </c>
      <c r="D94" s="28"/>
      <c r="K94" s="287"/>
    </row>
    <row r="95" spans="1:16">
      <c r="B95" s="219"/>
      <c r="C95" s="219"/>
      <c r="D95" s="219"/>
      <c r="K95" s="287"/>
    </row>
    <row r="96" spans="1:16" ht="15" thickBot="1"/>
    <row r="97" spans="1:17" ht="45" customHeight="1">
      <c r="A97" s="1662" t="s">
        <v>6</v>
      </c>
      <c r="B97" s="1656" t="s">
        <v>7</v>
      </c>
      <c r="C97" s="1656" t="s">
        <v>8</v>
      </c>
      <c r="D97" s="1656" t="s">
        <v>9</v>
      </c>
      <c r="E97" s="1656" t="s">
        <v>884</v>
      </c>
      <c r="F97" s="1656" t="s">
        <v>11</v>
      </c>
      <c r="G97" s="1656" t="s">
        <v>12</v>
      </c>
      <c r="H97" s="1695" t="s">
        <v>13</v>
      </c>
      <c r="I97" s="1695" t="s">
        <v>269</v>
      </c>
      <c r="J97" s="1695" t="s">
        <v>59</v>
      </c>
      <c r="K97" s="1735" t="s">
        <v>15</v>
      </c>
      <c r="L97" s="1654" t="s">
        <v>641</v>
      </c>
      <c r="M97" s="1654"/>
      <c r="N97" s="1654"/>
      <c r="O97" s="1654"/>
      <c r="P97" s="609"/>
      <c r="Q97" s="609"/>
    </row>
    <row r="98" spans="1:17">
      <c r="A98" s="1663"/>
      <c r="B98" s="1657"/>
      <c r="C98" s="1657"/>
      <c r="D98" s="1657"/>
      <c r="E98" s="1657"/>
      <c r="F98" s="1657"/>
      <c r="G98" s="1657"/>
      <c r="H98" s="1696"/>
      <c r="I98" s="1696"/>
      <c r="J98" s="1696"/>
      <c r="K98" s="1736"/>
      <c r="L98" s="1654" t="s">
        <v>638</v>
      </c>
      <c r="M98" s="1654" t="s">
        <v>639</v>
      </c>
      <c r="N98" s="1654" t="s">
        <v>640</v>
      </c>
      <c r="O98" s="1654" t="s">
        <v>643</v>
      </c>
      <c r="P98" s="609"/>
      <c r="Q98" s="609"/>
    </row>
    <row r="99" spans="1:17" ht="15" thickBot="1">
      <c r="A99" s="1664"/>
      <c r="B99" s="1658"/>
      <c r="C99" s="1658"/>
      <c r="D99" s="1658"/>
      <c r="E99" s="1658"/>
      <c r="F99" s="1658"/>
      <c r="G99" s="1658"/>
      <c r="H99" s="1697"/>
      <c r="I99" s="1697"/>
      <c r="J99" s="1697"/>
      <c r="K99" s="1741"/>
      <c r="L99" s="1654"/>
      <c r="M99" s="1654"/>
      <c r="N99" s="1654"/>
      <c r="O99" s="1654"/>
      <c r="P99" s="609"/>
      <c r="Q99" s="609"/>
    </row>
    <row r="100" spans="1:17" ht="18">
      <c r="A100" s="601" t="s">
        <v>26</v>
      </c>
      <c r="B100" s="182" t="s">
        <v>462</v>
      </c>
      <c r="C100" s="182" t="s">
        <v>436</v>
      </c>
      <c r="D100" s="182" t="s">
        <v>181</v>
      </c>
      <c r="E100" s="182">
        <v>24</v>
      </c>
      <c r="F100" s="182" t="s">
        <v>437</v>
      </c>
      <c r="G100" s="182" t="s">
        <v>436</v>
      </c>
      <c r="H100" s="779" t="s">
        <v>1131</v>
      </c>
      <c r="I100" s="104">
        <v>317516</v>
      </c>
      <c r="J100" s="430" t="s">
        <v>28</v>
      </c>
      <c r="K100" s="672">
        <v>27</v>
      </c>
      <c r="L100" s="34">
        <f>43955-34689</f>
        <v>9266</v>
      </c>
      <c r="M100" s="33"/>
      <c r="N100" s="33"/>
      <c r="O100" s="32">
        <f t="shared" ref="O100:O105" si="3">L100</f>
        <v>9266</v>
      </c>
      <c r="P100" s="66"/>
      <c r="Q100" s="57"/>
    </row>
    <row r="101" spans="1:17" ht="18">
      <c r="A101" s="601" t="s">
        <v>26</v>
      </c>
      <c r="B101" s="4" t="s">
        <v>462</v>
      </c>
      <c r="C101" s="4" t="s">
        <v>436</v>
      </c>
      <c r="D101" s="4" t="s">
        <v>181</v>
      </c>
      <c r="E101" s="4">
        <v>1</v>
      </c>
      <c r="F101" s="4" t="s">
        <v>437</v>
      </c>
      <c r="G101" s="4" t="s">
        <v>436</v>
      </c>
      <c r="H101" s="780" t="s">
        <v>1132</v>
      </c>
      <c r="I101" s="22">
        <v>90054561</v>
      </c>
      <c r="J101" s="386" t="s">
        <v>28</v>
      </c>
      <c r="K101" s="673">
        <v>7</v>
      </c>
      <c r="L101" s="34">
        <f>6092-611</f>
        <v>5481</v>
      </c>
      <c r="M101" s="33"/>
      <c r="N101" s="33"/>
      <c r="O101" s="32">
        <f t="shared" si="3"/>
        <v>5481</v>
      </c>
      <c r="P101" s="66"/>
      <c r="Q101" s="57"/>
    </row>
    <row r="102" spans="1:17" ht="18">
      <c r="A102" s="601" t="s">
        <v>26</v>
      </c>
      <c r="B102" s="4" t="s">
        <v>462</v>
      </c>
      <c r="C102" s="4" t="s">
        <v>472</v>
      </c>
      <c r="D102" s="4"/>
      <c r="E102" s="4" t="s">
        <v>940</v>
      </c>
      <c r="F102" s="4" t="s">
        <v>437</v>
      </c>
      <c r="G102" s="4" t="s">
        <v>436</v>
      </c>
      <c r="H102" s="780" t="s">
        <v>1133</v>
      </c>
      <c r="I102" s="22">
        <v>329683</v>
      </c>
      <c r="J102" s="405" t="s">
        <v>28</v>
      </c>
      <c r="K102" s="673">
        <v>7</v>
      </c>
      <c r="L102" s="34">
        <f>1882-1365</f>
        <v>517</v>
      </c>
      <c r="M102" s="33"/>
      <c r="N102" s="33"/>
      <c r="O102" s="32">
        <f t="shared" si="3"/>
        <v>517</v>
      </c>
      <c r="P102" s="66"/>
      <c r="Q102" s="57"/>
    </row>
    <row r="103" spans="1:17" ht="18">
      <c r="A103" s="601" t="s">
        <v>26</v>
      </c>
      <c r="B103" s="4" t="s">
        <v>462</v>
      </c>
      <c r="C103" s="4" t="s">
        <v>472</v>
      </c>
      <c r="D103" s="4"/>
      <c r="E103" s="4" t="s">
        <v>941</v>
      </c>
      <c r="F103" s="4" t="s">
        <v>437</v>
      </c>
      <c r="G103" s="4" t="s">
        <v>436</v>
      </c>
      <c r="H103" s="780" t="s">
        <v>1134</v>
      </c>
      <c r="I103" s="22">
        <v>329677</v>
      </c>
      <c r="J103" s="405" t="s">
        <v>28</v>
      </c>
      <c r="K103" s="673">
        <v>7</v>
      </c>
      <c r="L103" s="34">
        <f>11006-7516</f>
        <v>3490</v>
      </c>
      <c r="M103" s="33"/>
      <c r="N103" s="33"/>
      <c r="O103" s="32">
        <f t="shared" si="3"/>
        <v>3490</v>
      </c>
      <c r="P103" s="66"/>
      <c r="Q103" s="57"/>
    </row>
    <row r="104" spans="1:17" ht="18">
      <c r="A104" s="601" t="s">
        <v>26</v>
      </c>
      <c r="B104" s="4" t="s">
        <v>462</v>
      </c>
      <c r="C104" s="4" t="s">
        <v>472</v>
      </c>
      <c r="D104" s="4"/>
      <c r="E104" s="4" t="s">
        <v>942</v>
      </c>
      <c r="F104" s="4" t="s">
        <v>437</v>
      </c>
      <c r="G104" s="4" t="s">
        <v>436</v>
      </c>
      <c r="H104" s="780" t="s">
        <v>1135</v>
      </c>
      <c r="I104" s="22">
        <v>329684</v>
      </c>
      <c r="J104" s="405" t="s">
        <v>28</v>
      </c>
      <c r="K104" s="673">
        <v>7</v>
      </c>
      <c r="L104" s="34">
        <f>4249-3145</f>
        <v>1104</v>
      </c>
      <c r="M104" s="33"/>
      <c r="N104" s="33"/>
      <c r="O104" s="32">
        <f t="shared" si="3"/>
        <v>1104</v>
      </c>
      <c r="P104" s="66"/>
      <c r="Q104" s="57"/>
    </row>
    <row r="105" spans="1:17" ht="18">
      <c r="A105" s="601" t="s">
        <v>26</v>
      </c>
      <c r="B105" s="6" t="s">
        <v>462</v>
      </c>
      <c r="C105" s="6" t="s">
        <v>472</v>
      </c>
      <c r="D105" s="6"/>
      <c r="E105" s="4" t="s">
        <v>943</v>
      </c>
      <c r="F105" s="4" t="s">
        <v>437</v>
      </c>
      <c r="G105" s="4" t="s">
        <v>436</v>
      </c>
      <c r="H105" s="780" t="s">
        <v>1136</v>
      </c>
      <c r="I105" s="22">
        <v>329680</v>
      </c>
      <c r="J105" s="405" t="s">
        <v>28</v>
      </c>
      <c r="K105" s="673">
        <v>7</v>
      </c>
      <c r="L105" s="34">
        <f>2132-1556</f>
        <v>576</v>
      </c>
      <c r="M105" s="33"/>
      <c r="N105" s="33"/>
      <c r="O105" s="32">
        <f t="shared" si="3"/>
        <v>576</v>
      </c>
      <c r="P105" s="66"/>
      <c r="Q105" s="57"/>
    </row>
    <row r="106" spans="1:17" ht="18.75" thickBot="1">
      <c r="A106" s="601" t="s">
        <v>26</v>
      </c>
      <c r="B106" s="1019" t="s">
        <v>294</v>
      </c>
      <c r="C106" s="45" t="s">
        <v>436</v>
      </c>
      <c r="D106" s="4" t="s">
        <v>1316</v>
      </c>
      <c r="E106" s="4" t="s">
        <v>1317</v>
      </c>
      <c r="F106" s="4" t="s">
        <v>437</v>
      </c>
      <c r="G106" s="4" t="s">
        <v>436</v>
      </c>
      <c r="H106" s="780" t="s">
        <v>1457</v>
      </c>
      <c r="I106" s="4">
        <v>90988</v>
      </c>
      <c r="J106" s="29" t="s">
        <v>716</v>
      </c>
      <c r="K106" s="174">
        <v>11</v>
      </c>
      <c r="L106" s="32">
        <f>237-132</f>
        <v>105</v>
      </c>
      <c r="M106" s="33"/>
      <c r="N106" s="33"/>
      <c r="O106" s="32">
        <f>L106</f>
        <v>105</v>
      </c>
      <c r="P106" s="66"/>
      <c r="Q106" s="57"/>
    </row>
    <row r="107" spans="1:17" ht="30">
      <c r="B107" s="1463" t="s">
        <v>22</v>
      </c>
      <c r="C107" s="223" t="s">
        <v>462</v>
      </c>
      <c r="D107" s="225"/>
      <c r="G107" s="1622" t="s">
        <v>1920</v>
      </c>
      <c r="H107" s="1158" t="s">
        <v>462</v>
      </c>
      <c r="L107" s="31"/>
      <c r="M107" s="31"/>
      <c r="N107" s="4" t="s">
        <v>23</v>
      </c>
      <c r="O107" s="556">
        <f>SUM(O100:O106)</f>
        <v>20539</v>
      </c>
    </row>
    <row r="108" spans="1:17">
      <c r="B108" s="1464"/>
      <c r="C108" s="210" t="s">
        <v>463</v>
      </c>
      <c r="D108" s="211"/>
      <c r="G108" s="185"/>
      <c r="H108" s="1159" t="s">
        <v>463</v>
      </c>
      <c r="L108" s="31"/>
      <c r="M108" s="31"/>
      <c r="N108" s="31"/>
      <c r="O108" s="31"/>
    </row>
    <row r="109" spans="1:17" ht="15" thickBot="1">
      <c r="B109" s="1464"/>
      <c r="C109" s="210" t="s">
        <v>486</v>
      </c>
      <c r="D109" s="211"/>
      <c r="G109" s="188"/>
      <c r="H109" s="1160" t="s">
        <v>486</v>
      </c>
      <c r="K109" s="287"/>
      <c r="L109" s="31"/>
      <c r="M109" s="31"/>
      <c r="N109" s="31"/>
      <c r="O109" s="31"/>
    </row>
    <row r="110" spans="1:17">
      <c r="B110" s="1464" t="s">
        <v>160</v>
      </c>
      <c r="C110" s="210" t="s">
        <v>1723</v>
      </c>
      <c r="D110" s="211"/>
      <c r="N110" s="31"/>
    </row>
    <row r="111" spans="1:17" ht="15.75" thickBot="1">
      <c r="B111" s="433" t="s">
        <v>1061</v>
      </c>
      <c r="C111" s="97" t="s">
        <v>1130</v>
      </c>
      <c r="D111" s="28"/>
    </row>
    <row r="112" spans="1:17" ht="15">
      <c r="B112" s="645"/>
      <c r="C112" s="14"/>
      <c r="D112" s="54"/>
      <c r="K112" s="287"/>
    </row>
    <row r="113" spans="11:19">
      <c r="K113" s="287"/>
      <c r="L113" s="31" t="s">
        <v>62</v>
      </c>
      <c r="M113" s="31">
        <f>O38+O49+O61+O71+O90+O107</f>
        <v>320401.65000000002</v>
      </c>
      <c r="N113" s="31"/>
      <c r="O113" s="31"/>
      <c r="P113" s="31"/>
      <c r="Q113" s="31"/>
      <c r="R113" s="31"/>
      <c r="S113" s="31"/>
    </row>
    <row r="114" spans="11:19" ht="15" thickBot="1">
      <c r="K114" s="287"/>
      <c r="L114" s="31"/>
      <c r="M114" s="31"/>
      <c r="N114" s="31"/>
      <c r="O114" s="31"/>
      <c r="P114" s="31"/>
      <c r="Q114" s="31"/>
      <c r="R114" s="31"/>
      <c r="S114" s="31"/>
    </row>
    <row r="115" spans="11:19" ht="44.25" customHeight="1">
      <c r="K115" s="1706" t="s">
        <v>59</v>
      </c>
      <c r="L115" s="1708" t="s">
        <v>644</v>
      </c>
      <c r="M115" s="1709"/>
      <c r="N115" s="1710"/>
      <c r="O115" s="1711" t="s">
        <v>60</v>
      </c>
    </row>
    <row r="116" spans="11:19" ht="25.5" customHeight="1" thickBot="1">
      <c r="K116" s="1772"/>
      <c r="L116" s="670" t="s">
        <v>61</v>
      </c>
      <c r="M116" s="670" t="s">
        <v>639</v>
      </c>
      <c r="N116" s="670" t="s">
        <v>640</v>
      </c>
      <c r="O116" s="1773"/>
    </row>
    <row r="117" spans="11:19" ht="22.5" customHeight="1">
      <c r="K117" s="1397" t="s">
        <v>716</v>
      </c>
      <c r="L117" s="1398">
        <f>O34+O35+O36+O87+O106</f>
        <v>5218</v>
      </c>
      <c r="M117" s="1399"/>
      <c r="N117" s="1400"/>
      <c r="O117" s="1395">
        <v>5</v>
      </c>
    </row>
    <row r="118" spans="11:19" ht="22.5" customHeight="1">
      <c r="K118" s="1401" t="s">
        <v>28</v>
      </c>
      <c r="L118" s="208">
        <f>L21+L22+L23+L24+L25+L26+L27+L28+L29+L30+L31+L32+L60+L33+L48+L70+L81+L82+L83+L84+L85+L86+L89+L100+L101+L102+L103+L104+L105</f>
        <v>118003</v>
      </c>
      <c r="M118" s="671"/>
      <c r="N118" s="991"/>
      <c r="O118" s="1055">
        <v>29</v>
      </c>
    </row>
    <row r="119" spans="11:19" ht="22.5" customHeight="1">
      <c r="K119" s="1401" t="s">
        <v>21</v>
      </c>
      <c r="L119" s="208">
        <f>L59+L88</f>
        <v>124515.30000000003</v>
      </c>
      <c r="M119" s="671"/>
      <c r="N119" s="991"/>
      <c r="O119" s="1055">
        <v>2</v>
      </c>
    </row>
    <row r="120" spans="11:19" ht="22.5" customHeight="1">
      <c r="K120" s="1401" t="s">
        <v>65</v>
      </c>
      <c r="L120" s="671"/>
      <c r="M120" s="171">
        <f>M18</f>
        <v>356</v>
      </c>
      <c r="N120" s="965">
        <f>N18</f>
        <v>705</v>
      </c>
      <c r="O120" s="1055">
        <v>1</v>
      </c>
    </row>
    <row r="121" spans="11:19" ht="22.5" customHeight="1">
      <c r="K121" s="1402" t="s">
        <v>442</v>
      </c>
      <c r="L121" s="671"/>
      <c r="M121" s="208">
        <f>M19+M20</f>
        <v>9388</v>
      </c>
      <c r="N121" s="969">
        <f>N19+N20</f>
        <v>6745</v>
      </c>
      <c r="O121" s="1055">
        <v>2</v>
      </c>
    </row>
    <row r="122" spans="11:19" ht="22.5" customHeight="1" thickBot="1">
      <c r="K122" s="1403" t="s">
        <v>1143</v>
      </c>
      <c r="L122" s="983">
        <f>O37</f>
        <v>55471.349999999991</v>
      </c>
      <c r="M122" s="1404"/>
      <c r="N122" s="1405"/>
      <c r="O122" s="1396">
        <v>1</v>
      </c>
    </row>
    <row r="123" spans="11:19" ht="22.5" customHeight="1" thickBot="1">
      <c r="K123" s="341" t="s">
        <v>62</v>
      </c>
      <c r="L123" s="1010">
        <f>SUM(L117:L122)</f>
        <v>303207.65000000002</v>
      </c>
      <c r="M123" s="1011">
        <f>SUM(M117:M122)</f>
        <v>9744</v>
      </c>
      <c r="N123" s="1012">
        <f>SUM(N117:N122)</f>
        <v>7450</v>
      </c>
      <c r="O123" s="667">
        <f>SUM(O117:O122)</f>
        <v>40</v>
      </c>
    </row>
    <row r="124" spans="11:19" ht="22.5" customHeight="1" thickBot="1">
      <c r="K124" s="1"/>
      <c r="L124" s="123" t="s">
        <v>63</v>
      </c>
      <c r="M124" s="844">
        <f>SUM(L123:N123)</f>
        <v>320401.65000000002</v>
      </c>
      <c r="N124" s="31"/>
      <c r="O124" s="31"/>
    </row>
  </sheetData>
  <mergeCells count="87">
    <mergeCell ref="I45:I47"/>
    <mergeCell ref="J45:J47"/>
    <mergeCell ref="K45:K47"/>
    <mergeCell ref="L45:O45"/>
    <mergeCell ref="L46:O46"/>
    <mergeCell ref="F97:F99"/>
    <mergeCell ref="L98:L99"/>
    <mergeCell ref="M98:M99"/>
    <mergeCell ref="N98:N99"/>
    <mergeCell ref="O98:O99"/>
    <mergeCell ref="G97:G99"/>
    <mergeCell ref="H97:H99"/>
    <mergeCell ref="I97:I99"/>
    <mergeCell ref="J97:J99"/>
    <mergeCell ref="K97:K99"/>
    <mergeCell ref="L97:O97"/>
    <mergeCell ref="A97:A99"/>
    <mergeCell ref="B97:B99"/>
    <mergeCell ref="C97:C99"/>
    <mergeCell ref="D97:D99"/>
    <mergeCell ref="E97:E99"/>
    <mergeCell ref="G78:G80"/>
    <mergeCell ref="A78:A80"/>
    <mergeCell ref="B78:B80"/>
    <mergeCell ref="C78:C80"/>
    <mergeCell ref="D78:D80"/>
    <mergeCell ref="E78:E80"/>
    <mergeCell ref="F78:F80"/>
    <mergeCell ref="J78:J80"/>
    <mergeCell ref="K78:K80"/>
    <mergeCell ref="L78:O78"/>
    <mergeCell ref="H78:H80"/>
    <mergeCell ref="I78:I80"/>
    <mergeCell ref="H56:H58"/>
    <mergeCell ref="G15:G17"/>
    <mergeCell ref="A15:A17"/>
    <mergeCell ref="B15:B17"/>
    <mergeCell ref="C15:C17"/>
    <mergeCell ref="D15:D17"/>
    <mergeCell ref="E15:E17"/>
    <mergeCell ref="F15:F17"/>
    <mergeCell ref="A45:A47"/>
    <mergeCell ref="B45:B47"/>
    <mergeCell ref="C45:C47"/>
    <mergeCell ref="D45:D47"/>
    <mergeCell ref="E45:E47"/>
    <mergeCell ref="F45:F47"/>
    <mergeCell ref="G45:G47"/>
    <mergeCell ref="H45:H47"/>
    <mergeCell ref="H15:H17"/>
    <mergeCell ref="I15:I17"/>
    <mergeCell ref="J15:J17"/>
    <mergeCell ref="K15:K17"/>
    <mergeCell ref="L16:O16"/>
    <mergeCell ref="L57:O57"/>
    <mergeCell ref="I56:I58"/>
    <mergeCell ref="J56:J58"/>
    <mergeCell ref="K56:K58"/>
    <mergeCell ref="K67:K69"/>
    <mergeCell ref="L67:O67"/>
    <mergeCell ref="J67:J69"/>
    <mergeCell ref="A56:A58"/>
    <mergeCell ref="B56:B58"/>
    <mergeCell ref="C56:C58"/>
    <mergeCell ref="D56:D58"/>
    <mergeCell ref="E56:E58"/>
    <mergeCell ref="A67:A69"/>
    <mergeCell ref="B67:B69"/>
    <mergeCell ref="C67:C69"/>
    <mergeCell ref="D67:D69"/>
    <mergeCell ref="E67:E69"/>
    <mergeCell ref="B3:I3"/>
    <mergeCell ref="B5:I5"/>
    <mergeCell ref="B1:I1"/>
    <mergeCell ref="K115:K116"/>
    <mergeCell ref="O115:O116"/>
    <mergeCell ref="L115:N115"/>
    <mergeCell ref="L56:O56"/>
    <mergeCell ref="L79:O79"/>
    <mergeCell ref="L15:O15"/>
    <mergeCell ref="G56:G58"/>
    <mergeCell ref="F67:F69"/>
    <mergeCell ref="F56:F58"/>
    <mergeCell ref="G67:G69"/>
    <mergeCell ref="H67:H69"/>
    <mergeCell ref="I67:I69"/>
    <mergeCell ref="L68:O68"/>
  </mergeCells>
  <pageMargins left="0.7" right="0.7" top="0.75" bottom="0.75" header="0.3" footer="0.3"/>
  <pageSetup paperSize="9" orientation="portrait" horizontalDpi="0" verticalDpi="0" r:id="rId1"/>
  <ignoredErrors>
    <ignoredError sqref="E30" numberStoredAsText="1"/>
    <ignoredError sqref="L1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Zestawienie ogólne</vt:lpstr>
      <vt:lpstr>+Miasto Mińsk</vt:lpstr>
      <vt:lpstr>+Powiat Miński</vt:lpstr>
      <vt:lpstr>+Gmina Halinów</vt:lpstr>
      <vt:lpstr>+Gmina Mrozy</vt:lpstr>
      <vt:lpstr>+Gmina Mińsk Mazowiecki</vt:lpstr>
      <vt:lpstr>+Gmina Dębe Wielkie</vt:lpstr>
      <vt:lpstr>+Gmina Siennica</vt:lpstr>
      <vt:lpstr>+Gmina Latowicz</vt:lpstr>
      <vt:lpstr>+Gmina Cegłów</vt:lpstr>
      <vt:lpstr>+Miasto Sulejówek</vt:lpstr>
      <vt:lpstr>+Gmina Dobre</vt:lpstr>
      <vt:lpstr>+Gmina Jakubów</vt:lpstr>
      <vt:lpstr>+Gmina Kałuszyn</vt:lpstr>
      <vt:lpstr>+Gmina Stanisławów</vt:lpstr>
      <vt:lpstr>Gmina Kotuń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Administrator</cp:lastModifiedBy>
  <cp:lastPrinted>2015-08-05T16:46:37Z</cp:lastPrinted>
  <dcterms:created xsi:type="dcterms:W3CDTF">2012-09-08T10:51:45Z</dcterms:created>
  <dcterms:modified xsi:type="dcterms:W3CDTF">2017-10-17T12:33:42Z</dcterms:modified>
</cp:coreProperties>
</file>