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5" firstSheet="5" activeTab="14"/>
  </bookViews>
  <sheets>
    <sheet name="Zestawienie ogólne" sheetId="1" r:id="rId1"/>
    <sheet name="Gmina Mrozy Z" sheetId="2" r:id="rId2"/>
    <sheet name="Miasto Mińsk Z" sheetId="3" r:id="rId3"/>
    <sheet name="Gmina Mińsk z" sheetId="4" r:id="rId4"/>
    <sheet name="Gmina Halinów Z" sheetId="5" r:id="rId5"/>
    <sheet name="Gmina Dębe Wielkie z " sheetId="6" r:id="rId6"/>
    <sheet name="Gmina Siennica" sheetId="7" r:id="rId7"/>
    <sheet name="Gmina Latowicz z" sheetId="8" r:id="rId8"/>
    <sheet name="Gmina Cegłów Z" sheetId="9" r:id="rId9"/>
    <sheet name="Miasto Sulejówek Z" sheetId="10" r:id="rId10"/>
    <sheet name="Gmina Dobre Z" sheetId="11" r:id="rId11"/>
    <sheet name="Gmina Jakubów z" sheetId="12" r:id="rId12"/>
    <sheet name="Gmina Kałuszyn z" sheetId="13" r:id="rId13"/>
    <sheet name="Gmina Stanisławów z" sheetId="14" r:id="rId14"/>
    <sheet name="Gmina Kotuń z" sheetId="15" r:id="rId15"/>
  </sheets>
  <definedNames/>
  <calcPr fullCalcOnLoad="1"/>
</workbook>
</file>

<file path=xl/sharedStrings.xml><?xml version="1.0" encoding="utf-8"?>
<sst xmlns="http://schemas.openxmlformats.org/spreadsheetml/2006/main" count="9300" uniqueCount="2015">
  <si>
    <t>Zmiana sprzedawcy</t>
  </si>
  <si>
    <t>Nazwa obiektu</t>
  </si>
  <si>
    <t>Miejscowość</t>
  </si>
  <si>
    <t>Ulica</t>
  </si>
  <si>
    <t>Nr posesji</t>
  </si>
  <si>
    <t>Kod pocztowy</t>
  </si>
  <si>
    <t>Poczta</t>
  </si>
  <si>
    <t>Kod PPE</t>
  </si>
  <si>
    <t>Numer ewidencyjny</t>
  </si>
  <si>
    <t>Moc umowna   [kW]</t>
  </si>
  <si>
    <t>Zużycie łączne</t>
  </si>
  <si>
    <t>K</t>
  </si>
  <si>
    <t>Oświetlenie uliczne</t>
  </si>
  <si>
    <t>05-317</t>
  </si>
  <si>
    <t>Jeruzal</t>
  </si>
  <si>
    <t>PL_ZEWD_1412000347_09</t>
  </si>
  <si>
    <t>C12a</t>
  </si>
  <si>
    <t>PL_ZEWD_1412000348_01</t>
  </si>
  <si>
    <t>Kuflew</t>
  </si>
  <si>
    <t>05-320</t>
  </si>
  <si>
    <t>Mrozy</t>
  </si>
  <si>
    <t>PL_ZEWD_1412000349_03</t>
  </si>
  <si>
    <t>PL_ZEWD_1412000350_04</t>
  </si>
  <si>
    <t>Kołacz</t>
  </si>
  <si>
    <t>PL_ZEWD_1412000351_06</t>
  </si>
  <si>
    <t>PL_ZEWD_1412000352_08</t>
  </si>
  <si>
    <t>PL_ZEWD_1412000354_02</t>
  </si>
  <si>
    <t xml:space="preserve">Łukówiec </t>
  </si>
  <si>
    <t>PL_ZEWD_1412000355_04</t>
  </si>
  <si>
    <t>Mała Wieś</t>
  </si>
  <si>
    <t>PL_ZEWD_1412000356_06</t>
  </si>
  <si>
    <t>PL_ZEWD_1412000357_08</t>
  </si>
  <si>
    <t>PL_ZEWD_1412000358_00</t>
  </si>
  <si>
    <t>Płomieniec</t>
  </si>
  <si>
    <t>PL_ZEWD_1412000359_02</t>
  </si>
  <si>
    <t>Lipiny</t>
  </si>
  <si>
    <t>PL_ZEWD_1412000360_03</t>
  </si>
  <si>
    <t>PL_ZEWD_1412000362_07</t>
  </si>
  <si>
    <t>PL_ZEWD_1412000364_01</t>
  </si>
  <si>
    <t>Dębowce</t>
  </si>
  <si>
    <t>PL_ZEWD_1412000365_03</t>
  </si>
  <si>
    <t>PL_ZEWD_1412000366_05</t>
  </si>
  <si>
    <t>PL_ZEWD_1412000367_07</t>
  </si>
  <si>
    <t>Nadrzeczna</t>
  </si>
  <si>
    <t>PL_ZEWD_1412000410_06</t>
  </si>
  <si>
    <t>Zwycięstwa</t>
  </si>
  <si>
    <t>PL_ZEWD_1412000411_08</t>
  </si>
  <si>
    <t>3-go Maja</t>
  </si>
  <si>
    <t>PL_ZEWD_1412000412_00</t>
  </si>
  <si>
    <t>PL_ZEWD_1412000413_02</t>
  </si>
  <si>
    <t>Mickiewicza</t>
  </si>
  <si>
    <t>PL_ZEWD_1412000414_04</t>
  </si>
  <si>
    <t>Kruki</t>
  </si>
  <si>
    <t>16A</t>
  </si>
  <si>
    <t>PL_ZEWD_1412000368_09</t>
  </si>
  <si>
    <t>PL_ZEWD_1412000415_06</t>
  </si>
  <si>
    <t>Letnia</t>
  </si>
  <si>
    <t>PL_ZEWD_1412000416_08</t>
  </si>
  <si>
    <t>Wspólna</t>
  </si>
  <si>
    <t>PL_ZEWD_1412000370_02</t>
  </si>
  <si>
    <t>PL_ZEWD_1412000417_00</t>
  </si>
  <si>
    <t>Słoneczna</t>
  </si>
  <si>
    <t>PL_ZEWD_1412000419_04</t>
  </si>
  <si>
    <t>Pokoju</t>
  </si>
  <si>
    <t>PL_ZEWD_1412000420_05</t>
  </si>
  <si>
    <t>Sienkiewicza</t>
  </si>
  <si>
    <t>PL_ZEWD_1412000421_07</t>
  </si>
  <si>
    <t>Semanowicza</t>
  </si>
  <si>
    <t>PL_ZEWD_1412000422_09</t>
  </si>
  <si>
    <t xml:space="preserve">Pokoju </t>
  </si>
  <si>
    <t>PL_ZEWD_1412000423_01</t>
  </si>
  <si>
    <t>PL_ZEWD_1412000424_03</t>
  </si>
  <si>
    <t>Wola Paprotnia</t>
  </si>
  <si>
    <t>PL_ZEWD_1412000372_06</t>
  </si>
  <si>
    <t>PL_ZEWD_1412000373_08</t>
  </si>
  <si>
    <t>Kilińskiego</t>
  </si>
  <si>
    <t>PL_ZEWD_1412000425_05</t>
  </si>
  <si>
    <t>Wolności</t>
  </si>
  <si>
    <t>PL_ZEWD_1412000426_07</t>
  </si>
  <si>
    <t>Akacjowa</t>
  </si>
  <si>
    <t>PL_ZEWD_1412000427_09</t>
  </si>
  <si>
    <t>Długa</t>
  </si>
  <si>
    <t>PL_ZEWD_1412000428_01</t>
  </si>
  <si>
    <t>Okrężna</t>
  </si>
  <si>
    <t>PL_ZEWD_1412000429_03</t>
  </si>
  <si>
    <t>Zachodnia</t>
  </si>
  <si>
    <t>PL_ZEWD_1412000430_04</t>
  </si>
  <si>
    <t>Graniczna</t>
  </si>
  <si>
    <t>PL_ZEWD_1412000431_06</t>
  </si>
  <si>
    <t>Spółdzielcza</t>
  </si>
  <si>
    <t>PL_ZEWD_1412000432_08</t>
  </si>
  <si>
    <t>Licealna</t>
  </si>
  <si>
    <t>PL_ZEWD_1412000433_00</t>
  </si>
  <si>
    <t>PL_ZEWD_1412000434_02</t>
  </si>
  <si>
    <t>Szkolna</t>
  </si>
  <si>
    <t>PL_ZEWD_1412000435_04</t>
  </si>
  <si>
    <t>PL_ZEWD_1412000436_06</t>
  </si>
  <si>
    <t>PL_ZEWD_1412000376_04</t>
  </si>
  <si>
    <t>Dąbrowa</t>
  </si>
  <si>
    <t>PL_ZEWD_1412000377_06</t>
  </si>
  <si>
    <t>Sokolnik</t>
  </si>
  <si>
    <t>PL_ZEWD_1412000378_08</t>
  </si>
  <si>
    <t>Lubomin</t>
  </si>
  <si>
    <t>PL_ZEWD_1412000379_00</t>
  </si>
  <si>
    <t>47A</t>
  </si>
  <si>
    <t>PL_ZEWD_1412000380_01</t>
  </si>
  <si>
    <t>Guzew</t>
  </si>
  <si>
    <t>PL_ZEWD_1412000381_03</t>
  </si>
  <si>
    <t>PL_ZEWD_1412000382_05</t>
  </si>
  <si>
    <t>PL_ZEWD_1412000383_07</t>
  </si>
  <si>
    <t>Gójszcz</t>
  </si>
  <si>
    <t>PL_ZEWD_1412000386_03</t>
  </si>
  <si>
    <t>PL_ZEWD_1412000387_05</t>
  </si>
  <si>
    <t>Grodzisk</t>
  </si>
  <si>
    <t>PL_ZEWD_1412000437_08</t>
  </si>
  <si>
    <t>PL_ZEWD_1412000438_00</t>
  </si>
  <si>
    <t>PL_ZEWD_1412000439_02</t>
  </si>
  <si>
    <t>Mazowiecka</t>
  </si>
  <si>
    <t>PL_ZEWD_1412000440_03</t>
  </si>
  <si>
    <t>PL_ZEWD_1412000441_05</t>
  </si>
  <si>
    <t>Choszcze</t>
  </si>
  <si>
    <t>PL_ZEWD_1412000388_07</t>
  </si>
  <si>
    <t>Porzewnica</t>
  </si>
  <si>
    <t>PL_ZEWD_1412000389_09</t>
  </si>
  <si>
    <t>Rudka</t>
  </si>
  <si>
    <t>PL_ZEWD_1412000390_00</t>
  </si>
  <si>
    <t>PL_ZEWD_1412000391_02</t>
  </si>
  <si>
    <t>PL_ZEWD_1412000443_09</t>
  </si>
  <si>
    <t>Skruda</t>
  </si>
  <si>
    <t>PL_ZEWD_1412000392_04</t>
  </si>
  <si>
    <t>PL_ZEWD_1412000393_06</t>
  </si>
  <si>
    <t>PL_ZEWD_1412000394_08</t>
  </si>
  <si>
    <t>PL_ZEWD_1412000396_02</t>
  </si>
  <si>
    <t>Trojanów</t>
  </si>
  <si>
    <t>PL_ZEWD_1412000397_04</t>
  </si>
  <si>
    <t>PL_ZEWD_1412000398_06</t>
  </si>
  <si>
    <t>PL_ZEWD_1412000399_08</t>
  </si>
  <si>
    <t>Dębowa</t>
  </si>
  <si>
    <t>PL_ZEWD_1412000401_09</t>
  </si>
  <si>
    <t>Lipowa</t>
  </si>
  <si>
    <t>PL_ZEWD_1412000402_01</t>
  </si>
  <si>
    <t>PL_ZEWD_1412000403_03</t>
  </si>
  <si>
    <t>Topór</t>
  </si>
  <si>
    <t>PL_ZEWD_1412000405_07</t>
  </si>
  <si>
    <t>PL_ZEWD_1412000406_09</t>
  </si>
  <si>
    <t>PL_ZEWD_1412000407_01</t>
  </si>
  <si>
    <t>I</t>
  </si>
  <si>
    <t>PL_ZEWD_1412000384_09</t>
  </si>
  <si>
    <t>PL_ZEWD_1412000408_03</t>
  </si>
  <si>
    <t>Browarna</t>
  </si>
  <si>
    <t>PL_ZEWD_1412000409_05</t>
  </si>
  <si>
    <t>PL_ZEWD_1412000966_03</t>
  </si>
  <si>
    <t>C11</t>
  </si>
  <si>
    <t>PL_ZEWD_1412000951_04</t>
  </si>
  <si>
    <t>C11o</t>
  </si>
  <si>
    <t>Nabywca:</t>
  </si>
  <si>
    <t>Suma</t>
  </si>
  <si>
    <t>Grupa taryfowa</t>
  </si>
  <si>
    <t>Liczba PPE</t>
  </si>
  <si>
    <t>całodobowe</t>
  </si>
  <si>
    <t>Suma:</t>
  </si>
  <si>
    <t>Suma zużycia:</t>
  </si>
  <si>
    <t>oświetlenie uliczne</t>
  </si>
  <si>
    <t>Mińsk Mazowiecki</t>
  </si>
  <si>
    <t>05-300</t>
  </si>
  <si>
    <t>PL_ZEWD_1412000878_08</t>
  </si>
  <si>
    <t>32/40</t>
  </si>
  <si>
    <t>PL_ZEWD_1412000873_08</t>
  </si>
  <si>
    <t>PL_ZEWD_1412000893_06</t>
  </si>
  <si>
    <t>Kolejowa</t>
  </si>
  <si>
    <t>PL_ZEWD_1412000870_02</t>
  </si>
  <si>
    <t>Polowa</t>
  </si>
  <si>
    <t>PL_ZEWD_1412000880_01</t>
  </si>
  <si>
    <t xml:space="preserve">Zachodnia </t>
  </si>
  <si>
    <t>PL_ZEWD_1412000860_03</t>
  </si>
  <si>
    <t>PL_ZEWD_1412000894_08</t>
  </si>
  <si>
    <t>PL_ZEWD_1412000901_09</t>
  </si>
  <si>
    <t>PL_ZEWD_1412000889_09</t>
  </si>
  <si>
    <t>Świętokrzyska</t>
  </si>
  <si>
    <t>PL_ZEWD_1412000899_08</t>
  </si>
  <si>
    <t>PL_ZEWD_1412000881_03</t>
  </si>
  <si>
    <t xml:space="preserve">Nowy Świat </t>
  </si>
  <si>
    <t>PL_ZEWD_1412000918_02</t>
  </si>
  <si>
    <t>PL_ZEWD_1412000911_08</t>
  </si>
  <si>
    <t>Jagiellońska</t>
  </si>
  <si>
    <t>PL_ZEWD_1412000835_06</t>
  </si>
  <si>
    <t>Królewiecka betoniarnia</t>
  </si>
  <si>
    <t>PL_ZEWD_1412000928_01</t>
  </si>
  <si>
    <t>PL_ZEWD_1412000857_08</t>
  </si>
  <si>
    <t>Bagnista</t>
  </si>
  <si>
    <t>PL_ZEWD_1412000924_03</t>
  </si>
  <si>
    <t>Boczna</t>
  </si>
  <si>
    <t>PL_ZEWD_1412000874_00</t>
  </si>
  <si>
    <t xml:space="preserve">Boczna </t>
  </si>
  <si>
    <t>PL_ZEWD_1412000892_04</t>
  </si>
  <si>
    <t>Kołowa</t>
  </si>
  <si>
    <t>PL_ZEWD_1412000858_00</t>
  </si>
  <si>
    <t>Warszt. Tech. Budowl.</t>
  </si>
  <si>
    <t>PL_ZEWD_1412000908_03</t>
  </si>
  <si>
    <t>Kościelna</t>
  </si>
  <si>
    <t>PL_ZEWD_1412000898_06</t>
  </si>
  <si>
    <t>Czarnieckiego</t>
  </si>
  <si>
    <t>PL_ZEWD_1412000890_00</t>
  </si>
  <si>
    <t xml:space="preserve">Żwirowa </t>
  </si>
  <si>
    <t>PL_ZEWD_1412000914_04</t>
  </si>
  <si>
    <t>Przemysłowa</t>
  </si>
  <si>
    <t>PL_ZEWD_1412000855_04</t>
  </si>
  <si>
    <t>PL_ZEWD_1412000887_05</t>
  </si>
  <si>
    <t>PL_ZEWD_1412000886_03</t>
  </si>
  <si>
    <t>Warszawska</t>
  </si>
  <si>
    <t>PL_ZEWD_1412000872_06</t>
  </si>
  <si>
    <t>Warszawska /GKO</t>
  </si>
  <si>
    <t>PL_ZEWD_1412000896_02</t>
  </si>
  <si>
    <t>Warszawska / osiedle woj..</t>
  </si>
  <si>
    <t>PL_ZEWD_1412000865_03</t>
  </si>
  <si>
    <t>PL_ZEWD_1412000907_01</t>
  </si>
  <si>
    <t>PL_ZEWD_1412000883_07</t>
  </si>
  <si>
    <t>Armii Krajowej</t>
  </si>
  <si>
    <t>PL_ZEWD_1412000900_07</t>
  </si>
  <si>
    <t xml:space="preserve">Szpitalna </t>
  </si>
  <si>
    <t>PL_ZEWD_1412000921_07</t>
  </si>
  <si>
    <t>1-GO P.L.M "Warszawa"</t>
  </si>
  <si>
    <t>PL_ZEWD_1412000923_01</t>
  </si>
  <si>
    <t>Błonie</t>
  </si>
  <si>
    <t>PL_ZEWD_1412000849_03</t>
  </si>
  <si>
    <t>PL_ZEWD_1412000848_01</t>
  </si>
  <si>
    <t>PL_ZEWD_1412000888_07</t>
  </si>
  <si>
    <t>Rodziny Sażyńskich</t>
  </si>
  <si>
    <t>PL_ZEWD_1412000877_06</t>
  </si>
  <si>
    <t>Obok kościoła Mariawickiego</t>
  </si>
  <si>
    <t>PL_ZEWD_1412000834_04</t>
  </si>
  <si>
    <t>PL_ZEWD_1412000829_05</t>
  </si>
  <si>
    <t>Kościuszki</t>
  </si>
  <si>
    <t>PL_ZEWD_1412000852_08</t>
  </si>
  <si>
    <t>Konstytucji 3-Go Maja - Przedszk.</t>
  </si>
  <si>
    <t>PL_ZEWD_1412001095_03</t>
  </si>
  <si>
    <t>Sosnkowskiego</t>
  </si>
  <si>
    <t>PL_ZEWD_1412000915_06</t>
  </si>
  <si>
    <t>Wiejska</t>
  </si>
  <si>
    <t>PL_ZEWD_1412000846_07</t>
  </si>
  <si>
    <t>PL_ZEWD_1412000904_05</t>
  </si>
  <si>
    <t>Piłsudkiego</t>
  </si>
  <si>
    <t>PL_ZEWD_1412000851_06</t>
  </si>
  <si>
    <t>05-307</t>
  </si>
  <si>
    <t>PL_ZEWD_1412000919_04</t>
  </si>
  <si>
    <t>Warszawska obok NBP</t>
  </si>
  <si>
    <t>PL_ZEWD_1412000897_04</t>
  </si>
  <si>
    <t>113A</t>
  </si>
  <si>
    <t>PL_ZEWD_1412000917_00</t>
  </si>
  <si>
    <t>PL_ZEWD_1412000864_01</t>
  </si>
  <si>
    <t>Chrościelewskiego</t>
  </si>
  <si>
    <t>PL_ZEWD_1412000838_02</t>
  </si>
  <si>
    <t>PL_ZEWD_1412000927_09</t>
  </si>
  <si>
    <t>Jaśminowa</t>
  </si>
  <si>
    <t>PL_ZEWD_1412000905_07</t>
  </si>
  <si>
    <t>PL_ZEWD_1412000906_09</t>
  </si>
  <si>
    <t>PL_ZEWD_1412000909_05</t>
  </si>
  <si>
    <t>PL_ZEWD_1412000841_07</t>
  </si>
  <si>
    <t>PL_ZEWD_1412000850_04</t>
  </si>
  <si>
    <t>Kresowa</t>
  </si>
  <si>
    <t>PL_ZEWD_1412000842_09</t>
  </si>
  <si>
    <t xml:space="preserve">Kołowa </t>
  </si>
  <si>
    <t>PL_ZEWD_1412000925_05</t>
  </si>
  <si>
    <t>Warszawskie Przedmieście</t>
  </si>
  <si>
    <t>PL_ZEWD_1412000913_02</t>
  </si>
  <si>
    <t>PL_ZEWD_1412000843_01</t>
  </si>
  <si>
    <t>PL_ZEWD_1412000930_04</t>
  </si>
  <si>
    <t>PL_ZEWD_1412000868_09</t>
  </si>
  <si>
    <t>Klonowa</t>
  </si>
  <si>
    <t>PL_ZEWD_1412000929_03</t>
  </si>
  <si>
    <t>Kościuszki obok lotto</t>
  </si>
  <si>
    <t>PL_ZEWD_1412000903_03</t>
  </si>
  <si>
    <t>Dąbrówki</t>
  </si>
  <si>
    <t>PL_ZEWD_1412000827_01</t>
  </si>
  <si>
    <t>Spacerowa</t>
  </si>
  <si>
    <t>PL_ZEWD_1412000876_04</t>
  </si>
  <si>
    <t>PL_ZEWD_1412000832_00</t>
  </si>
  <si>
    <t>wokół dworca pks</t>
  </si>
  <si>
    <t>PL_ZEWD_1412000831_08</t>
  </si>
  <si>
    <t>PL_ZEWD_1412000845_05</t>
  </si>
  <si>
    <t>Monte Cassino</t>
  </si>
  <si>
    <t>PL_ZEWD_1412000863_09</t>
  </si>
  <si>
    <t>Kazikowskiego ośw. Fontanny</t>
  </si>
  <si>
    <t>PL_ZEWD-1412000828_03</t>
  </si>
  <si>
    <t>Miasto Mińsk Mazowiecki</t>
  </si>
  <si>
    <t>ul. Konstytucji 3-go Maja 1</t>
  </si>
  <si>
    <t>05-300 Mińsk Mazowiecki</t>
  </si>
  <si>
    <t>PL_ZEWD_1412000837_00</t>
  </si>
  <si>
    <t>PL_ZEWD_1412000910_06</t>
  </si>
  <si>
    <t>PL_ZEWD_1412000830_06</t>
  </si>
  <si>
    <t>PL_ZEWD_1412000926_07</t>
  </si>
  <si>
    <t>Chabrowa</t>
  </si>
  <si>
    <t>PL_ZEWD_1412000847_09</t>
  </si>
  <si>
    <t>PL_ZEWD_1412000912_00</t>
  </si>
  <si>
    <t>Zgoda</t>
  </si>
  <si>
    <t>PL_Z\EWD_1412000833_02</t>
  </si>
  <si>
    <t>Szczecińska</t>
  </si>
  <si>
    <t>PL_ZEWD_1412000895_00</t>
  </si>
  <si>
    <t>PL_ZEWD_1412000920_05</t>
  </si>
  <si>
    <t>Cicha</t>
  </si>
  <si>
    <t>PL_ZEWD_1412000839_04</t>
  </si>
  <si>
    <t>Żwirowa</t>
  </si>
  <si>
    <t>PL_ZEWD_1412000840_05</t>
  </si>
  <si>
    <t>Stary Rynek</t>
  </si>
  <si>
    <t>PL_ZEWD_1412000836_08</t>
  </si>
  <si>
    <t>Królewiec</t>
  </si>
  <si>
    <t>Chmielew</t>
  </si>
  <si>
    <t>Gliniak</t>
  </si>
  <si>
    <t>Cielechowizna</t>
  </si>
  <si>
    <t>Huta Mińska</t>
  </si>
  <si>
    <t>Marianka</t>
  </si>
  <si>
    <t>Grabina</t>
  </si>
  <si>
    <t>Stare Zakole</t>
  </si>
  <si>
    <t>Podrudzie</t>
  </si>
  <si>
    <t>8A</t>
  </si>
  <si>
    <t>Józefów</t>
  </si>
  <si>
    <t>Stojadła</t>
  </si>
  <si>
    <t>Książęca</t>
  </si>
  <si>
    <t>Krótka</t>
  </si>
  <si>
    <t>IV</t>
  </si>
  <si>
    <t>Wiśniowa</t>
  </si>
  <si>
    <t>Zamienie</t>
  </si>
  <si>
    <t>Topolowa</t>
  </si>
  <si>
    <t>Kluki</t>
  </si>
  <si>
    <t>Maliszew</t>
  </si>
  <si>
    <t>Grębiszew</t>
  </si>
  <si>
    <t>Chochół</t>
  </si>
  <si>
    <t>Tartak</t>
  </si>
  <si>
    <t>Iłówiec</t>
  </si>
  <si>
    <t>Wólka Iłowiecka</t>
  </si>
  <si>
    <t>Barcząca</t>
  </si>
  <si>
    <t>Budy Barcząckie</t>
  </si>
  <si>
    <t>Anielew</t>
  </si>
  <si>
    <t>Targówka</t>
  </si>
  <si>
    <t>Zakole Wiktorowo</t>
  </si>
  <si>
    <t>Janów</t>
  </si>
  <si>
    <t>Budy Janowskie</t>
  </si>
  <si>
    <t>Dziękowizna</t>
  </si>
  <si>
    <t>Kolonia Janów</t>
  </si>
  <si>
    <t>Leśna</t>
  </si>
  <si>
    <t>Ignaców</t>
  </si>
  <si>
    <t>Osiny</t>
  </si>
  <si>
    <t>Nowe Osiny</t>
  </si>
  <si>
    <t>Piękna</t>
  </si>
  <si>
    <t>Św. Józefa</t>
  </si>
  <si>
    <t>56A</t>
  </si>
  <si>
    <t>Słoneczka</t>
  </si>
  <si>
    <t>26A</t>
  </si>
  <si>
    <t>Stara Niedziałka</t>
  </si>
  <si>
    <t>Radość</t>
  </si>
  <si>
    <t>Jesionowa</t>
  </si>
  <si>
    <t>Karolina</t>
  </si>
  <si>
    <t>Miłosza</t>
  </si>
  <si>
    <t>VIII</t>
  </si>
  <si>
    <t>VI</t>
  </si>
  <si>
    <t>Niedziałka Druga</t>
  </si>
  <si>
    <t>Olszowa</t>
  </si>
  <si>
    <t>Wólka Mińska</t>
  </si>
  <si>
    <t>Familijna</t>
  </si>
  <si>
    <t>Arynów</t>
  </si>
  <si>
    <t>Żuków</t>
  </si>
  <si>
    <t>Brzóze</t>
  </si>
  <si>
    <t>Strażacka</t>
  </si>
  <si>
    <t>Ogrodowa</t>
  </si>
  <si>
    <t>Miła</t>
  </si>
  <si>
    <t>Polna</t>
  </si>
  <si>
    <t>Dłużka</t>
  </si>
  <si>
    <t>Gamratka</t>
  </si>
  <si>
    <t>Mikanów</t>
  </si>
  <si>
    <t xml:space="preserve">Droga </t>
  </si>
  <si>
    <t>ul. Chełmońskiego 14</t>
  </si>
  <si>
    <t>114A</t>
  </si>
  <si>
    <t>Gmina Mińsk Mazowiecki</t>
  </si>
  <si>
    <t>Hipolitów</t>
  </si>
  <si>
    <t>Hipolitowska</t>
  </si>
  <si>
    <t>05-074</t>
  </si>
  <si>
    <t>Halinów</t>
  </si>
  <si>
    <t>C12b</t>
  </si>
  <si>
    <t>Michałów II</t>
  </si>
  <si>
    <t>Michałów I</t>
  </si>
  <si>
    <t>Okuniew/1-go Maja</t>
  </si>
  <si>
    <t>Stanisławowska</t>
  </si>
  <si>
    <t>Pułtuska</t>
  </si>
  <si>
    <t>Rynek</t>
  </si>
  <si>
    <t>Józefin</t>
  </si>
  <si>
    <t>Brzeziny Królewskie</t>
  </si>
  <si>
    <t>Długa Szlachecka</t>
  </si>
  <si>
    <t>Parkowa</t>
  </si>
  <si>
    <t>Północna</t>
  </si>
  <si>
    <t>Powstania Styczniowego (SKR)</t>
  </si>
  <si>
    <t>Bema</t>
  </si>
  <si>
    <t>Piłsudskiego</t>
  </si>
  <si>
    <t>Okuniewska/Mickiewicza</t>
  </si>
  <si>
    <t>Budziska</t>
  </si>
  <si>
    <t>Partyzancka</t>
  </si>
  <si>
    <t>Długa Kościelna</t>
  </si>
  <si>
    <t>Mrowiska</t>
  </si>
  <si>
    <t>Kazimierów</t>
  </si>
  <si>
    <t>Krzewina</t>
  </si>
  <si>
    <t>Desno</t>
  </si>
  <si>
    <t>Mrowiska Duże</t>
  </si>
  <si>
    <t>Chobot</t>
  </si>
  <si>
    <t>Wielgolas Brzeziński</t>
  </si>
  <si>
    <t>Chrobrego</t>
  </si>
  <si>
    <t>Cisie</t>
  </si>
  <si>
    <t>Cisie II</t>
  </si>
  <si>
    <t>Konik Nowy</t>
  </si>
  <si>
    <t>Czereśniowa</t>
  </si>
  <si>
    <t>Banachowska</t>
  </si>
  <si>
    <t>Południowa</t>
  </si>
  <si>
    <t>Wielgolas Duchnowski</t>
  </si>
  <si>
    <t>Zagórze</t>
  </si>
  <si>
    <t>Brzeziny</t>
  </si>
  <si>
    <t>Zacisze</t>
  </si>
  <si>
    <t>05-079</t>
  </si>
  <si>
    <t>Okuniew</t>
  </si>
  <si>
    <t>Żelazna</t>
  </si>
  <si>
    <t>Michałów</t>
  </si>
  <si>
    <t>dz.18</t>
  </si>
  <si>
    <t>Baśniowa</t>
  </si>
  <si>
    <t>Skrajna</t>
  </si>
  <si>
    <t>Zgody</t>
  </si>
  <si>
    <t>dz.52</t>
  </si>
  <si>
    <t>Modrzewiowa</t>
  </si>
  <si>
    <t>Wrzosowa</t>
  </si>
  <si>
    <t xml:space="preserve">Grabina </t>
  </si>
  <si>
    <t>Jagiełły</t>
  </si>
  <si>
    <t>Gmina Halinów</t>
  </si>
  <si>
    <t>05-074 Halinów</t>
  </si>
  <si>
    <t>Oświet. uliczne</t>
  </si>
  <si>
    <t>Dębe Wielkie</t>
  </si>
  <si>
    <t>Prądzyńskiego</t>
  </si>
  <si>
    <t>05-311</t>
  </si>
  <si>
    <t>PL_ZEWD_1412000594_04</t>
  </si>
  <si>
    <t>Kobierne</t>
  </si>
  <si>
    <t>PL_ZEWD_1412000593_02</t>
  </si>
  <si>
    <t>Alejowa</t>
  </si>
  <si>
    <t>PL_ZEWD_1412000591_08</t>
  </si>
  <si>
    <t>PL_ZEWD_1412000590_06</t>
  </si>
  <si>
    <t>PL_ZEWD_1412000587_01</t>
  </si>
  <si>
    <t>PL_ZEWD_1412000589_05</t>
  </si>
  <si>
    <t>PL_ZEWD_1412000586_09</t>
  </si>
  <si>
    <t>Pedagogów</t>
  </si>
  <si>
    <t>PL_ZEWD_1412000585_07</t>
  </si>
  <si>
    <t>Batalionu Parasol</t>
  </si>
  <si>
    <t>PL_ZEWD_1412000588_03</t>
  </si>
  <si>
    <t xml:space="preserve">Armii Krajowej </t>
  </si>
  <si>
    <t>PL_ZEWD_1412000627_05</t>
  </si>
  <si>
    <t>Aleksandrówka</t>
  </si>
  <si>
    <t>PL_ZEWD_1412000624_09</t>
  </si>
  <si>
    <t>Bykowizna</t>
  </si>
  <si>
    <t>PL_ZEWD_1412000625_01</t>
  </si>
  <si>
    <t>Ruda</t>
  </si>
  <si>
    <t>PL_ZEWD_1412000628_07</t>
  </si>
  <si>
    <t>Chrośla</t>
  </si>
  <si>
    <t>PL_ZEWD_1412000623_07</t>
  </si>
  <si>
    <t>PL_ZEWD_1412000622_05</t>
  </si>
  <si>
    <t>Kwiatowa</t>
  </si>
  <si>
    <t>PL_ZEWD_1412000631_02</t>
  </si>
  <si>
    <t>PL_ZEWD_1412000634_08</t>
  </si>
  <si>
    <t>PL_ZEWD_1412000621_03</t>
  </si>
  <si>
    <t>PL_ZEWD_1412000620_01</t>
  </si>
  <si>
    <t>PL_ZEWD_1412000617_06</t>
  </si>
  <si>
    <t>PL_ZEWD_1412000619_00</t>
  </si>
  <si>
    <t>PL_ZEWD_1412000618_08</t>
  </si>
  <si>
    <t>Górki</t>
  </si>
  <si>
    <t>PL_ZEWD_1412000616_04</t>
  </si>
  <si>
    <t>PL_ZEWD_1412000645_09</t>
  </si>
  <si>
    <t>PL_ZEWD_1412000652_02</t>
  </si>
  <si>
    <t>PL_ZEWD_1412000655_08</t>
  </si>
  <si>
    <t>Cięciwa</t>
  </si>
  <si>
    <t>PL_ZEWD_1412000640_09</t>
  </si>
  <si>
    <t>PL_ZEWD_1412000651_00</t>
  </si>
  <si>
    <t>Powstańców</t>
  </si>
  <si>
    <t>PL_ZEWD_1412000649_07</t>
  </si>
  <si>
    <t>PL_ZEWD_1412000646_01</t>
  </si>
  <si>
    <t>Olesin</t>
  </si>
  <si>
    <t>PL_ZEWD_1412000644_07</t>
  </si>
  <si>
    <t>PL_ZEWD_1412000641_01</t>
  </si>
  <si>
    <t>PL_ZEWD_1412000656_00</t>
  </si>
  <si>
    <t>PL_ZEWD_1412000647_03</t>
  </si>
  <si>
    <t>PL_ZEWD_1412000643_05</t>
  </si>
  <si>
    <t>PL_ZEWD_1412000636_02</t>
  </si>
  <si>
    <t>Rysie</t>
  </si>
  <si>
    <t>PL_ZEWD_1412000648_05</t>
  </si>
  <si>
    <t>Walercin</t>
  </si>
  <si>
    <t>PL_ZEWD_1412000612_06</t>
  </si>
  <si>
    <t>PL_ZEWD_1412000677_00</t>
  </si>
  <si>
    <t>PL_ZEWD_1412000676_08</t>
  </si>
  <si>
    <t>Jędrzejnik</t>
  </si>
  <si>
    <t>PL_ZEWD_1412000675_06</t>
  </si>
  <si>
    <t>Celinów</t>
  </si>
  <si>
    <t>PL_ZEWD_1412000674_04</t>
  </si>
  <si>
    <t>PL_ZEWD_1412000673_02</t>
  </si>
  <si>
    <t>PL_ZEWD_1412000672_00</t>
  </si>
  <si>
    <t>Cyganka</t>
  </si>
  <si>
    <t>PL_ZEWD_1412000671_08</t>
  </si>
  <si>
    <t>PL_ZEWD_1412000670_06</t>
  </si>
  <si>
    <t>PL_ZEWD_1412000669_05</t>
  </si>
  <si>
    <t>PL_ZEWD_1412000668_03</t>
  </si>
  <si>
    <t>Braci Tabiszewskich</t>
  </si>
  <si>
    <t>PL_ZEWD_1412000667_01</t>
  </si>
  <si>
    <t>PL_ZEWD_1412000666_09</t>
  </si>
  <si>
    <t>PL_ZEWD_1412000665_07</t>
  </si>
  <si>
    <t>Brzozowa</t>
  </si>
  <si>
    <t>PL_ZEWD_1412000664_05</t>
  </si>
  <si>
    <t>Teresław</t>
  </si>
  <si>
    <t>PL_ZEWD_1412000663_03</t>
  </si>
  <si>
    <t>PL_ZEWD_1412000662_01</t>
  </si>
  <si>
    <t>PL_ZEWD_1412000579_06</t>
  </si>
  <si>
    <t>PL_ZEWD_1412000580_07</t>
  </si>
  <si>
    <t>Cezarów</t>
  </si>
  <si>
    <t>PL_ZEWD_1412000661_09</t>
  </si>
  <si>
    <t>PL_ZEWD_1412000632_04</t>
  </si>
  <si>
    <t>PL_ZEWD_1412000657_02</t>
  </si>
  <si>
    <t>PL_ZEWD_1412001260_02</t>
  </si>
  <si>
    <t>PL_ZEWD_1412001263_08</t>
  </si>
  <si>
    <t>Pałacowa</t>
  </si>
  <si>
    <t>PL_ZEWD_1412001262_06</t>
  </si>
  <si>
    <t>PL_ZEWD_1412001259_01</t>
  </si>
  <si>
    <t>Szklarniowa</t>
  </si>
  <si>
    <t>PL_ZEWD_1412001261_04</t>
  </si>
  <si>
    <t>PL_ZEWD_1412001374_07</t>
  </si>
  <si>
    <t>PL_ZEWD_1412001372_03</t>
  </si>
  <si>
    <t>PL_ZEWD_1412001128_04</t>
  </si>
  <si>
    <t>Staropolska</t>
  </si>
  <si>
    <t>PL_ZEWD_1412001104_08</t>
  </si>
  <si>
    <t>Gmina Dębe Wielkie</t>
  </si>
  <si>
    <t>Ul. Strażacka 3</t>
  </si>
  <si>
    <t>05-311 Dębe Wielkie</t>
  </si>
  <si>
    <t>NIP: 8222146636</t>
  </si>
  <si>
    <t>05-332</t>
  </si>
  <si>
    <t>Siennica</t>
  </si>
  <si>
    <t>PL_ZEWD_1412000120_01</t>
  </si>
  <si>
    <t>Zalesie</t>
  </si>
  <si>
    <t>PL_ZEWD_1412000121_03</t>
  </si>
  <si>
    <t>Łękawica</t>
  </si>
  <si>
    <t>PL_ZEWD_1412000122_05</t>
  </si>
  <si>
    <t>Nowodwór</t>
  </si>
  <si>
    <t>PL_ZEWD_1412000123_07</t>
  </si>
  <si>
    <t>Kośminy</t>
  </si>
  <si>
    <t>PL_ZEWD_1412000124_09</t>
  </si>
  <si>
    <t>Gągolina</t>
  </si>
  <si>
    <t>PL_ZEWD_1412000125_01</t>
  </si>
  <si>
    <t xml:space="preserve">Strażacka </t>
  </si>
  <si>
    <t>PL_ZEWD_1412000127_05</t>
  </si>
  <si>
    <t>PL_ZEWD_1412000128_07</t>
  </si>
  <si>
    <t xml:space="preserve">Kołbielska </t>
  </si>
  <si>
    <t>PL_ZEWD_1412000129_09</t>
  </si>
  <si>
    <t>PL_ZEWD_1412000130_00</t>
  </si>
  <si>
    <t xml:space="preserve">Mińska </t>
  </si>
  <si>
    <t>PL_ZEWD_1412000131_02</t>
  </si>
  <si>
    <t>PL_ZEWD_1412000132_04</t>
  </si>
  <si>
    <t xml:space="preserve">Akacjowa </t>
  </si>
  <si>
    <t>PL_ZEWD_1412000133_06</t>
  </si>
  <si>
    <t>Nowa</t>
  </si>
  <si>
    <t>PL_ZEWD_1412000134_08</t>
  </si>
  <si>
    <t>PL_ZEWD_1412000135_00</t>
  </si>
  <si>
    <t>PL_ZEWD_1412000136_02</t>
  </si>
  <si>
    <t>PL_ZEWD_1412000137_04</t>
  </si>
  <si>
    <t>Strugi Krzywickie</t>
  </si>
  <si>
    <t>PL_ZEWD_1412000138_06</t>
  </si>
  <si>
    <t>Krzywica</t>
  </si>
  <si>
    <t>PL_ZEWD_1412000139_08</t>
  </si>
  <si>
    <t>PL_ZEWD_1412000140_09</t>
  </si>
  <si>
    <t>Wojciechówka</t>
  </si>
  <si>
    <t>PL_ZEWD_1412000141_01</t>
  </si>
  <si>
    <t>Nowy Zglechów</t>
  </si>
  <si>
    <t>PL_ZEWD_1412000142_03</t>
  </si>
  <si>
    <t>Nowa Pogorzel</t>
  </si>
  <si>
    <t>PL_ZEWD_1412000143_05</t>
  </si>
  <si>
    <t>PL_ZEWD_1412000144_07</t>
  </si>
  <si>
    <t>Wólka Dłużewska</t>
  </si>
  <si>
    <t>PL_ZEWD_1412000145_09</t>
  </si>
  <si>
    <t>Swoboda</t>
  </si>
  <si>
    <t>PL_ZEWD_1412000147_03</t>
  </si>
  <si>
    <t>Pogorzel</t>
  </si>
  <si>
    <t>PL_ZEWD_1412000148_05</t>
  </si>
  <si>
    <t>Julianów</t>
  </si>
  <si>
    <t>PL_ZEWD_1412000149_07</t>
  </si>
  <si>
    <t>Borówek</t>
  </si>
  <si>
    <t>Chełst</t>
  </si>
  <si>
    <t>PL_ZEWD_1412000151_00</t>
  </si>
  <si>
    <t>Grzebowilk II</t>
  </si>
  <si>
    <t>PL_ZEWD_1412000152_02</t>
  </si>
  <si>
    <t>Grzebowilk IV</t>
  </si>
  <si>
    <t>PL_ZEWD_1412000153_04</t>
  </si>
  <si>
    <t>Grzebowilk III</t>
  </si>
  <si>
    <t>PL_ZEWD_1412000154_06</t>
  </si>
  <si>
    <t xml:space="preserve">Nowa Pogorzel </t>
  </si>
  <si>
    <t>PL_ZEWD_1412000544_09</t>
  </si>
  <si>
    <t>Siodło</t>
  </si>
  <si>
    <t>PL_ZEWD_1412000155_08</t>
  </si>
  <si>
    <t>PL_ZEWD_1412000156_00</t>
  </si>
  <si>
    <t>Zglechów</t>
  </si>
  <si>
    <t>PL_ZEWD_1412000157_02</t>
  </si>
  <si>
    <t xml:space="preserve">Bestwiny </t>
  </si>
  <si>
    <t>PL_ZEWD_1412000159_06</t>
  </si>
  <si>
    <t>Drożdżówka</t>
  </si>
  <si>
    <t>PL_ZEWD_1412000160_07</t>
  </si>
  <si>
    <t>Dzielnik</t>
  </si>
  <si>
    <t>PL_ZEWD_1412000161_09</t>
  </si>
  <si>
    <t xml:space="preserve">Dzielnik </t>
  </si>
  <si>
    <t>PL_ZEWD_1412000162_01</t>
  </si>
  <si>
    <t>Nowodzielnik</t>
  </si>
  <si>
    <t>PL_ZEWD_1412000163_03</t>
  </si>
  <si>
    <t>PL_ZEWD_1412000164_05</t>
  </si>
  <si>
    <t>PL_ZEWD_1412000165_07</t>
  </si>
  <si>
    <t>Dłużew</t>
  </si>
  <si>
    <t>PL_ZEWD_1412000166_09</t>
  </si>
  <si>
    <t>Majdan</t>
  </si>
  <si>
    <t>PL_ZEWD_1412000167_01</t>
  </si>
  <si>
    <t>Kulki</t>
  </si>
  <si>
    <t>PL_ZEWD_1412000168_03</t>
  </si>
  <si>
    <t>Ptaki</t>
  </si>
  <si>
    <t>PL_ZEWD_1412000169_05</t>
  </si>
  <si>
    <t>PL_ZEWD_1412000170_06</t>
  </si>
  <si>
    <t xml:space="preserve">Kąty </t>
  </si>
  <si>
    <t>PL_ZEWD_1412000171_08</t>
  </si>
  <si>
    <t>Starogród</t>
  </si>
  <si>
    <t>PL_ZEWD_1412000172_00</t>
  </si>
  <si>
    <t>PL_ZEWD_1412000173_02</t>
  </si>
  <si>
    <t>PL_ZEWD_1412000175_06</t>
  </si>
  <si>
    <t>Nowy Starogród</t>
  </si>
  <si>
    <t>PL_ZEWD_1412000176_08</t>
  </si>
  <si>
    <t>Świętochy</t>
  </si>
  <si>
    <t>PL_ZEWD_1412000179_04</t>
  </si>
  <si>
    <t>PL_ZEWD_1412000180_05</t>
  </si>
  <si>
    <t>Bestwiny</t>
  </si>
  <si>
    <t>PL_ZEWD_1412000181_07</t>
  </si>
  <si>
    <t>PL_ZEWD_1412000182_09</t>
  </si>
  <si>
    <t>PL_ZEWD_1412000183_01</t>
  </si>
  <si>
    <t>PL_ZEWD_1412000184_03</t>
  </si>
  <si>
    <t>PL_ZEWD_1412000185_05</t>
  </si>
  <si>
    <t>Żaków</t>
  </si>
  <si>
    <t>PL_ZEWD_1412000186_07</t>
  </si>
  <si>
    <t>PL_ZEWD_1412000187_09</t>
  </si>
  <si>
    <t>PL_ZEWD_1412000178_02</t>
  </si>
  <si>
    <t>PL_ZEWD_1412000177_00</t>
  </si>
  <si>
    <t>PL_ZEWD_1412000174_04</t>
  </si>
  <si>
    <t>Boża Wola</t>
  </si>
  <si>
    <t>PL_ZEWD_1412000146_01</t>
  </si>
  <si>
    <t>Starogród III</t>
  </si>
  <si>
    <t>PL_ZEWD_1412000188_01</t>
  </si>
  <si>
    <t>PL_ZEWD_1412000189_03</t>
  </si>
  <si>
    <t>ul. Kołbielska 1</t>
  </si>
  <si>
    <t>05-332 Siennica</t>
  </si>
  <si>
    <t>Stawek</t>
  </si>
  <si>
    <t>PL_ZEWD_1412000685_05</t>
  </si>
  <si>
    <t>Kamionka</t>
  </si>
  <si>
    <t>05-334</t>
  </si>
  <si>
    <t>Latowicz</t>
  </si>
  <si>
    <t>PL_ZEWD_1412000681_07</t>
  </si>
  <si>
    <t>Waliska</t>
  </si>
  <si>
    <t>PL_ZEWD_1412000701_03</t>
  </si>
  <si>
    <t>Wężyczyn</t>
  </si>
  <si>
    <t>PL_ZEWD_1412000695_04</t>
  </si>
  <si>
    <t>PL_ZEWD_1412000697_08</t>
  </si>
  <si>
    <t>PL_ZEWD_1412000688_01</t>
  </si>
  <si>
    <t>PL_ZEWD_1412000707_05</t>
  </si>
  <si>
    <t>PL_ZEWD_1412000698_00</t>
  </si>
  <si>
    <t>PL_ZEWD_1412000696_06</t>
  </si>
  <si>
    <t>PL_ZEWD_1412000682_09</t>
  </si>
  <si>
    <t>Chyżyny</t>
  </si>
  <si>
    <t>PL_ZEWD_1412000776_06</t>
  </si>
  <si>
    <t>PL_ZEWD_1412000775_04</t>
  </si>
  <si>
    <t>PL_ZEWD_1412000699_02</t>
  </si>
  <si>
    <t>PL_ZEWD_1412000774_02</t>
  </si>
  <si>
    <t>Gołełąki</t>
  </si>
  <si>
    <t>PL_ZEWD_1412000704_09</t>
  </si>
  <si>
    <t>PL_ZEWD_1412000700_01</t>
  </si>
  <si>
    <t>PL_ZEWD_1412000703_07</t>
  </si>
  <si>
    <t>PL_ZEWD_1412000684_03</t>
  </si>
  <si>
    <t>Latowicz-Rozstanki</t>
  </si>
  <si>
    <t>PL_ZEWD_1412000773_00</t>
  </si>
  <si>
    <t>Senatorska</t>
  </si>
  <si>
    <t>PL_ZEWD_1412000772_08</t>
  </si>
  <si>
    <t>Św. Ducha</t>
  </si>
  <si>
    <t>PL_ZEWD_1412000771_06</t>
  </si>
  <si>
    <t>Grundowa</t>
  </si>
  <si>
    <t>PL_ZEWD_1412000770_04</t>
  </si>
  <si>
    <t>PL_ZEWD_1412000711_02</t>
  </si>
  <si>
    <t>Latowicz-Wymyśle</t>
  </si>
  <si>
    <t>PL_ZEWD_1412000769_03</t>
  </si>
  <si>
    <t>Dąbrówka</t>
  </si>
  <si>
    <t>PL_ZEWD_1412000768_01</t>
  </si>
  <si>
    <t>II</t>
  </si>
  <si>
    <t>PL_ZEWD_1412000767_09</t>
  </si>
  <si>
    <t>PL_ZEWD_1412000712_04</t>
  </si>
  <si>
    <t>PL_ZEWD_1412000715_00</t>
  </si>
  <si>
    <t>PL_ZEWD_1412000714_08</t>
  </si>
  <si>
    <t>Oleksianka</t>
  </si>
  <si>
    <t>PL_ZEWD_1412000766_07</t>
  </si>
  <si>
    <t>PL_ZEWD_1412000764_03</t>
  </si>
  <si>
    <t>PL_ZEWD_1412000762_09</t>
  </si>
  <si>
    <t>PL_ZEWD_1412000760_05</t>
  </si>
  <si>
    <t>PL_ZEWD_1412000765_05</t>
  </si>
  <si>
    <t>PL_ZEWD_1412000718_06</t>
  </si>
  <si>
    <t>Redzyńskie</t>
  </si>
  <si>
    <t>PL_ZEWD_1412000717_04</t>
  </si>
  <si>
    <t>PL_ZEWD_1412000761_07</t>
  </si>
  <si>
    <t>Generałowo</t>
  </si>
  <si>
    <t>PL_ZEWD_1412000755_06</t>
  </si>
  <si>
    <t>Strachomin</t>
  </si>
  <si>
    <t>PL_ZEWD_1412000763_01</t>
  </si>
  <si>
    <t>PL_ZEWD_1412000716_02</t>
  </si>
  <si>
    <t>Transbór</t>
  </si>
  <si>
    <t>PL_ZEWD_1412000759_04</t>
  </si>
  <si>
    <t>PL_ZEWD_1412000758_02</t>
  </si>
  <si>
    <t>PL_ZEWD_1412000757_00</t>
  </si>
  <si>
    <t>Wielgolas</t>
  </si>
  <si>
    <t>PL_ZEWD_1412000756_08</t>
  </si>
  <si>
    <t>PL_ZEWD_1412000754_04</t>
  </si>
  <si>
    <t>PL_ZEWD_1412000749_05</t>
  </si>
  <si>
    <t>PL_ZEWD_1412000750_06</t>
  </si>
  <si>
    <t>PL_ZEWD_1412000748_03</t>
  </si>
  <si>
    <t>PL_ZEWD_1412000751_08</t>
  </si>
  <si>
    <t>PL_ZEWD_1412000752_00</t>
  </si>
  <si>
    <t>Gmina Latowicz</t>
  </si>
  <si>
    <t>Ul. Rynek 6</t>
  </si>
  <si>
    <t>Podskwarne</t>
  </si>
  <si>
    <t>05-319</t>
  </si>
  <si>
    <t>Cegłów</t>
  </si>
  <si>
    <t>49A</t>
  </si>
  <si>
    <t>Podciernie I</t>
  </si>
  <si>
    <t>Podciernie II</t>
  </si>
  <si>
    <t>Posiadały</t>
  </si>
  <si>
    <t>Piaseczno I</t>
  </si>
  <si>
    <t>Piaseczno II</t>
  </si>
  <si>
    <t>Piaseczno</t>
  </si>
  <si>
    <t>Piaseczno III</t>
  </si>
  <si>
    <t>Skupie</t>
  </si>
  <si>
    <t>Wola Stanisławowska</t>
  </si>
  <si>
    <t>Dobrzyckiego Henryka</t>
  </si>
  <si>
    <t>Wólka Wiciejowska</t>
  </si>
  <si>
    <t>Mienia I</t>
  </si>
  <si>
    <t>Mienia</t>
  </si>
  <si>
    <t>Mienia II</t>
  </si>
  <si>
    <t>Mienia III</t>
  </si>
  <si>
    <t>Mienia IV</t>
  </si>
  <si>
    <t>Pełczanka I</t>
  </si>
  <si>
    <t>Pełczanka II</t>
  </si>
  <si>
    <t>Pełczanka III</t>
  </si>
  <si>
    <t>Mienia V</t>
  </si>
  <si>
    <t>Mienia VI</t>
  </si>
  <si>
    <t>Rososz</t>
  </si>
  <si>
    <t>Skwarne</t>
  </si>
  <si>
    <t>Woźbin</t>
  </si>
  <si>
    <t>Wiciejów I</t>
  </si>
  <si>
    <t>Wiciejów II</t>
  </si>
  <si>
    <t>Rudnik</t>
  </si>
  <si>
    <t>Tyborów</t>
  </si>
  <si>
    <t>05-319 Cegłów</t>
  </si>
  <si>
    <t>Numer licznika</t>
  </si>
  <si>
    <t>P</t>
  </si>
  <si>
    <t>Pełczanka</t>
  </si>
  <si>
    <t>Ośw. Ulicz.</t>
  </si>
  <si>
    <t>Sulejówek</t>
  </si>
  <si>
    <t>Kleeberga Franciszka</t>
  </si>
  <si>
    <t>05-070</t>
  </si>
  <si>
    <t>Czynu społecznego/Przejazd</t>
  </si>
  <si>
    <t>Drobiarska</t>
  </si>
  <si>
    <t>Kopernika Mikołaja/Słowackiego</t>
  </si>
  <si>
    <t>Paderewskiego Ignacego/Szczecińska</t>
  </si>
  <si>
    <t>Szosowa/Przybysz.</t>
  </si>
  <si>
    <t>Głowackiego Bartosza</t>
  </si>
  <si>
    <t>Kraszewskiego Ignacego</t>
  </si>
  <si>
    <t>Miedziana/Chopina</t>
  </si>
  <si>
    <t>Głowackiego Bartosza/Niemojews.</t>
  </si>
  <si>
    <t>Głowackiego Bartosza/Świętoch.</t>
  </si>
  <si>
    <t>Głowackiego Bartosza/ Orzeszk.</t>
  </si>
  <si>
    <t>Krakowska Wrocł.</t>
  </si>
  <si>
    <t>Przybyszewska/3-go Maja</t>
  </si>
  <si>
    <t>Tuwima A. Krajowej</t>
  </si>
  <si>
    <t>Cieplaka Niemojew.</t>
  </si>
  <si>
    <t>Armii Krajowej/Rejtana</t>
  </si>
  <si>
    <t>Świętochowskiego A. Łukas.</t>
  </si>
  <si>
    <t>Dąbrowskiego Jarosława/Sejmowa</t>
  </si>
  <si>
    <t>Świętochowskiego A./Mińska</t>
  </si>
  <si>
    <t>3-go Maja/Baryłki</t>
  </si>
  <si>
    <t>Słowackiego Juliusza/Wąska</t>
  </si>
  <si>
    <t>Armii Krajowej/Żelazna</t>
  </si>
  <si>
    <t>Przybyszewskiego St./Tetmajera</t>
  </si>
  <si>
    <t>Armii Krajowej/Klonowej</t>
  </si>
  <si>
    <t>Chopina Fryderyka/Stalowa</t>
  </si>
  <si>
    <t>Lubelska/Sienkiewicza</t>
  </si>
  <si>
    <t>Czynu Społecznego</t>
  </si>
  <si>
    <t>Dworcowa/Żeromskiego</t>
  </si>
  <si>
    <t>Idzikowskiego Ludwika</t>
  </si>
  <si>
    <t>Starych Dębów</t>
  </si>
  <si>
    <t>Reymonta Wł. St.</t>
  </si>
  <si>
    <t>Paderewskiego Ignacego/Krasick.</t>
  </si>
  <si>
    <t>Sobieskiego/Krasickiego</t>
  </si>
  <si>
    <t>Grabskiego Stanisława/ 11 Listopada</t>
  </si>
  <si>
    <t>Reymonta Wł. St./ Dąbrówki</t>
  </si>
  <si>
    <t>Dworcowa/Kościuszki</t>
  </si>
  <si>
    <t>Piękna Paderewsk.</t>
  </si>
  <si>
    <t>Kombatantów/Piłsudskiego</t>
  </si>
  <si>
    <t>Wiejska/Dębowa</t>
  </si>
  <si>
    <t>Reymonta Wł. St./Wrońsk.</t>
  </si>
  <si>
    <t>Kombatantów Ogińskiego</t>
  </si>
  <si>
    <t>Kombatantów/Gdańska</t>
  </si>
  <si>
    <t>Reymonta Wł. St./Gdańska</t>
  </si>
  <si>
    <t>Reymonta Wł. St./Poniat.</t>
  </si>
  <si>
    <t>Reymonta Wł. St./Niemcew.</t>
  </si>
  <si>
    <t>Kombatantów/Niemcew.</t>
  </si>
  <si>
    <t>Paderewskiego Ignacego/Orla</t>
  </si>
  <si>
    <t>Paderewskiego Ignacego/Swiętoj.</t>
  </si>
  <si>
    <t>Reja /Poprzeczna</t>
  </si>
  <si>
    <t>Krakowska/Wilsona</t>
  </si>
  <si>
    <t>Kraszewskiego Ignacego/Koszal.</t>
  </si>
  <si>
    <t>Żeromskiego Stefana Son 2</t>
  </si>
  <si>
    <t>Legionów/11 Listop</t>
  </si>
  <si>
    <t>Sienkiewicza Henryka/11 Listop</t>
  </si>
  <si>
    <t>1 Armii Wojska Polskiego/11 Listop</t>
  </si>
  <si>
    <t>Marczewskiego Jędrzeja/Orla</t>
  </si>
  <si>
    <t>11-go Listopada/Puszkina</t>
  </si>
  <si>
    <t>Puszkina Aleksandra/Grottgera</t>
  </si>
  <si>
    <t>Wspólna R Orlej</t>
  </si>
  <si>
    <t>Poprzeczna/Poniatows</t>
  </si>
  <si>
    <t>Reja Mikołaja/Okuniewsk</t>
  </si>
  <si>
    <t>Kasprowicza Jana/Piaskowa</t>
  </si>
  <si>
    <t>Sobieskiego Jana III</t>
  </si>
  <si>
    <t>Sobieskiego Jana III/Okulick</t>
  </si>
  <si>
    <t>Paderewsk./Okulick</t>
  </si>
  <si>
    <t>Żeromskiego Stefana/Bogusławs</t>
  </si>
  <si>
    <t>11-go Listopada/Kościuszki</t>
  </si>
  <si>
    <t>Żeromskiego Stefana/Moniuszki</t>
  </si>
  <si>
    <t>Kolbe Maksymiliana</t>
  </si>
  <si>
    <t>Krasickiego Janka/Prusa</t>
  </si>
  <si>
    <t>Długa/Jagodowa</t>
  </si>
  <si>
    <t>Sobiesk./Nowotki</t>
  </si>
  <si>
    <t>11-go Listopada/Żurawska</t>
  </si>
  <si>
    <t>Harcerska Kaspr.</t>
  </si>
  <si>
    <t>Legionów</t>
  </si>
  <si>
    <t>Mieszka I/Idzikowsk</t>
  </si>
  <si>
    <t>Piłsudskiego Józefa/Mariańska</t>
  </si>
  <si>
    <t>Piłsudskiego Józefa/Idzikowsk</t>
  </si>
  <si>
    <t>Przejazd/Kolejowa/Okrzei</t>
  </si>
  <si>
    <t>Krzywa/Ratajewo</t>
  </si>
  <si>
    <t>Miłosna-P.K.P. Okrzei</t>
  </si>
  <si>
    <t>Wiejska/Okuniews</t>
  </si>
  <si>
    <t>Przejazdowa R Berlinga</t>
  </si>
  <si>
    <t>Kraszewskiego Ignacego/Zamojska</t>
  </si>
  <si>
    <t>Dąbrowskiego Jarosława/Szosowa</t>
  </si>
  <si>
    <t>Drobiarska/Miodowa</t>
  </si>
  <si>
    <t>Stażyńskiego Stefana vis a vis nr.39</t>
  </si>
  <si>
    <t>Rataja Macieja przy 2A</t>
  </si>
  <si>
    <t>Asfaltowa St.0187</t>
  </si>
  <si>
    <t>Paderewskiego Ignacego</t>
  </si>
  <si>
    <t>Okuniewska</t>
  </si>
  <si>
    <t>Oświetlenie Uliczne</t>
  </si>
  <si>
    <t>Wólka Mlęcka</t>
  </si>
  <si>
    <t>Dobre</t>
  </si>
  <si>
    <t>PL_ZEWD_1412000264_03</t>
  </si>
  <si>
    <t>Gęsianka</t>
  </si>
  <si>
    <t>PL_ZEWD_1412000265_05</t>
  </si>
  <si>
    <t>PL_ZEWD_1412000266_07</t>
  </si>
  <si>
    <t>Mlęcin</t>
  </si>
  <si>
    <t>PL_ZEWD_1412000267_09</t>
  </si>
  <si>
    <t>PL_ZEWD_1412000269_03</t>
  </si>
  <si>
    <t>PL_ZEWD_1412000270_04</t>
  </si>
  <si>
    <t>Walentów</t>
  </si>
  <si>
    <t>PL_ZEWD_1412000303_05</t>
  </si>
  <si>
    <t>PL_ZEWD_1412000304_07</t>
  </si>
  <si>
    <t>Nowa Wieś</t>
  </si>
  <si>
    <t>PL_ZEWD_1412000305_09</t>
  </si>
  <si>
    <t>Marcelin</t>
  </si>
  <si>
    <t>PL_ZEWD_1412000306_01</t>
  </si>
  <si>
    <t>Świdrów</t>
  </si>
  <si>
    <t>PL_ZEWD_1412000307_03</t>
  </si>
  <si>
    <t>PL_ZEWD_1412000309_07</t>
  </si>
  <si>
    <t>PL_ZEWD_1412000310_08</t>
  </si>
  <si>
    <t>Zdrojówki</t>
  </si>
  <si>
    <t>PL_ZEWD_1412000312_02</t>
  </si>
  <si>
    <t>Poręby Nowe</t>
  </si>
  <si>
    <t>PL_ZEWD_1412000313_04</t>
  </si>
  <si>
    <t>PL_ZEWD_1412000314_06</t>
  </si>
  <si>
    <t>III</t>
  </si>
  <si>
    <t>PL_ZEWD_1412000315_08</t>
  </si>
  <si>
    <t>PL_ZEWD_1412000316_00</t>
  </si>
  <si>
    <t>Drop</t>
  </si>
  <si>
    <t>PL_ZEWD_1412000317_02</t>
  </si>
  <si>
    <t>Modecin</t>
  </si>
  <si>
    <t>PL_ZEWD_1412000319_06</t>
  </si>
  <si>
    <t>Rynia</t>
  </si>
  <si>
    <t>PL_ZEWD_1412000321_09</t>
  </si>
  <si>
    <t>PL_ZEWD_1412000262_09</t>
  </si>
  <si>
    <t>PL_ZEWD_1412000263_01</t>
  </si>
  <si>
    <t>PL_ZEWD_1412000323_03</t>
  </si>
  <si>
    <t>Sołki</t>
  </si>
  <si>
    <t>PL_ZEWD_1412000325_07</t>
  </si>
  <si>
    <t>Radoszyna</t>
  </si>
  <si>
    <t>PL_ZEWD_1412000327_01</t>
  </si>
  <si>
    <t>Wólka Kokosia</t>
  </si>
  <si>
    <t>PL_ZEWD_1412000328_03</t>
  </si>
  <si>
    <t>PL_ZEWD_1412000329_05</t>
  </si>
  <si>
    <t>Wólka Kobylańska</t>
  </si>
  <si>
    <t>PL_ZEWD_1412000330_06</t>
  </si>
  <si>
    <t>Joanin</t>
  </si>
  <si>
    <t>PL_ZEWD_1412000331_08</t>
  </si>
  <si>
    <t>PL_ZEWD_1412000332_00</t>
  </si>
  <si>
    <t>PL_ZEWD_1412000333_02</t>
  </si>
  <si>
    <t>Rudno</t>
  </si>
  <si>
    <t>PL_ZEWD_1412000334_04</t>
  </si>
  <si>
    <t>PL_ZEWD_1412000335_06</t>
  </si>
  <si>
    <t>PL_ZEWD_1412000336_08</t>
  </si>
  <si>
    <t>Duchów</t>
  </si>
  <si>
    <t>PL_ZEWD_1412000337_00</t>
  </si>
  <si>
    <t>Osęczyzna</t>
  </si>
  <si>
    <t>PL_ZEWD_1412000338_02</t>
  </si>
  <si>
    <t>Poręby Stare</t>
  </si>
  <si>
    <t>PL_ZEWD_1412000339_04</t>
  </si>
  <si>
    <t>PL_ZEWD_1412000340_05</t>
  </si>
  <si>
    <t>PL_ZEWD_1412000341_07</t>
  </si>
  <si>
    <t>PL_ZEWD_1412000342_09</t>
  </si>
  <si>
    <t>PL_ZEWD_1412000343_01</t>
  </si>
  <si>
    <t>Rakówiec</t>
  </si>
  <si>
    <t>PL_ZEWD_1412000272_08</t>
  </si>
  <si>
    <t>PL_ZEWD_1412000273_00</t>
  </si>
  <si>
    <t>Grabniak</t>
  </si>
  <si>
    <t>PL_ZEWD_1412000274_02</t>
  </si>
  <si>
    <t>Rudzienko</t>
  </si>
  <si>
    <t>PL_ZEWD_1412000275_04</t>
  </si>
  <si>
    <t>PL_ZEWD_1412000276_06</t>
  </si>
  <si>
    <t>PL_ZEWD_1412000277_08</t>
  </si>
  <si>
    <t>Pokrzywnik</t>
  </si>
  <si>
    <t>PL_ZEWD_1412000278_00</t>
  </si>
  <si>
    <t>PL_ZEWD_1412000279_02</t>
  </si>
  <si>
    <t>PL_ZEWD_1412000280_03</t>
  </si>
  <si>
    <t>PL_ZEWD_1412000281_05</t>
  </si>
  <si>
    <t>PL_ZEWD_1412000282_07</t>
  </si>
  <si>
    <t>PL_ZEWD_1412000284_01</t>
  </si>
  <si>
    <t>PL_ZEWD_1412000285_03</t>
  </si>
  <si>
    <t>PL_ZEWD_1412000286_05</t>
  </si>
  <si>
    <t>Targowa</t>
  </si>
  <si>
    <t>Moniuszki</t>
  </si>
  <si>
    <t>PL_ZEWD_1412000287_07</t>
  </si>
  <si>
    <t>PL_ZEWD_1412000288_09</t>
  </si>
  <si>
    <t>PL_ZEWD_1412000289_01</t>
  </si>
  <si>
    <t>Antonina</t>
  </si>
  <si>
    <t>PL_ZEWD_1412000290_02</t>
  </si>
  <si>
    <t>PL_ZEWD_1412000291_04</t>
  </si>
  <si>
    <t>PL_ZEWD_1412000292_06</t>
  </si>
  <si>
    <t>Brzozowica</t>
  </si>
  <si>
    <t>PL_ZEWD_1412000293_08</t>
  </si>
  <si>
    <t>PL_ZEWD_1412000294_00</t>
  </si>
  <si>
    <t>Wólka Czarnogłowska</t>
  </si>
  <si>
    <t>PL_ZEWD_1412000295_02</t>
  </si>
  <si>
    <t>Czarnogłów</t>
  </si>
  <si>
    <t>PL_ZEWD_1412000296_04</t>
  </si>
  <si>
    <t>PL_ZEWD_1412000298_08</t>
  </si>
  <si>
    <t>Głęboczyca</t>
  </si>
  <si>
    <t>PL_ZEWD_1412000299_00</t>
  </si>
  <si>
    <t>PL_ZEWD_1412000300_09</t>
  </si>
  <si>
    <t>Jaczewek</t>
  </si>
  <si>
    <t>PL_ZEWD_1412000301_01</t>
  </si>
  <si>
    <t>Kobylanka</t>
  </si>
  <si>
    <t>PL_ZEWD_1412000302_03</t>
  </si>
  <si>
    <t xml:space="preserve">Rynia </t>
  </si>
  <si>
    <t>PL_ZEWD_1412000823_03</t>
  </si>
  <si>
    <t>Dobrzynieckiego</t>
  </si>
  <si>
    <t>05-307 Dobre</t>
  </si>
  <si>
    <t>OSD PKP Energetyka S.A.</t>
  </si>
  <si>
    <t>Gmina Mrozy</t>
  </si>
  <si>
    <t>Ul. Mickiewicza 35</t>
  </si>
  <si>
    <t>05-320 Mrozy</t>
  </si>
  <si>
    <t xml:space="preserve">Szczegółowy Opis Przedmiotu Zamówienia zawiera informacje dotyczące: </t>
  </si>
  <si>
    <t>Jakubów</t>
  </si>
  <si>
    <t>05-306</t>
  </si>
  <si>
    <t>Budy Kumińskie</t>
  </si>
  <si>
    <t>Góry</t>
  </si>
  <si>
    <t>Jędrzejów Nowy</t>
  </si>
  <si>
    <t>Jędrzejów Stary</t>
  </si>
  <si>
    <t>Mistów</t>
  </si>
  <si>
    <t>Leontyna</t>
  </si>
  <si>
    <t>Brzozówka</t>
  </si>
  <si>
    <t>Przedewsie</t>
  </si>
  <si>
    <t>Izabelin</t>
  </si>
  <si>
    <t>Szczytnik</t>
  </si>
  <si>
    <t>Strzebula</t>
  </si>
  <si>
    <t>Wola Polska</t>
  </si>
  <si>
    <t>Ludwinów</t>
  </si>
  <si>
    <t>Łaziska</t>
  </si>
  <si>
    <t>Aleksandrów</t>
  </si>
  <si>
    <t>Moczydła</t>
  </si>
  <si>
    <t>Rządza</t>
  </si>
  <si>
    <t>Witkowizna</t>
  </si>
  <si>
    <t>Wiśniew</t>
  </si>
  <si>
    <t>Anielinek</t>
  </si>
  <si>
    <t>Turek</t>
  </si>
  <si>
    <t>Nart</t>
  </si>
  <si>
    <t>Moc umowna</t>
  </si>
  <si>
    <t>Nazwa PPE</t>
  </si>
  <si>
    <t>Kałuszyn</t>
  </si>
  <si>
    <t>05-310</t>
  </si>
  <si>
    <t>Mostowa</t>
  </si>
  <si>
    <t>Trzcianka</t>
  </si>
  <si>
    <t>Patok</t>
  </si>
  <si>
    <t>Wojska Polskiego</t>
  </si>
  <si>
    <t>Pocztowa</t>
  </si>
  <si>
    <t>Bohaterów Września 1939r. osiedle 3</t>
  </si>
  <si>
    <t>Podleśna</t>
  </si>
  <si>
    <t>Martyrologii cmentarz</t>
  </si>
  <si>
    <t>Budy Przytockie</t>
  </si>
  <si>
    <t>Chrościce</t>
  </si>
  <si>
    <t>Garczyn Mały</t>
  </si>
  <si>
    <t>Zimnowoda</t>
  </si>
  <si>
    <t>Leonów</t>
  </si>
  <si>
    <t>Olszewice</t>
  </si>
  <si>
    <t>Szymony</t>
  </si>
  <si>
    <t>Przytoka</t>
  </si>
  <si>
    <t>Kazimierzów</t>
  </si>
  <si>
    <t>Żebrówka</t>
  </si>
  <si>
    <t>Wólka Kałuska</t>
  </si>
  <si>
    <t>Wąsy</t>
  </si>
  <si>
    <t>Groszki Stare</t>
  </si>
  <si>
    <t>Groszki Nowe</t>
  </si>
  <si>
    <t xml:space="preserve">Gołębiówka </t>
  </si>
  <si>
    <t>Wity</t>
  </si>
  <si>
    <t>Falbogi</t>
  </si>
  <si>
    <t>Mroczki Duże</t>
  </si>
  <si>
    <t>Milew</t>
  </si>
  <si>
    <t>Piotrowina</t>
  </si>
  <si>
    <t>Sinołęka</t>
  </si>
  <si>
    <t>Garczyn Duży</t>
  </si>
  <si>
    <t>Abramy</t>
  </si>
  <si>
    <t>Ul. Pocztowa 1</t>
  </si>
  <si>
    <t>05-310 Kałuszyn</t>
  </si>
  <si>
    <t>OSD właściwy dla punktów poboru energii Zamawiającego - PGE Dystrybucja S.A.</t>
  </si>
  <si>
    <t>P -</t>
  </si>
  <si>
    <t>pierwsza zmiana Sprzedawcy</t>
  </si>
  <si>
    <t>K -</t>
  </si>
  <si>
    <t>kolejna zmiana Sprzedawcy</t>
  </si>
  <si>
    <t>Prognozowany wolumen zużycia energii elektrycznej czynnej w okresie objetym przedmiotem zamówienia [kWh]</t>
  </si>
  <si>
    <t>szczyt/dzień</t>
  </si>
  <si>
    <t>pozaszczyt/noc</t>
  </si>
  <si>
    <t>Szczegółowy Opis Przedmiotu Zamówienia - Gmina Kałuszyn</t>
  </si>
  <si>
    <t>Numer posesji</t>
  </si>
  <si>
    <t>Prognozowany wolumen zużycia energii elektrycznej czynnej w okresie od 1 stycznia do 31 grudnia [kWh] w podziale na grupy taryfowe (bilans OSD)</t>
  </si>
  <si>
    <t>Prognozowany wolumen zużycia energii elektrycznej czynnej [kWh] w okresie objętym przedmiotem zamówienia (bilans Sprzedawcy)</t>
  </si>
  <si>
    <t xml:space="preserve">całodobowa </t>
  </si>
  <si>
    <t>05-306 Jakubów</t>
  </si>
  <si>
    <t>Prognozowany wolumen zużycia energii elektrycznej w okresie od 1 stycznia do 31 grudnia [kWh] - bilans roczny OSD</t>
  </si>
  <si>
    <t>Prognozowany wolumen zuzycia energii elektrycznej czynnej w okresie objętym przedmiotem zamówienia [kWh] - bilans Sprzedawcy</t>
  </si>
  <si>
    <t>Termin wypowiedzenia umowy kompleksowej</t>
  </si>
  <si>
    <t>zużycie łączne</t>
  </si>
  <si>
    <t>kolejności zmiany sprzedawcy, terminów rozwiązania umów kompleksowych oraz terminów rozpoczęcia sprzedaży wynikających ze skuteczności rozwiązania umów kompleksowych dla PPE Zamawiającego</t>
  </si>
  <si>
    <t>Szczegółowy Opis Przedmiotu Zamówienia - Gmina Jakubów</t>
  </si>
  <si>
    <t>Szczegółowy Opis Przedmiotu Zamówienia - Gmina Dobre</t>
  </si>
  <si>
    <t>Szczegółowy Opis Przedmiotu Zamówienia - Miasto Sulejówek</t>
  </si>
  <si>
    <t>Szczegółowy Opis Przedmiotu Zamówienia - Gmina Cegłów</t>
  </si>
  <si>
    <t>Szczegółowy Opis Przedmiotu Zamówienia - Gmina Latowicz</t>
  </si>
  <si>
    <t>Szczegółowy Opis Przedmiotu Zamówienia - Gmina Siennica</t>
  </si>
  <si>
    <t>Szczegółowy Opis Przedmiotu Zamówienia - Gmina Dębe Wielkie</t>
  </si>
  <si>
    <t>Szczegółowy Opis Przedmiotu Zamówienia - Gmina Halinów</t>
  </si>
  <si>
    <t>Szczegółowy Opis Przedmiotu Zamówienia - Gmina Mińsk Mazowiecki</t>
  </si>
  <si>
    <t>Szczegółowy Opis Przedmiotu Zamówienia - Miasto Mińsk Mazowiecki</t>
  </si>
  <si>
    <t>Szczegółowy Opis Przedmiotu Zamówienia - Gmina Mrozy</t>
  </si>
  <si>
    <t>PGE Dystrybucja S.A.</t>
  </si>
  <si>
    <t>OSD właściwy dla punktów poboru energii Zamawiającego</t>
  </si>
  <si>
    <t>PKP Energetyka S.A.</t>
  </si>
  <si>
    <t>OSD PGE Dystrybucja S.A.</t>
  </si>
  <si>
    <t>Szczegółowy Opis Przedmiotu Zamówienia - Gmina Stanisławów</t>
  </si>
  <si>
    <t>Wólka Czarnińska</t>
  </si>
  <si>
    <t>05-304</t>
  </si>
  <si>
    <t>Stanisławów</t>
  </si>
  <si>
    <t>Ładzyń</t>
  </si>
  <si>
    <t>Wólka Piecząca</t>
  </si>
  <si>
    <t>Papiernia</t>
  </si>
  <si>
    <t>Retków</t>
  </si>
  <si>
    <t>Suchowizna</t>
  </si>
  <si>
    <t>Sokóle</t>
  </si>
  <si>
    <t>Wólka Konstancja</t>
  </si>
  <si>
    <t>Choiny</t>
  </si>
  <si>
    <t>Zawiesiuchy</t>
  </si>
  <si>
    <t>Cisówka</t>
  </si>
  <si>
    <t>Pustelnik</t>
  </si>
  <si>
    <t>Łęka</t>
  </si>
  <si>
    <t>Goździówka</t>
  </si>
  <si>
    <t>Siedlecka</t>
  </si>
  <si>
    <t>Młynarska</t>
  </si>
  <si>
    <t>Skrzyżowanie</t>
  </si>
  <si>
    <t>Mała</t>
  </si>
  <si>
    <t>Łąkowa</t>
  </si>
  <si>
    <t>Kolonie Stanisławów</t>
  </si>
  <si>
    <t>Legacz</t>
  </si>
  <si>
    <t>Porąb</t>
  </si>
  <si>
    <t>Borek Czarniński</t>
  </si>
  <si>
    <t>Szymankowszczyzna</t>
  </si>
  <si>
    <t>Gmina Mrozy ośw. Ul.</t>
  </si>
  <si>
    <t>Skrzeki</t>
  </si>
  <si>
    <t>Oświetlenie boiska sportowego</t>
  </si>
  <si>
    <t>Poniatowskiego</t>
  </si>
  <si>
    <t>dz.611/12</t>
  </si>
  <si>
    <t>PL_ZEWD_1412001152_09</t>
  </si>
  <si>
    <t>PL_ZEWD_1412001136_09</t>
  </si>
  <si>
    <t>PL_ZEWD_1412001184_00</t>
  </si>
  <si>
    <t>PL_ZEWD_1412001298_05</t>
  </si>
  <si>
    <t>PL_ZEWD_1412001236_07</t>
  </si>
  <si>
    <t>PL_ZEWD_1412001197_05</t>
  </si>
  <si>
    <t>PL_ZEWD_1412001211_09</t>
  </si>
  <si>
    <t>PL_ZEWD_1412001173_09</t>
  </si>
  <si>
    <t>PL_ZEWD_1412001225_06</t>
  </si>
  <si>
    <t>PL_ZEWD_1412001204_06</t>
  </si>
  <si>
    <t>PL_ZEWD_1412001181_04</t>
  </si>
  <si>
    <t>PL_ZEWD_1412001195_01</t>
  </si>
  <si>
    <t>PL_ZEWD_1412001242_08</t>
  </si>
  <si>
    <t>PL_ZEWD_1412001175_03</t>
  </si>
  <si>
    <t>PL_ZEWD_1412001183_08</t>
  </si>
  <si>
    <t>PL_ZEWD_1412001223_02</t>
  </si>
  <si>
    <t>PL_ZEWD_1412001199_09</t>
  </si>
  <si>
    <t>PL_ZEWD_1412001177_07</t>
  </si>
  <si>
    <t>PL_ZEWD_1412001179_01</t>
  </si>
  <si>
    <t>PL_ZEWD_1412001216_09</t>
  </si>
  <si>
    <t>PL_ZEWD_1412001215_07</t>
  </si>
  <si>
    <t>PL_ZEWD_1412001229_04</t>
  </si>
  <si>
    <t>PL_ZEWD_1412001194_09</t>
  </si>
  <si>
    <t>PL_ZEWD_1412001196_03</t>
  </si>
  <si>
    <t>PL_ZEWD_1412001218_03</t>
  </si>
  <si>
    <t>PL_ZEWD_1412001219_05</t>
  </si>
  <si>
    <t>PL_ZEWD_1412001178_09</t>
  </si>
  <si>
    <t>PL_ZEWD_1412001171_05</t>
  </si>
  <si>
    <t>PL_ZEWD_1412001185_02</t>
  </si>
  <si>
    <t>PL_ZEWD_1412001176_05</t>
  </si>
  <si>
    <t>PL_ZEWD_1412001224_04</t>
  </si>
  <si>
    <t>PL_ZEWD_1412001144_04</t>
  </si>
  <si>
    <t>PL_ZEWD_1412001159_03</t>
  </si>
  <si>
    <t>PL_ZEWD_1412001163_00</t>
  </si>
  <si>
    <t>PL_ZEWD_1412001138_03</t>
  </si>
  <si>
    <t>PL_ZEWD_1412001143_02</t>
  </si>
  <si>
    <t>PL_ZEWD_1412001213_03</t>
  </si>
  <si>
    <t>PL_ZEWD_1412001140_06</t>
  </si>
  <si>
    <t>PL_ZEWD_1412001142_00</t>
  </si>
  <si>
    <t>PL_ZEWD_1412001147_00</t>
  </si>
  <si>
    <t>PL_ZEWD_1412001166_06</t>
  </si>
  <si>
    <t>PL_ZEWD_1412001167_08</t>
  </si>
  <si>
    <t>PL_ZEWD_1412001168_00</t>
  </si>
  <si>
    <t>PL_ZEWD_1412001151_07</t>
  </si>
  <si>
    <t>PL_ZEWD_1412001158_01</t>
  </si>
  <si>
    <t>PL_ZEWD_1412001131_09</t>
  </si>
  <si>
    <t>PL_ZEWD_1412001154_03</t>
  </si>
  <si>
    <t>PL_ZEWD_1412001226_08</t>
  </si>
  <si>
    <t>PL_ZEWD_1412001206_00</t>
  </si>
  <si>
    <t>PL_ZEWD_1412001201_00</t>
  </si>
  <si>
    <t>PL_ZEWD_1412001221_08</t>
  </si>
  <si>
    <t>PL_ZEWD_1412001124_06</t>
  </si>
  <si>
    <t>PL_ZEWD_1412001125_08</t>
  </si>
  <si>
    <t>PL_ZEWD_1412001214_05</t>
  </si>
  <si>
    <t>PL_ZEWD_1412001170_03</t>
  </si>
  <si>
    <t>PL_ZEWD_1412001210_07</t>
  </si>
  <si>
    <t>PL_ZEWD_1412001193_07</t>
  </si>
  <si>
    <t>PL_ZEWD_1412001174_01</t>
  </si>
  <si>
    <t>PL_ZEWD_1412001234_03</t>
  </si>
  <si>
    <t>PL_ZEWD_1412001227_00</t>
  </si>
  <si>
    <t>PL_ZEWD_1412001203_04</t>
  </si>
  <si>
    <t>PL_ZEWD_1412001228_02</t>
  </si>
  <si>
    <t>PL_ZEWD_1412001230_05</t>
  </si>
  <si>
    <t>PL_ZEWD_1412001220_06</t>
  </si>
  <si>
    <t>PL_ZEWD_1412001208_04</t>
  </si>
  <si>
    <t>PL_ZEWD_1412001180_02</t>
  </si>
  <si>
    <t>PL_ZEWD_1412001239_03</t>
  </si>
  <si>
    <t>PL_ZEWD_1412001241_06</t>
  </si>
  <si>
    <t>PL_ZEWD_1412001237_09</t>
  </si>
  <si>
    <t>PL_ZEWD_1412001209_06</t>
  </si>
  <si>
    <t>PL_ZEWD_1412001207_02</t>
  </si>
  <si>
    <t>PL_ZEWD_1412001189_00</t>
  </si>
  <si>
    <t>PL_ZEWD_1412001188_08</t>
  </si>
  <si>
    <t>PL_ZEWD_1412001231_07</t>
  </si>
  <si>
    <t>PL_ZEWD_1412001186_04</t>
  </si>
  <si>
    <t>PL_ZEWD_1412001233_01</t>
  </si>
  <si>
    <t>PL_ZEWD_1412001240_04</t>
  </si>
  <si>
    <t>PL_ZEWD_1412001172_07</t>
  </si>
  <si>
    <t>PL_ZEWD_1412001212_01</t>
  </si>
  <si>
    <t>PL_ZEWD_1412001217_01</t>
  </si>
  <si>
    <t>PL_ZEWD_1412001238_01</t>
  </si>
  <si>
    <t>PL_ZEWD_1412001169_02</t>
  </si>
  <si>
    <t>PL_ZEWD_1412001205_08</t>
  </si>
  <si>
    <t>PL_ZEWD_1412001222_00</t>
  </si>
  <si>
    <t>PL_ZEWD_1412001235_05</t>
  </si>
  <si>
    <t>PL_ZEWD_1412001232_09</t>
  </si>
  <si>
    <t>PL_ZEWD_1412001182_06</t>
  </si>
  <si>
    <t>PL_ZEWD_1412001191_03</t>
  </si>
  <si>
    <t>PL_ZEWD_1412001190_01</t>
  </si>
  <si>
    <t>PL_ZEWD_1412001160_04</t>
  </si>
  <si>
    <t>PL_ZEWD_1412001145_06</t>
  </si>
  <si>
    <t>PL_ZEWD_1412001164_02</t>
  </si>
  <si>
    <t>PL_ZEWD_1412001134_05</t>
  </si>
  <si>
    <t>PL_ZEWD_1412001135_07</t>
  </si>
  <si>
    <t>PL_ZEWD_1412001149_04</t>
  </si>
  <si>
    <t>PL_ZEWD_1412001161_06</t>
  </si>
  <si>
    <t>PL_ZEWD_1412001156_07</t>
  </si>
  <si>
    <t>PL_ZEWD_1412001165_04</t>
  </si>
  <si>
    <t>PL_ZEWD_1412001153_01</t>
  </si>
  <si>
    <t>PL_ZEWD_1412001162_08</t>
  </si>
  <si>
    <t>PL_ZEWD_1412001133_03</t>
  </si>
  <si>
    <t>PL_ZEWD_1412001148_02</t>
  </si>
  <si>
    <t>PL_ZEWD_1412001157_09</t>
  </si>
  <si>
    <t>PL_ZEWD_1412001139_05</t>
  </si>
  <si>
    <t>PL_ZEWD_1412001146_08</t>
  </si>
  <si>
    <t>PL_ZEWD_1412001192_05</t>
  </si>
  <si>
    <t>PL_ZEWD_1412001198_07</t>
  </si>
  <si>
    <t>PL_ZEWD_1412002216_06</t>
  </si>
  <si>
    <t>PL_ZEWD_1412001942_04</t>
  </si>
  <si>
    <t>PL_ZEWD_1412002049_03</t>
  </si>
  <si>
    <t>PL_ZEWD_1412001930_01</t>
  </si>
  <si>
    <t>PL_ZEWD_1412002047_09</t>
  </si>
  <si>
    <t>PL_ZEWD_1412001918_09</t>
  </si>
  <si>
    <t>PL_ZEWD_1412001949_08</t>
  </si>
  <si>
    <t>PL_ZEWD_1412001915_03</t>
  </si>
  <si>
    <t>PL_ZEWD_1412002048_01</t>
  </si>
  <si>
    <t>PL_ZEWD_1412002027_01</t>
  </si>
  <si>
    <t>PL_ZEWD_1412001921_04</t>
  </si>
  <si>
    <t>PL_ZEWD_1412001957_03</t>
  </si>
  <si>
    <t>PL_ZEWD_1412002055_04</t>
  </si>
  <si>
    <t>PL_ZEWD_1412002041_07</t>
  </si>
  <si>
    <t>PL_ZEWD_1412002025_07</t>
  </si>
  <si>
    <t>PL_ZEWD_1412001943_06</t>
  </si>
  <si>
    <t>PL_ZEWD_1412001951_01</t>
  </si>
  <si>
    <t>PL_ZEWD_1412001939_09</t>
  </si>
  <si>
    <t>PL_ZEWD_1412001926_04</t>
  </si>
  <si>
    <t>PL_ZEWD_1412001931_03</t>
  </si>
  <si>
    <t>PL_ZEWD_1412001950_09</t>
  </si>
  <si>
    <t>PL_ZEWD_1412002017_02</t>
  </si>
  <si>
    <t>PL_ZEWD_1412002035_06</t>
  </si>
  <si>
    <t>PL_ZEWD_1412001922_06</t>
  </si>
  <si>
    <t>PL_ZEWD_1412001935_01</t>
  </si>
  <si>
    <t>PL_ZEWD_1412002028_03</t>
  </si>
  <si>
    <t>PL_ZEWD_1412002022_01</t>
  </si>
  <si>
    <t>PL_ZEWD_1412001933_07</t>
  </si>
  <si>
    <t>PL_ZEWD_1412002033_02</t>
  </si>
  <si>
    <t>PL_ZEWD_1412001917_07</t>
  </si>
  <si>
    <t>PL_ZEWD_1412001925_02</t>
  </si>
  <si>
    <t>PL_ZEWD_1412001932_05</t>
  </si>
  <si>
    <t>PL_ZEWD_1412002044_03</t>
  </si>
  <si>
    <t>PL_ZEWD_1412001929_00</t>
  </si>
  <si>
    <t>PL_ZEWD_1412001938_07</t>
  </si>
  <si>
    <t>PL_ZEWD_1412002016_00</t>
  </si>
  <si>
    <t>PL_ZEWD_1412002024_05</t>
  </si>
  <si>
    <t>PL_ZEWD_1412001908_00</t>
  </si>
  <si>
    <t>PL_ZEWD_1412001954_07</t>
  </si>
  <si>
    <t>PL_ZEWD_1412001946_02</t>
  </si>
  <si>
    <t>PL_ZEWD_1412001945_00</t>
  </si>
  <si>
    <t>PL_ZEWD_1412002053_00</t>
  </si>
  <si>
    <t>PL_ZEWD_1412001953_05</t>
  </si>
  <si>
    <t>PL_ZEWD_1412002031_08</t>
  </si>
  <si>
    <t>PL_ZEWD_1412002036_08</t>
  </si>
  <si>
    <t>PL_ZEWD_1412001911_05</t>
  </si>
  <si>
    <t>PL_ZEWD_1412002034_04</t>
  </si>
  <si>
    <t>PL_ZEWD_1412001919_01</t>
  </si>
  <si>
    <t>PL_ZEWD_1412001936_03</t>
  </si>
  <si>
    <t>PL_ZEWD_1412001916_05</t>
  </si>
  <si>
    <t>PL_ZEWD_1412001920_02</t>
  </si>
  <si>
    <t>PL_ZEWD_1412001910_03</t>
  </si>
  <si>
    <t>PL_ZEWD_1412002045_05</t>
  </si>
  <si>
    <t>PL_ZEWD_1412001924_00</t>
  </si>
  <si>
    <t>PL_ZEWD_1412002029_05</t>
  </si>
  <si>
    <t>PL_ZEWD_1412002014_06</t>
  </si>
  <si>
    <t>PL_ZEWD_1412002042_09</t>
  </si>
  <si>
    <t>PL_ZEWD_1412002052_08</t>
  </si>
  <si>
    <t>PL_ZEWD_1412002015_08</t>
  </si>
  <si>
    <t>PL_ZEWD_1412001956_01</t>
  </si>
  <si>
    <t>PL_ZEWD_1412001944_08</t>
  </si>
  <si>
    <t>PL_ZEWD_1412001952_03</t>
  </si>
  <si>
    <t>PL_ZEWD_1412002023_03</t>
  </si>
  <si>
    <t>PL_ZEWD_1412002057_08</t>
  </si>
  <si>
    <t>PL_ZEWD_1412001940_00</t>
  </si>
  <si>
    <t>PL_ZEWD_1412001934_09</t>
  </si>
  <si>
    <t>PL_ZEWD_1412002012_02</t>
  </si>
  <si>
    <t>PL_ZEWD_1412002043_01</t>
  </si>
  <si>
    <t>PL_ZEWD_1412001937_05</t>
  </si>
  <si>
    <t>PL_ZEWD_1412001927_06</t>
  </si>
  <si>
    <t>PL_ZEWD_1412001907_08</t>
  </si>
  <si>
    <t>PL_ZEWD_1412002026_09</t>
  </si>
  <si>
    <t>PL_ZEWD_1412002050_04</t>
  </si>
  <si>
    <t>PL_ZEWD_1412002038_02</t>
  </si>
  <si>
    <t>PL_ZEWD_1412001993_01</t>
  </si>
  <si>
    <t>PL_ZEWD_1412002046_07</t>
  </si>
  <si>
    <t>PL_ZEWD_1412002020_07</t>
  </si>
  <si>
    <t>PL_ZEWD_1412001986_08</t>
  </si>
  <si>
    <t>PL_ZEWD_1412002054_02</t>
  </si>
  <si>
    <t>PL_ZEWD_1412002056_06</t>
  </si>
  <si>
    <t>PL_ZEWD_1412001914_01</t>
  </si>
  <si>
    <t>PL_ZEWD_1412001955_09</t>
  </si>
  <si>
    <t>PL_ZEWD_1412002010_08</t>
  </si>
  <si>
    <t>PL_ZEWD_1412001913_09</t>
  </si>
  <si>
    <t>PL_ZEWD_1412002040_05</t>
  </si>
  <si>
    <t>PL_ZEWD_1412002032_00</t>
  </si>
  <si>
    <t>PL_ZEWD_1412001948_06</t>
  </si>
  <si>
    <t>PL_ZEWD_1412002030_06</t>
  </si>
  <si>
    <t>PL_ZEWD_1412002037_00</t>
  </si>
  <si>
    <t>PL_ZEWD_1412002018_04</t>
  </si>
  <si>
    <t>PL_ZEWD_1412002058_00</t>
  </si>
  <si>
    <t>PL_ZEWD_1412002003_05</t>
  </si>
  <si>
    <t>PL_ZEWD_1412002008_05</t>
  </si>
  <si>
    <t>PL_ZEWD_1412002005_09</t>
  </si>
  <si>
    <t>PL_ZEWD_1412001995_05</t>
  </si>
  <si>
    <t>PL_ZEWD_1412001985_06</t>
  </si>
  <si>
    <t>PL_ZEWD_1412002039_04</t>
  </si>
  <si>
    <t>PL_ZEWD_1412002001_01</t>
  </si>
  <si>
    <t>PL_ZEWD_1412002019_06</t>
  </si>
  <si>
    <t>PL_ZEWD_1412002060_03</t>
  </si>
  <si>
    <t>PL_ZEWD_1412002061_05</t>
  </si>
  <si>
    <t>PL_ZEWD_1412002062_07</t>
  </si>
  <si>
    <t>PL_ZEWD_1412001958_05</t>
  </si>
  <si>
    <t>PL_ZEWD_1412002021_09</t>
  </si>
  <si>
    <t>PL_ZEWD_1412001989_04</t>
  </si>
  <si>
    <t>PL_ZEWD_1412001909_02</t>
  </si>
  <si>
    <t>PL_ZEWD_1412002013_04</t>
  </si>
  <si>
    <t>PL_ZEWD_1412001941_02</t>
  </si>
  <si>
    <t>PL_ZEWD_1412002051_06</t>
  </si>
  <si>
    <t>PL_ZEWD_1412001912_07</t>
  </si>
  <si>
    <t>PL_ZEWD_1412001923_08</t>
  </si>
  <si>
    <t>PL_ZEWD_1412001997_09</t>
  </si>
  <si>
    <t>PL_ZEWD_1412002011_00</t>
  </si>
  <si>
    <t>PL_ZEWD_1412001928_08</t>
  </si>
  <si>
    <t>PL_ZEWD_1412001947_04</t>
  </si>
  <si>
    <t>Hr. Mariana Starzeńskiego</t>
  </si>
  <si>
    <t>oświetlenie drogowe</t>
  </si>
  <si>
    <t>Kołbielska</t>
  </si>
  <si>
    <t>oświetlenie drogowe rondo Stojadła</t>
  </si>
  <si>
    <t>Termin skutecznego wypowiedzenia umowy kompleksowej</t>
  </si>
  <si>
    <t>Oświetlenie ulic</t>
  </si>
  <si>
    <t>Sokólska</t>
  </si>
  <si>
    <t>PL_ZEWD_1412001400_04</t>
  </si>
  <si>
    <t>PL_ZEWD_1412000255_06</t>
  </si>
  <si>
    <t>11-go Listopada/Orla p1</t>
  </si>
  <si>
    <t>Marczewskiego Jędrzeja/Orla p2</t>
  </si>
  <si>
    <t>Dworcowa/Krucza p1</t>
  </si>
  <si>
    <t>Plater Emilii/Okuniewsk p2</t>
  </si>
  <si>
    <t>Grabskiego Stanisława/Kruczkows p3</t>
  </si>
  <si>
    <t>Szkolna/Kruczkows p4</t>
  </si>
  <si>
    <t>Świętojańska/Wspólna p6</t>
  </si>
  <si>
    <t>Piaskowa p5</t>
  </si>
  <si>
    <t>Kędzierak</t>
  </si>
  <si>
    <t>Nr</t>
  </si>
  <si>
    <t>Stara Wieś</t>
  </si>
  <si>
    <t>PL_ZEWD_1412000150_08</t>
  </si>
  <si>
    <t>PL_ZEWD_1412000126_03</t>
  </si>
  <si>
    <t>Kąty</t>
  </si>
  <si>
    <t>PL_ZEWD_1412000158_04</t>
  </si>
  <si>
    <t>Tadeusza Kościuszki</t>
  </si>
  <si>
    <t>Dąbrówka II</t>
  </si>
  <si>
    <t>Dąbrówka I</t>
  </si>
  <si>
    <t>Juliusza Słowackiego</t>
  </si>
  <si>
    <t>2 2</t>
  </si>
  <si>
    <t>PL_ZEWD_1412001368_06</t>
  </si>
  <si>
    <t>PL_ZEWD_1412001390_07</t>
  </si>
  <si>
    <t>PL_ZEWD_1412001369_08</t>
  </si>
  <si>
    <t>PL_ZEWD_1412001322_08</t>
  </si>
  <si>
    <t>PL_ZEWD_1412001352_05</t>
  </si>
  <si>
    <t>PL_ZEWD_1412001427_06</t>
  </si>
  <si>
    <t>PL_ZEWD_1412001329_02</t>
  </si>
  <si>
    <t>PL_ZEWD_1412001426_04</t>
  </si>
  <si>
    <t>PL_ZEWD_1412001324_02</t>
  </si>
  <si>
    <t>PL_ZEWD_1412001346_04</t>
  </si>
  <si>
    <t>PL_ZEWD_1412001349_00</t>
  </si>
  <si>
    <t>PL_ZEWD_1412001348_08</t>
  </si>
  <si>
    <t>PL_ZEWD_1412001344_00</t>
  </si>
  <si>
    <t>PL_ZEWD_1412001339_01</t>
  </si>
  <si>
    <t>PL_ZEWD_1412001326_06</t>
  </si>
  <si>
    <t>PL_ZEWD_1412001340_02</t>
  </si>
  <si>
    <t>PL_ZEWD_1412001357_05</t>
  </si>
  <si>
    <t>PL_ZEWD_1412001343_08</t>
  </si>
  <si>
    <t>PL_ZEWD_1412001338_09</t>
  </si>
  <si>
    <t>PL_ZEWD_1412001353_07</t>
  </si>
  <si>
    <t>PL_ZEWD_1412001351_03</t>
  </si>
  <si>
    <t>PL_ZEWD_1412001347_06</t>
  </si>
  <si>
    <t>PL_ZEWD_1412001318_01</t>
  </si>
  <si>
    <t>PL_ZEWD_1412001312_09</t>
  </si>
  <si>
    <t>PL_ZEWD_1412001358_07</t>
  </si>
  <si>
    <t>PL_ZEWD_1412001314_03</t>
  </si>
  <si>
    <t>PL_ZEWD_1412001336_05</t>
  </si>
  <si>
    <t>PL_ZEWD_1412001321_06</t>
  </si>
  <si>
    <t>PL_ZEWD_1412001356_03</t>
  </si>
  <si>
    <t>Gmina Jakubów</t>
  </si>
  <si>
    <t>PL_ZEWD_1412001311_07</t>
  </si>
  <si>
    <t>PL_ZEWD_1412001319_03</t>
  </si>
  <si>
    <t>PL_ZEWD_1412001342_06</t>
  </si>
  <si>
    <t>PL_ZEWD_1412001323_00</t>
  </si>
  <si>
    <t>PL_ZEWD_1412001333_09</t>
  </si>
  <si>
    <t>PL_ZEWD_1412001315_05</t>
  </si>
  <si>
    <t>PL_ZEWD_1412001335_03</t>
  </si>
  <si>
    <t>PL_ZEWD_1412001365_00</t>
  </si>
  <si>
    <t>PL_ZEWD_1412001317_09</t>
  </si>
  <si>
    <t>PL_ZEWD_1412001308_02</t>
  </si>
  <si>
    <t>PL_ZEWD_1412001328_00</t>
  </si>
  <si>
    <t>PL_ZEWD_1412001334_01</t>
  </si>
  <si>
    <t>PL_ZEWD_1412001320_04</t>
  </si>
  <si>
    <t>PL_ZEWD_1412001330_03</t>
  </si>
  <si>
    <t>PL_ZEWD_1412001309_04</t>
  </si>
  <si>
    <t>PL_ZEWD_1412001327_08</t>
  </si>
  <si>
    <t>PL_ZEWD_1412001325_04</t>
  </si>
  <si>
    <t>PL_ZEWD_1412001313_01</t>
  </si>
  <si>
    <t>PL_ZEWD_1412001316_07</t>
  </si>
  <si>
    <t>PL_ZEWD_1412001332_07</t>
  </si>
  <si>
    <t>PL_ZEWD_1412001310_05</t>
  </si>
  <si>
    <t>PL_ZEWD_1412001350_01</t>
  </si>
  <si>
    <t>PL_ZEWD_1412001341_04</t>
  </si>
  <si>
    <t>PL_ZEWD_1412001331_05</t>
  </si>
  <si>
    <t>PL_ZEWD_1412001429_00</t>
  </si>
  <si>
    <t>Numer</t>
  </si>
  <si>
    <t>Skrzyneckiego</t>
  </si>
  <si>
    <t>Paderewskiego</t>
  </si>
  <si>
    <t>Ruda-Pniewnik</t>
  </si>
  <si>
    <t>Kąty-Borucza</t>
  </si>
  <si>
    <t>Gmina Dobre</t>
  </si>
  <si>
    <t>ul. Kościuszki 1</t>
  </si>
  <si>
    <t>PL_ZEWD_1412001061_08</t>
  </si>
  <si>
    <t>PL_ZEWD_1412001059_05</t>
  </si>
  <si>
    <t>PL_ZEWD_1412001037_03</t>
  </si>
  <si>
    <t>PL_ZEWD_1412001047_02</t>
  </si>
  <si>
    <t>PL_ZEWD_1412001053_03</t>
  </si>
  <si>
    <t>PL_ZEWD_1412001063_02</t>
  </si>
  <si>
    <t>PL_ZEWD_1412001056_09</t>
  </si>
  <si>
    <t>PL_ZEWD_1412001045_08</t>
  </si>
  <si>
    <t>PL_ZEWD_1412001069_04</t>
  </si>
  <si>
    <t>PL_ZEWD_1412001067_00</t>
  </si>
  <si>
    <t>PL_ZEWD_1412001088_00</t>
  </si>
  <si>
    <t>PL_ZEWD_1412001087_08</t>
  </si>
  <si>
    <t>PL_ZEWD_1412001051_09</t>
  </si>
  <si>
    <t>PL_ZEWD_1412001068_02</t>
  </si>
  <si>
    <t>PL_ZEWD_1412001064_04</t>
  </si>
  <si>
    <t>PL_ZEWD_1412001062_00</t>
  </si>
  <si>
    <t>PL_ZEWD_1412001019_09</t>
  </si>
  <si>
    <t>PL_ZEWD_1412001257_07</t>
  </si>
  <si>
    <t>PL_ZEWD_1412001039_07</t>
  </si>
  <si>
    <t>PL_ZEWD_1412001034_07</t>
  </si>
  <si>
    <t>PL_ZEWD_1412001081_06</t>
  </si>
  <si>
    <t>Mały Stanisławów</t>
  </si>
  <si>
    <t>PL_ZEWD_1412001050_07</t>
  </si>
  <si>
    <t>PL_ZEWD_1412001055_07</t>
  </si>
  <si>
    <t>PL_ZEWD_1412001070_05</t>
  </si>
  <si>
    <t>PL_ZEWD_1412001057_01</t>
  </si>
  <si>
    <t>PL_ZEWD_1412001032_03</t>
  </si>
  <si>
    <t>PL_ZEWD_1412001029_08</t>
  </si>
  <si>
    <t>PL_ZEWD_1412001036_01</t>
  </si>
  <si>
    <t>Czarna</t>
  </si>
  <si>
    <t>PL_ZEWD_1412001071_07</t>
  </si>
  <si>
    <t>PL_ZEWD_1412001030_09</t>
  </si>
  <si>
    <t>PL_ZEWD_1412001490_05</t>
  </si>
  <si>
    <t>PL_ZEWD_1412001028_06</t>
  </si>
  <si>
    <t>PL_ZEWD_1412001027_04</t>
  </si>
  <si>
    <t>PL_ZEWD_1412001085_04</t>
  </si>
  <si>
    <t>PL_ZEWD_1412001078_01</t>
  </si>
  <si>
    <t>PL_ZEWD_1412001038_05</t>
  </si>
  <si>
    <t>PL_ZEWD_1412001049_06</t>
  </si>
  <si>
    <t>PL_ZEWD_1412001065_06</t>
  </si>
  <si>
    <t>PL_ZEWD_1412001044_06</t>
  </si>
  <si>
    <t>PL_ZEWD_1412001083_00</t>
  </si>
  <si>
    <t>PL_ZEWD_1412001040_08</t>
  </si>
  <si>
    <t>Prądzewo-Kopaczewo</t>
  </si>
  <si>
    <t>PL_ZEWD_1412001046_00</t>
  </si>
  <si>
    <t>PL_ZEWD_1412001054_05</t>
  </si>
  <si>
    <t>PL_ZEWD_1412001042_02</t>
  </si>
  <si>
    <t>PL_ZEWD_1412001041_00</t>
  </si>
  <si>
    <t>PL_ZEWD_1412001043_04</t>
  </si>
  <si>
    <t>PL_ZEWD_1412001031_01</t>
  </si>
  <si>
    <t>PL_ZEWD_1412001033_05</t>
  </si>
  <si>
    <t>PL_ZEWD_1412001077_09</t>
  </si>
  <si>
    <t>PL_ZEWD_1412001072_09</t>
  </si>
  <si>
    <t>PL_ZEWD_1412001060_06</t>
  </si>
  <si>
    <t>PL_ZEWD_1412001076_07</t>
  </si>
  <si>
    <t>PL_ZEWD_1412001035_09</t>
  </si>
  <si>
    <t>PL_ZEWD_1412001022_04</t>
  </si>
  <si>
    <t>Kolonie Stanisaławów</t>
  </si>
  <si>
    <t>Stefana Okrzei</t>
  </si>
  <si>
    <t>Stefana Kardynała Wyszyńskiego</t>
  </si>
  <si>
    <t>Stanisława Brzóski</t>
  </si>
  <si>
    <t>Małopolska</t>
  </si>
  <si>
    <t>Franciszka Żwirki</t>
  </si>
  <si>
    <t>Adama Mickiewicza</t>
  </si>
  <si>
    <t>Marii Grochowskiej</t>
  </si>
  <si>
    <t>Józefa Mireckiego</t>
  </si>
  <si>
    <t>Mariana Langiewicza</t>
  </si>
  <si>
    <t>Bolesława Limanowskiego</t>
  </si>
  <si>
    <t>Szarych Szeregów</t>
  </si>
  <si>
    <t>Zygmunta Kazikowskiego</t>
  </si>
  <si>
    <t>Marii Konopnickiej</t>
  </si>
  <si>
    <t>Ignacego Krasickiego</t>
  </si>
  <si>
    <t>Mikołaja Kopernika</t>
  </si>
  <si>
    <t>gen. Kazimierza Sosnkowskiego</t>
  </si>
  <si>
    <t>por. Władysława Klimaszewskiego</t>
  </si>
  <si>
    <t>Marcina Borelowskiego</t>
  </si>
  <si>
    <t>Jana Łupińskiego</t>
  </si>
  <si>
    <t>Kiczki Pierwsze</t>
  </si>
  <si>
    <t>PL_ZEWD_1412000480_09</t>
  </si>
  <si>
    <t>PL_ZEWD_1412000482_03</t>
  </si>
  <si>
    <t>PL_ZEWD_1412002148_09</t>
  </si>
  <si>
    <t>PL_ZEWD_1412000487_03</t>
  </si>
  <si>
    <t>Huta Kuflewska</t>
  </si>
  <si>
    <t>PL_ZEWD_1412000488_05</t>
  </si>
  <si>
    <t>PL_ZEWD_1412000489_07</t>
  </si>
  <si>
    <t>PL_ZEWD_1412000490_08</t>
  </si>
  <si>
    <t>PL_ZEWD_1412000491_00</t>
  </si>
  <si>
    <t>PL_ZEWD_1412000478_06</t>
  </si>
  <si>
    <t>PL_ZEWD_1412000479_08</t>
  </si>
  <si>
    <t>Kiczki Pierwsze I</t>
  </si>
  <si>
    <t>PL_ZEWD_1412000481_01</t>
  </si>
  <si>
    <t>Kiczki Drugie II</t>
  </si>
  <si>
    <t>PL_ZEWD_1412000483_05</t>
  </si>
  <si>
    <t>PL_ZEWD_1412000484_07</t>
  </si>
  <si>
    <t>PL_ZEWD_1412000485_09</t>
  </si>
  <si>
    <t>PL_ZEWD_1412000486_01</t>
  </si>
  <si>
    <t>PL_ZEWD_1412000517_08</t>
  </si>
  <si>
    <t>PL_ZEWD_1412000492_02</t>
  </si>
  <si>
    <t>PL_ZEWD_1412000493_04</t>
  </si>
  <si>
    <t>PL_ZEWD_1412000494_06</t>
  </si>
  <si>
    <t>PL_ZEWD_1412000495_08</t>
  </si>
  <si>
    <t>PL_ZEWD_1412000496_00</t>
  </si>
  <si>
    <t>PL_ZEWD_1412000497_02</t>
  </si>
  <si>
    <t>PL_ZEWD_1412000498_04</t>
  </si>
  <si>
    <t>Partyzantów</t>
  </si>
  <si>
    <t>PL_ZEWD_1412000499_06</t>
  </si>
  <si>
    <t>Willowa</t>
  </si>
  <si>
    <t>PL_ZEWD_1412000500_05</t>
  </si>
  <si>
    <t>Henryka Sienkiewicza</t>
  </si>
  <si>
    <t>PL_ZEWD_1412000501_07</t>
  </si>
  <si>
    <t>Bolesława Prusa</t>
  </si>
  <si>
    <t>PL_ZEWD_1412000502_09</t>
  </si>
  <si>
    <t>PL_ZEWD_1412000503_01</t>
  </si>
  <si>
    <t>Józefa Piłsudskiego</t>
  </si>
  <si>
    <t>PL_ZEWD_1412000504_03</t>
  </si>
  <si>
    <t>PL_ZEWD_1412000505_05</t>
  </si>
  <si>
    <t>PL_ZEWD_1412000506_07</t>
  </si>
  <si>
    <t>PL_ZEWD_1412000507_09</t>
  </si>
  <si>
    <t>PL_ZEWD_1412000508_01</t>
  </si>
  <si>
    <t>PL_ZEWD_1412000509_03</t>
  </si>
  <si>
    <t>PL_ZEWD_1412000510_04</t>
  </si>
  <si>
    <t>PL_ZEWD_1412000511_06</t>
  </si>
  <si>
    <t>PL_ZEWD_1412000512_08</t>
  </si>
  <si>
    <t>PL_ZEWD_1412000513_00</t>
  </si>
  <si>
    <t>PL_ZEWD_1412000514_02</t>
  </si>
  <si>
    <t>PL_ZEWD_1412000515_04</t>
  </si>
  <si>
    <t>PL_ZEWD_1412000516_06</t>
  </si>
  <si>
    <t>PL_ZEWD_1412000518_00</t>
  </si>
  <si>
    <t>PL_ZEWD_1412000519_02</t>
  </si>
  <si>
    <t>PL_ZEWD_1412000520_03</t>
  </si>
  <si>
    <t>PL_ZEWD_1412000521_05</t>
  </si>
  <si>
    <t>PL_ZEWD_1412000522_07</t>
  </si>
  <si>
    <t>PL_ZEWD_1412000523_09</t>
  </si>
  <si>
    <t>PL_ZEWD_1412000527_07</t>
  </si>
  <si>
    <t>PL_ZEWD_1412000524_01</t>
  </si>
  <si>
    <t>PL_ZEWD_1412000525_03</t>
  </si>
  <si>
    <t>PL_ZEWD_1412000526_05</t>
  </si>
  <si>
    <t>Tymoteuszew</t>
  </si>
  <si>
    <t>Teodora Dunina</t>
  </si>
  <si>
    <t>Natolin</t>
  </si>
  <si>
    <t>PL_ZEWD_1412001123_04</t>
  </si>
  <si>
    <t>PL_ZEWD_1412002102_01</t>
  </si>
  <si>
    <t>Wola Rafałowska</t>
  </si>
  <si>
    <t>Sielska</t>
  </si>
  <si>
    <t>PL_ZEWD_1412002103_03</t>
  </si>
  <si>
    <t>22 I</t>
  </si>
  <si>
    <t>Łukówiec</t>
  </si>
  <si>
    <t>PL_ZEWD_1412001476_09</t>
  </si>
  <si>
    <t>PL_ZEWD_1412001445_00</t>
  </si>
  <si>
    <t>PL_ZEWD_1412001447_04</t>
  </si>
  <si>
    <t>PL_ZEWD_1412001448_06</t>
  </si>
  <si>
    <t>PL_ZEWD_1412001477_01</t>
  </si>
  <si>
    <t>PL_ZEWD_1412001479_05</t>
  </si>
  <si>
    <t>PL_ZEWD_1412001501_04</t>
  </si>
  <si>
    <t>PL_ZEWD_1412001480_06</t>
  </si>
  <si>
    <t>PL_ZEWD_1412001521_02</t>
  </si>
  <si>
    <t>PL_ZEWD_1412001516_03</t>
  </si>
  <si>
    <t>PL_ZEWD_1412001617_03</t>
  </si>
  <si>
    <t>PL_ZEWD_1412001522_04</t>
  </si>
  <si>
    <t>PL_ZEWD_1412001456_01</t>
  </si>
  <si>
    <t>PL_ZEWD_1412001553_03</t>
  </si>
  <si>
    <t>PL_ZEWD_1412001559_05</t>
  </si>
  <si>
    <t>PL_ZEWD_1412001561_08</t>
  </si>
  <si>
    <t>PL_ZEWD_1412001623_04</t>
  </si>
  <si>
    <t>PL_ZEWD_1412001552_01</t>
  </si>
  <si>
    <t>PL_ZEWD_1412001564_04</t>
  </si>
  <si>
    <t>PL_ZEWD_1412001562_00</t>
  </si>
  <si>
    <t>PL_ZEWD_1412001557_01</t>
  </si>
  <si>
    <t>PL_ZEWD_1412001611_01</t>
  </si>
  <si>
    <t>PL_ZEWD_1412001573_01</t>
  </si>
  <si>
    <t>PL_ZEWD_1412001622_02</t>
  </si>
  <si>
    <t>PL_ZEWD_1412001616_01</t>
  </si>
  <si>
    <t>PL_ZEWD_1412001620_08</t>
  </si>
  <si>
    <t>PL_ZEWD_1412001614_07</t>
  </si>
  <si>
    <t>PL_ZEWD_1412001621_00</t>
  </si>
  <si>
    <t>PL_ZEWD_1412001565_06</t>
  </si>
  <si>
    <t>PL_ZEWD_1412001558_03</t>
  </si>
  <si>
    <t>PL_ZEWD_1412001578_01</t>
  </si>
  <si>
    <t>PL_ZEWD_1412001577_09</t>
  </si>
  <si>
    <t>PL_ZEWD_1412001576_07</t>
  </si>
  <si>
    <t>PL_ZEWD_1412001624_06</t>
  </si>
  <si>
    <t>PL_ZEWD_1412001598_09</t>
  </si>
  <si>
    <t>PL_ZEWD_1412001575_05</t>
  </si>
  <si>
    <t>PL_ZEWD_1412001563_02</t>
  </si>
  <si>
    <t>PL_ZEWD_1412001572_09</t>
  </si>
  <si>
    <t>PL_ZEWD_1412001606_02</t>
  </si>
  <si>
    <t>PL_ZEWD_1412001604_08</t>
  </si>
  <si>
    <t>PL_ZEWD_1412001551_09</t>
  </si>
  <si>
    <t>PL_ZEWD_1412001607_04</t>
  </si>
  <si>
    <t>PL_ZEWD_1412001457_03</t>
  </si>
  <si>
    <t>PL_ZEWD_1412001615_09</t>
  </si>
  <si>
    <t>PL_ZEWD_1412001773_07</t>
  </si>
  <si>
    <t>PL_ZEWD_1412001739_03</t>
  </si>
  <si>
    <t>PL_ZEWD_1412001792_03</t>
  </si>
  <si>
    <t>PL_ZEWD_1412001781_02</t>
  </si>
  <si>
    <t>PL_ZEWD_1412001772_05</t>
  </si>
  <si>
    <t>PL_ZEWD_1412001799_07</t>
  </si>
  <si>
    <t>PL_ZEWD_1412001743_00</t>
  </si>
  <si>
    <t>PL_ZEWD_1412001780_00</t>
  </si>
  <si>
    <t>PL_ZEWD_1412001745_04</t>
  </si>
  <si>
    <t>PL_ZEWD_1412002087_05</t>
  </si>
  <si>
    <t>PL_ZEWD_1412001744_02</t>
  </si>
  <si>
    <t>PL_ZEWD_1412001760_02</t>
  </si>
  <si>
    <t>PL_ZEWD_1412001738_01</t>
  </si>
  <si>
    <t>PL_ZEWD_1412001747_08</t>
  </si>
  <si>
    <t>PL_ZEWD_1412001786_02</t>
  </si>
  <si>
    <t>PL_ZEWD_1412001741_06</t>
  </si>
  <si>
    <t>PL_ZEWD_1412001728_02</t>
  </si>
  <si>
    <t>PL_ZEWD_1412001721_08</t>
  </si>
  <si>
    <t>PL_ZEWD_1412001715_07</t>
  </si>
  <si>
    <t>PL_ZEWD_1412001736_07</t>
  </si>
  <si>
    <t>PL_ZEWD_1412001725_06</t>
  </si>
  <si>
    <t>PL_ZEWD_1412001724_04</t>
  </si>
  <si>
    <t>PL_ZEWD_1412001716_09</t>
  </si>
  <si>
    <t>PL_ZEWD_1412001723_02</t>
  </si>
  <si>
    <t>PL_ZEWD_1412001718_03</t>
  </si>
  <si>
    <t>PL_ZEWD_1412001733_01</t>
  </si>
  <si>
    <t>PL_ZEWD_1412001731_07</t>
  </si>
  <si>
    <t>PL_ZEWD_1412001713_03</t>
  </si>
  <si>
    <t>PL_ZEWD_1412001717_01</t>
  </si>
  <si>
    <t>PL_ZEWD_1412001726_08</t>
  </si>
  <si>
    <t>PL_ZEWD_1412001730_05</t>
  </si>
  <si>
    <t>PL_ZEWD_1412001729_04</t>
  </si>
  <si>
    <t>PL_ZEWD_1412001714_05</t>
  </si>
  <si>
    <t>PL_ZEWD_1412001735_05</t>
  </si>
  <si>
    <t>PL_ZEWD_1412001734_03</t>
  </si>
  <si>
    <t>PL_ZEWD_1412001737_09</t>
  </si>
  <si>
    <t>PL_ZEWD_1412001712_01</t>
  </si>
  <si>
    <t>PL_ZEWD_1412001732_09</t>
  </si>
  <si>
    <t>PL_ZEWD_1412001727_00</t>
  </si>
  <si>
    <t>PL_ZEWD_1412001722_00</t>
  </si>
  <si>
    <t>PL_ZEWD_1412001711_09</t>
  </si>
  <si>
    <t>PL_ZEWD_1412001763_08</t>
  </si>
  <si>
    <t>PL_ZEWD_1412001746_06</t>
  </si>
  <si>
    <t>PL_ZEWD_1412001784_08</t>
  </si>
  <si>
    <t>PL_ZEWD_1412001797_03</t>
  </si>
  <si>
    <t>PL_ZEWD_1412001770_01</t>
  </si>
  <si>
    <t>PL_ZEWD_1412001757_07</t>
  </si>
  <si>
    <t>PL_ZEWD_1412002088_07</t>
  </si>
  <si>
    <t>PL_ZEWD_1412001740_04</t>
  </si>
  <si>
    <t>PL_ZEWD_1412001779_09</t>
  </si>
  <si>
    <t>PL_ZEWD_1412002133_00</t>
  </si>
  <si>
    <t>PL_ZEWD_1412002092_04</t>
  </si>
  <si>
    <t>PL_ZEWD_1412001758_09</t>
  </si>
  <si>
    <t>PL_ZEWD_1412001769_00</t>
  </si>
  <si>
    <t>PL_ZEWD_1412001774_09</t>
  </si>
  <si>
    <t>PL_ZEWD_1412001802_00</t>
  </si>
  <si>
    <t>PL_ZEWD_1412001742_08</t>
  </si>
  <si>
    <t>PL_ZEWD_1412001768_08</t>
  </si>
  <si>
    <t>PL_ZEWD_1412001798_05</t>
  </si>
  <si>
    <t>PL_ZEWD_1412001764_00</t>
  </si>
  <si>
    <t>PL_ZEWD_1412001759_01</t>
  </si>
  <si>
    <t>PL_ZEWD_1412001790_09</t>
  </si>
  <si>
    <t>PL_ZEWD_1412001782_04</t>
  </si>
  <si>
    <t>PL_ZEWD_1412001752_07</t>
  </si>
  <si>
    <t>PL_ZEWD_1412001720_06</t>
  </si>
  <si>
    <t>PL_ZEWD_1412001755_03</t>
  </si>
  <si>
    <t>PL_ZEWD_1412001793_05</t>
  </si>
  <si>
    <t>PL_ZEWD_1412001787_04</t>
  </si>
  <si>
    <t>PL_ZEWD_1412001719_05</t>
  </si>
  <si>
    <t>Królewska</t>
  </si>
  <si>
    <t>PL_ZEWD_1412001794_07</t>
  </si>
  <si>
    <t>PL_ZEWD_1412001754_01</t>
  </si>
  <si>
    <t>PL_ZEWD_1412001762_06</t>
  </si>
  <si>
    <t>PL_ZEWD_1412001753_09</t>
  </si>
  <si>
    <t>PL_ZEWD_1412002271_00</t>
  </si>
  <si>
    <t>PL_ZEWD_1412001776_03</t>
  </si>
  <si>
    <t>PL_ZEWD_1412001796_01</t>
  </si>
  <si>
    <t>PL_ZEWD_1412001785_00</t>
  </si>
  <si>
    <t>PL_ZEWD_1412001775_01</t>
  </si>
  <si>
    <t>Morelowa</t>
  </si>
  <si>
    <t>PL_ZEWD_1412002071_04</t>
  </si>
  <si>
    <t>PL_ZEWD_1412002072_06</t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</si>
  <si>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2"/>
      </rPr>
      <t>Bilans Sprzedawcy</t>
    </r>
    <r>
      <rPr>
        <sz val="12"/>
        <color indexed="8"/>
        <rFont val="Czcionka tekstu podstawowego"/>
        <family val="2"/>
      </rPr>
      <t>)</t>
    </r>
  </si>
  <si>
    <t>NIP</t>
  </si>
  <si>
    <t>Powstania Styczniowego/ Mickiew.</t>
  </si>
  <si>
    <t>kolejności zmiany sprzedawcy</t>
  </si>
  <si>
    <t>Miasto Sulejówek</t>
  </si>
  <si>
    <t>05-070 Sulejówek</t>
  </si>
  <si>
    <t>Dźwigowa</t>
  </si>
  <si>
    <t>dz.4004/35</t>
  </si>
  <si>
    <t>NIP:</t>
  </si>
  <si>
    <t>Gmina Stanisławów</t>
  </si>
  <si>
    <t>ul. Rynek 32</t>
  </si>
  <si>
    <t>05-304 Stanisławów</t>
  </si>
  <si>
    <t>URD:</t>
  </si>
  <si>
    <t>GMMR_D02_O_00000242</t>
  </si>
  <si>
    <t>PL_ZEWD_1412002488_09</t>
  </si>
  <si>
    <t>Kąty Goździejewskie Pierwsze</t>
  </si>
  <si>
    <t>PL_ZEWD_1412002444_05</t>
  </si>
  <si>
    <t>PL_ZEWD_1412002543_01</t>
  </si>
  <si>
    <t>Janusza Korczaka</t>
  </si>
  <si>
    <t>PL_ZEWD_1412002546_07</t>
  </si>
  <si>
    <t>PL_ZEWD_1412002541_07</t>
  </si>
  <si>
    <t>Choszczówka Stojecka</t>
  </si>
  <si>
    <t>Choszczówka Dębska</t>
  </si>
  <si>
    <t>PL_ZEWD_1412002545_05</t>
  </si>
  <si>
    <t>PL_ZEWD_1412002542_09</t>
  </si>
  <si>
    <t>PL_ZEWD_1412002544_03</t>
  </si>
  <si>
    <t>Ostrów- Kania</t>
  </si>
  <si>
    <t>Gorzanka</t>
  </si>
  <si>
    <t>dz.557</t>
  </si>
  <si>
    <t>dz.289/1</t>
  </si>
  <si>
    <t>GMIN_ZEWD_O_00017</t>
  </si>
  <si>
    <t>Kazimierza i Hipolity Gnoińskich</t>
  </si>
  <si>
    <t>GMIN_ZEWD_O_00099</t>
  </si>
  <si>
    <t>PL_ZEWD_1412002443_03</t>
  </si>
  <si>
    <t>PL_ZEWD_1412002445_07</t>
  </si>
  <si>
    <t>Wesoła</t>
  </si>
  <si>
    <t>Boisko</t>
  </si>
  <si>
    <t>Wiatraczna</t>
  </si>
  <si>
    <t>Brzezińska</t>
  </si>
  <si>
    <t>Polna/Jaśminowa</t>
  </si>
  <si>
    <t>Sportowa</t>
  </si>
  <si>
    <t>PGR</t>
  </si>
  <si>
    <t xml:space="preserve">Choiny </t>
  </si>
  <si>
    <t>PL_ZEWD_1412001084_02</t>
  </si>
  <si>
    <t>PL_ZEWD_1412001058_03</t>
  </si>
  <si>
    <t>PL_ZEWD_1412002509_07</t>
  </si>
  <si>
    <t>PL_ZEWD_1412001073_01</t>
  </si>
  <si>
    <t>PL_ZEWD_1412002514_06</t>
  </si>
  <si>
    <t>PL_ZEWD_1412002511_00</t>
  </si>
  <si>
    <t>PL_ZEWD_1412002508_05</t>
  </si>
  <si>
    <t>GMIN_ZEWD_O_00038</t>
  </si>
  <si>
    <t>Ciopan</t>
  </si>
  <si>
    <t>Antoniego Kuźniarskiego</t>
  </si>
  <si>
    <t>GMIN_ZEWD_O_00018</t>
  </si>
  <si>
    <t>UGDO_D0_O_00000205</t>
  </si>
  <si>
    <t>Rąbierz- Kolonia</t>
  </si>
  <si>
    <t>Sąchocin</t>
  </si>
  <si>
    <t>Makówiec Mały</t>
  </si>
  <si>
    <t>Sikorskiego</t>
  </si>
  <si>
    <t>PL_ZEWD_1412002518_04</t>
  </si>
  <si>
    <t>PL_ZEWD_1412002520_07</t>
  </si>
  <si>
    <t>PL_ZEWD_1412002519_06</t>
  </si>
  <si>
    <t>Jana Huberta</t>
  </si>
  <si>
    <t>PL_ZEWD_1412002463_01</t>
  </si>
  <si>
    <t>PL_ZEWD_1412002466_07</t>
  </si>
  <si>
    <t>PL_ZEWD_1412002464_03</t>
  </si>
  <si>
    <t>PL_ZEWD_1412001200_08</t>
  </si>
  <si>
    <t>PL_ZEWD_1412002462_09</t>
  </si>
  <si>
    <t>PL_ZEWD_1412002460_05</t>
  </si>
  <si>
    <t>Oświetlnie uliczne</t>
  </si>
  <si>
    <t>Borek Miński</t>
  </si>
  <si>
    <t>Huberta</t>
  </si>
  <si>
    <t>PL_ZEWD_1412002499_00</t>
  </si>
  <si>
    <t>PL_ZEWD_1412002498_08</t>
  </si>
  <si>
    <t>ul. Mińska 15</t>
  </si>
  <si>
    <t>GMIN_ZEWD_O_00068</t>
  </si>
  <si>
    <t>Załącznik nr 1a do SIWZ - Oświetlenie dróg i placów</t>
  </si>
  <si>
    <r>
      <t xml:space="preserve">prognozowanych wolumenów zużycia energii elektrycznej dla PPE Zamawiającego w okresie od dnia 1 stycznia do 31 grudnia 2015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</si>
  <si>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Podział na strefy czasowe</t>
  </si>
  <si>
    <t>Całodobowa              [kWh]</t>
  </si>
  <si>
    <t xml:space="preserve">Szczyt                                [kWh] </t>
  </si>
  <si>
    <t>Pozaszczyt               [kWh]</t>
  </si>
  <si>
    <t>Dzień                            [kWh]</t>
  </si>
  <si>
    <t>Noc                                     [Kwh]</t>
  </si>
  <si>
    <t>Łącznie:</t>
  </si>
  <si>
    <t>PL_ZEWD_1412002461_07</t>
  </si>
  <si>
    <t>PL_ZEWD_1412002732_06</t>
  </si>
  <si>
    <t>Makówiec Duży</t>
  </si>
  <si>
    <t>PL_ZEWD_1412002706_07</t>
  </si>
  <si>
    <t>Liczba PPE w podziale na grupy taryfowe</t>
  </si>
  <si>
    <t>PL_ZEWD_1412003298_09</t>
  </si>
  <si>
    <t>PL_ZEWD_1412003166_00</t>
  </si>
  <si>
    <t>Polna i Południowa</t>
  </si>
  <si>
    <t>PL_ZEWD_1412003248_04</t>
  </si>
  <si>
    <t>PL_ZEWD_1412003247_02</t>
  </si>
  <si>
    <t>Pustelnicka</t>
  </si>
  <si>
    <t>PL_ZEWD_1412003249_06</t>
  </si>
  <si>
    <t>PL_ZEWD_1412003250_07</t>
  </si>
  <si>
    <t>Sosnowa</t>
  </si>
  <si>
    <t>PL_ZEWD_1412003279_03</t>
  </si>
  <si>
    <t>PL_ZEWD_1412003177_01</t>
  </si>
  <si>
    <t>Księcia Józefa Poniatowskiego</t>
  </si>
  <si>
    <t>PL_ZEWD_1412003239_07</t>
  </si>
  <si>
    <t>PL_ZEWD_1412003238_05</t>
  </si>
  <si>
    <t>31 gudnia 2015r.</t>
  </si>
  <si>
    <t>PL_ZEWD_1412001610_09</t>
  </si>
  <si>
    <t>0708</t>
  </si>
  <si>
    <t>PL_ZEWD_1412003246_00</t>
  </si>
  <si>
    <t>PL_ZEWD_1412003242_02</t>
  </si>
  <si>
    <t>PL_ZEWD_1412003241_00</t>
  </si>
  <si>
    <t>PL_ZEWD_1412003245_08</t>
  </si>
  <si>
    <t>PL_ZEWD_1412003240_08</t>
  </si>
  <si>
    <t>PL_ZEWD_1412003243_04</t>
  </si>
  <si>
    <t>PL_ZEWD_1412003244_06</t>
  </si>
  <si>
    <t>Konik Stary</t>
  </si>
  <si>
    <t>Trakt Brzeski</t>
  </si>
  <si>
    <t>przy nr 7</t>
  </si>
  <si>
    <t>obok st.1167</t>
  </si>
  <si>
    <t>Nowe Zalesie</t>
  </si>
  <si>
    <t>PL_ZEWD_1412003377_07</t>
  </si>
  <si>
    <t>Lasomin</t>
  </si>
  <si>
    <t>PL_ZEWD_1412003378_09</t>
  </si>
  <si>
    <t>PL_ZEWD_1412003379_01</t>
  </si>
  <si>
    <t>PL_ZEWD_1412002141_05</t>
  </si>
  <si>
    <t>PL_ZEWD_1412003179_05</t>
  </si>
  <si>
    <t>PL_ZEWD_1412002144_01</t>
  </si>
  <si>
    <t>PL_ZEWD_1412002516_00</t>
  </si>
  <si>
    <t>PL_ZEWD_1412003202_06</t>
  </si>
  <si>
    <t>GMIN_ZEWD_O_00058</t>
  </si>
  <si>
    <t>PL_ZEWD_1412003258_03</t>
  </si>
  <si>
    <t>PL_ZEWD_1412003262_00</t>
  </si>
  <si>
    <t>PL_ZEWD_1412003259_05</t>
  </si>
  <si>
    <t>PL_ZEWD_1412003264_04</t>
  </si>
  <si>
    <t>PL_ZEWD_1412003261_08</t>
  </si>
  <si>
    <t>PL_ZEWD_1412003263_02</t>
  </si>
  <si>
    <t>05-335 Latowicz</t>
  </si>
  <si>
    <t>Gmina Cegłów</t>
  </si>
  <si>
    <t>MIAS_ZEWD_O_00013</t>
  </si>
  <si>
    <t>Miłosna</t>
  </si>
  <si>
    <t>Bema Józefa</t>
  </si>
  <si>
    <t>Trafo 0949</t>
  </si>
  <si>
    <t xml:space="preserve">Czynu Społecznego Andersa </t>
  </si>
  <si>
    <t>PL_ZEWD_1412003157_03</t>
  </si>
  <si>
    <t>PL_ZEWD_1412003158_05</t>
  </si>
  <si>
    <t>PL_PKPE_1412000542_05</t>
  </si>
  <si>
    <t>513.0014658</t>
  </si>
  <si>
    <t>Oświetlenie podjazdu do budynku dworca</t>
  </si>
  <si>
    <r>
      <t xml:space="preserve">prognozowanych wolumenów zużycia energii elektrycznej dla PPE Zamawiającego w okresie od dnia 1 stycznia do 31 grudnia 2016 roku </t>
    </r>
    <r>
      <rPr>
        <b/>
        <sz val="12"/>
        <color indexed="8"/>
        <rFont val="Czcionka tekstu podstawowego"/>
        <family val="2"/>
      </rPr>
      <t>(Bilans roczny OSD</t>
    </r>
    <r>
      <rPr>
        <sz val="12"/>
        <color indexed="8"/>
        <rFont val="Czcionka tekstu podstawowego"/>
        <family val="2"/>
      </rPr>
      <t>)</t>
    </r>
  </si>
  <si>
    <t>Ul. Kościuszki Tadeusza 4</t>
  </si>
  <si>
    <t>GMIN_ZEWD_O_00083</t>
  </si>
  <si>
    <t>822-215-88-23</t>
  </si>
  <si>
    <t>PL_ZEWD_1412003632_05</t>
  </si>
  <si>
    <t>Termin obowiązywania umowy kompleksowej</t>
  </si>
  <si>
    <t>Umowa na czas określony do dn. 31.12.2016 r.</t>
  </si>
  <si>
    <t>Szyszkowa</t>
  </si>
  <si>
    <t>PL_ZEWD_1412003674_05</t>
  </si>
  <si>
    <t>PL_ZEWD_1412003675_07</t>
  </si>
  <si>
    <t>PL_ZEWD_1412003671_09</t>
  </si>
  <si>
    <t>PL_ZEWD_1412003670_07</t>
  </si>
  <si>
    <t>PL_ZEWD_1412003673_03</t>
  </si>
  <si>
    <t>PL_ZEWD_1412003621_04</t>
  </si>
  <si>
    <t>Ul. Konstytucji 3-go Maja 1</t>
  </si>
  <si>
    <t>822-214-65-99</t>
  </si>
  <si>
    <t>Ośiwetlenie uliczne</t>
  </si>
  <si>
    <t>dz. 2649/3, 2657/3, 2649/1</t>
  </si>
  <si>
    <t>31 grudnia 2016</t>
  </si>
  <si>
    <t>Błędna grupa taryfowa na fakturze - C11</t>
  </si>
  <si>
    <t>Gołębiowskiego</t>
  </si>
  <si>
    <t>Sposób wypowiedzenia umowy kompleksowej</t>
  </si>
  <si>
    <t>103 Batalionu Strzelców</t>
  </si>
  <si>
    <t>Błękitna</t>
  </si>
  <si>
    <t>dz. 116, 119, 123, 128, 132, 135, 137, 140</t>
  </si>
  <si>
    <t xml:space="preserve">Budy </t>
  </si>
  <si>
    <t xml:space="preserve">Dębe </t>
  </si>
  <si>
    <t>PL_ZEWD_1412003610_03</t>
  </si>
  <si>
    <t>dz.362</t>
  </si>
  <si>
    <t>dz. 362</t>
  </si>
  <si>
    <t>Klient dokonał wypowiedzenia umowy kompleksowej</t>
  </si>
  <si>
    <t>Wólka Wybraniecka</t>
  </si>
  <si>
    <t xml:space="preserve">Gmina Kałuszyn </t>
  </si>
  <si>
    <t>Szczegółowy Opis Przedmiotu Zamówienia - Gmina Kotuń</t>
  </si>
  <si>
    <t>08-130</t>
  </si>
  <si>
    <t>Kotuń</t>
  </si>
  <si>
    <t>Gmina Kotuń</t>
  </si>
  <si>
    <t>ul. Siedlecka 56c</t>
  </si>
  <si>
    <t>GMIN_ZEWD_O_00124</t>
  </si>
  <si>
    <t>PL_ZEWD_1426000681_06</t>
  </si>
  <si>
    <t xml:space="preserve">Niechnabrz </t>
  </si>
  <si>
    <t>PL_ZEWD_1426000688_00</t>
  </si>
  <si>
    <t>PL_ZEWD_1426000650_07</t>
  </si>
  <si>
    <t>Kępa Żeliszewska</t>
  </si>
  <si>
    <t>PL_ZEWD_1426000686_06</t>
  </si>
  <si>
    <t>Koszewnica</t>
  </si>
  <si>
    <t>PL_ZEWD_1426000744_04</t>
  </si>
  <si>
    <t>Krępa</t>
  </si>
  <si>
    <t>PL_ZEWD_1426000743_02</t>
  </si>
  <si>
    <t>Pieńki Jagodzińskie</t>
  </si>
  <si>
    <t>PL_ZEWD_1426000692_07</t>
  </si>
  <si>
    <t>PL_ZEWD_1426000693_09</t>
  </si>
  <si>
    <t>Oleksin</t>
  </si>
  <si>
    <t>PL_ZEWD_1426001143_01</t>
  </si>
  <si>
    <t>PL_ZEWD_1426000677_09</t>
  </si>
  <si>
    <t>Lbinów</t>
  </si>
  <si>
    <t>PL_ZEWD_1426000674_03</t>
  </si>
  <si>
    <t>PL_ZEWD_1426000658_03</t>
  </si>
  <si>
    <t>Ryczyca</t>
  </si>
  <si>
    <t>PL_ZEWD_1426000694_01</t>
  </si>
  <si>
    <t>Albinów</t>
  </si>
  <si>
    <t>PL_ZEWD_1426001007_05</t>
  </si>
  <si>
    <t>PL_ZEWD_1426000671_07</t>
  </si>
  <si>
    <t>Sosnowe</t>
  </si>
  <si>
    <t>PL_ZEWD_1426000666_08</t>
  </si>
  <si>
    <t>Pieróg</t>
  </si>
  <si>
    <t>PL_ZEWD_1426000712_03</t>
  </si>
  <si>
    <t>PL_ZEWD_1426000652_01</t>
  </si>
  <si>
    <t>Trzemuszka</t>
  </si>
  <si>
    <t>PL_ZEWD_1426000682_08</t>
  </si>
  <si>
    <t>Żeliszew Duży</t>
  </si>
  <si>
    <t>PL_ZEWD_1426000667_00</t>
  </si>
  <si>
    <t>PL_ZEWD_1426000653_03</t>
  </si>
  <si>
    <t>PL_ZEWD_1426000649_06</t>
  </si>
  <si>
    <t>Czarnowąż</t>
  </si>
  <si>
    <t>PL_ZEWD_1426001621_09</t>
  </si>
  <si>
    <t>Polaki</t>
  </si>
  <si>
    <t>PL_ZEWD_1426000691_05</t>
  </si>
  <si>
    <t>Broszków</t>
  </si>
  <si>
    <t>PL_ZEWD_1426000890_09</t>
  </si>
  <si>
    <t>Gręzów</t>
  </si>
  <si>
    <t>PL_ZEWD_1426000690_03</t>
  </si>
  <si>
    <t>PL_ZEWD_1426000689_02</t>
  </si>
  <si>
    <t>Wiesława Walczewskiego</t>
  </si>
  <si>
    <t>PL_ZEWD_1426000909_04</t>
  </si>
  <si>
    <t>PL_ZEWD_1426000907_00</t>
  </si>
  <si>
    <t>Cisie Zagródzie</t>
  </si>
  <si>
    <t>PL_ZEWD_1426000680_04</t>
  </si>
  <si>
    <t>Nowa Dąbrówka</t>
  </si>
  <si>
    <t>PL_ZEWD_1426000687_08</t>
  </si>
  <si>
    <t>VII</t>
  </si>
  <si>
    <t>PL_ZEWD_1426000905_06</t>
  </si>
  <si>
    <t>PL_ZEWD_1426000914_03</t>
  </si>
  <si>
    <t>Oświetlenie uliczne - oczyszczalnia</t>
  </si>
  <si>
    <t>PL_ZEWD_1426000903_02</t>
  </si>
  <si>
    <t>PL_ZEWD_1426000684_02</t>
  </si>
  <si>
    <t>PL_ZEWD_1426000902_00</t>
  </si>
  <si>
    <t>PL_ZEWD_1426000901_08</t>
  </si>
  <si>
    <t>PL_ZEWD_1426000892_03</t>
  </si>
  <si>
    <t>Weterynaryjna</t>
  </si>
  <si>
    <t>PL_ZEWD_1426000709_08</t>
  </si>
  <si>
    <t>PL_ZEWD_1426000891_01</t>
  </si>
  <si>
    <t>PL_ZEWD_1426000911_07</t>
  </si>
  <si>
    <t>Żeliszew Kol.</t>
  </si>
  <si>
    <t>PL_ZEWD_1426000669_04</t>
  </si>
  <si>
    <t>PL_ZEWD_1426000596_07</t>
  </si>
  <si>
    <t>PL_ZEWD_1426000638_05</t>
  </si>
  <si>
    <t>Łęki</t>
  </si>
  <si>
    <t>PL_ZEWD_1426001142_09</t>
  </si>
  <si>
    <t>PL_ZEWD_1426001145_05</t>
  </si>
  <si>
    <t>Łączka</t>
  </si>
  <si>
    <t>PL_ZEWD_1426001110_08</t>
  </si>
  <si>
    <t>Bojmie, Żdżar</t>
  </si>
  <si>
    <t>PL_ZEWD_1426000679_03</t>
  </si>
  <si>
    <t>Żdżar</t>
  </si>
  <si>
    <t>PL_ZEWD_1426000648_04</t>
  </si>
  <si>
    <t>Łagodne</t>
  </si>
  <si>
    <t>PL_ZEWD_1426000663_02</t>
  </si>
  <si>
    <t>Sionna</t>
  </si>
  <si>
    <t>PL_ZEWD_1426000668_02</t>
  </si>
  <si>
    <t>Jagodne</t>
  </si>
  <si>
    <t>PL_ZEWD_1426000852_07</t>
  </si>
  <si>
    <t>PL_ZEWD_1426001144_03</t>
  </si>
  <si>
    <t>Wilczonek</t>
  </si>
  <si>
    <t>PL_ZEWD_1426000710_09</t>
  </si>
  <si>
    <t>Mingosy</t>
  </si>
  <si>
    <t>PL_ZEWD_1426000664_04</t>
  </si>
  <si>
    <t>PL_ZEWD_1426000655_07</t>
  </si>
  <si>
    <t>PL_ZEWD_1426000657_01</t>
  </si>
  <si>
    <t>Bojmie</t>
  </si>
  <si>
    <t>PL_ZEWD_1426001008_07</t>
  </si>
  <si>
    <t>PL_ZEWD_1426000651_09</t>
  </si>
  <si>
    <t>PL_ZEWD_1426000654_05</t>
  </si>
  <si>
    <t>31 gudnia 2016r.</t>
  </si>
  <si>
    <t>Nabywca dokonał wypowiedzenia umowy kompleksowej</t>
  </si>
  <si>
    <t>PL_ZEWD_1412001684_00</t>
  </si>
  <si>
    <t>PL_ZEWD_1412003729_08</t>
  </si>
  <si>
    <t>PL_ZEWD_1412003731_01</t>
  </si>
  <si>
    <t>Mińska</t>
  </si>
  <si>
    <t>PL_ZEWD_1412003735_09</t>
  </si>
  <si>
    <t>PL_ZEWD_1412003733_05</t>
  </si>
  <si>
    <t>PL_ZEWD_1412003732_03</t>
  </si>
  <si>
    <t>PL_ZEWD_1412003730_09</t>
  </si>
  <si>
    <t>PL_ZEWD_1412003740_08</t>
  </si>
  <si>
    <t>Janów Kolonia</t>
  </si>
  <si>
    <t>PL_ZEWD_1412003741_00</t>
  </si>
  <si>
    <t>PL_ZEWD_1412003736_01</t>
  </si>
  <si>
    <t>PL_ZEWD_1412003739_07</t>
  </si>
  <si>
    <t>PL_ZEWD_1412003738_05</t>
  </si>
  <si>
    <t>PL_ZEWD_1412003734_07</t>
  </si>
  <si>
    <t>PL_ZEWD_1412003743_04</t>
  </si>
  <si>
    <t>dz. 445/7, 445/1, 662, 443, 444, 439/3, 440, 442</t>
  </si>
  <si>
    <t>PL_ZEWD_1412003744_06</t>
  </si>
  <si>
    <t>Karolina - Kolonia</t>
  </si>
  <si>
    <t>Zakole - Wiktorowo</t>
  </si>
  <si>
    <t>Gmina Siennica</t>
  </si>
  <si>
    <t>GMIN_ZEWD_O_00059</t>
  </si>
  <si>
    <t>PL_ZEWD_1412002528_03</t>
  </si>
  <si>
    <t>identyfikacji PPE Zamawiającego ze wskazaniem Nabywców, Adresatów i Płatników faktur</t>
  </si>
  <si>
    <r>
      <t xml:space="preserve">prognozowanych wolumenów zużycia energii elektrycznej dla PPE Zamawiającego w okresie od dnia 1 stycznia do 31 grudnia 2017 roku </t>
    </r>
    <r>
      <rPr>
        <b/>
        <sz val="12"/>
        <color indexed="8"/>
        <rFont val="Czcionka tekstu podstawowego"/>
        <family val="0"/>
      </rPr>
      <t>(Bilans roczny OSD</t>
    </r>
    <r>
      <rPr>
        <sz val="12"/>
        <color indexed="8"/>
        <rFont val="Czcionka tekstu podstawowego"/>
        <family val="0"/>
      </rPr>
      <t>)</t>
    </r>
  </si>
  <si>
    <r>
      <t>prognozowanych wolumenów zużycia energii elektrycznej czynnej w okresie objętym przedmiotem zamówienia z uwzględnieniem okresu wynikającego z procedury zmiany Sprzedawcy (</t>
    </r>
    <r>
      <rPr>
        <b/>
        <sz val="12"/>
        <color indexed="8"/>
        <rFont val="Czcionka tekstu podstawowego"/>
        <family val="0"/>
      </rPr>
      <t>Bilans Sprzedawcy</t>
    </r>
    <r>
      <rPr>
        <sz val="12"/>
        <color indexed="8"/>
        <rFont val="Czcionka tekstu podstawowego"/>
        <family val="0"/>
      </rPr>
      <t>)</t>
    </r>
  </si>
  <si>
    <t>kolejności zmiany Sprzedawcy, terminów rozwiązania umów kompleksowych oraz terminów rozpoczęcia sprzedaży wynikających ze skuteczności rozwiązania umów kompleksowych dla PPE Zamawiającego</t>
  </si>
  <si>
    <t>Jednostka Samorządu Terytorialnego</t>
  </si>
  <si>
    <t>Prognoza zużycia energii elektrycznej czynnej na rok 2016        [kWh]</t>
  </si>
  <si>
    <t>Liczba punktów poboru energii</t>
  </si>
  <si>
    <t>Gmina Kałuszyn</t>
  </si>
  <si>
    <t>Prognozowany wolumen zużycia energii elektrycznej w podziale na grupy taryfowe</t>
  </si>
  <si>
    <t>Załącznik nr 1b do SIWZ - Szczegółowy opis przedmiotu zamówienia - Oświetlenie dróg i placów</t>
  </si>
  <si>
    <t>Zestawienie zbiorcze PPE do zamówienia publicznego na zakup energii elektrycznej czynnej dla Grupy zakupowej Powiatu Mińskiego na rok 2017</t>
  </si>
  <si>
    <t>ul. Adama Mickiewicza 35</t>
  </si>
  <si>
    <t>Adresat, Płatnik:</t>
  </si>
  <si>
    <t>MIAS_ZEWD_O_00003</t>
  </si>
  <si>
    <t>Adresat, płatnik:</t>
  </si>
  <si>
    <t>822-21-46-576</t>
  </si>
  <si>
    <t>ul. Spółdzielcza 1</t>
  </si>
  <si>
    <t>Urząd Gminy w Siennicy</t>
  </si>
  <si>
    <t>822-21-48-747</t>
  </si>
  <si>
    <t>ul. Dworcowa 55</t>
  </si>
  <si>
    <t>822-21-46-607</t>
  </si>
  <si>
    <t xml:space="preserve"> Gmina Dobre</t>
  </si>
  <si>
    <t>Urząd Miejski</t>
  </si>
  <si>
    <t>822-215-88-17</t>
  </si>
  <si>
    <t>GMIN_ZEWD_O_00091</t>
  </si>
  <si>
    <t>08-130 Kotuń</t>
  </si>
  <si>
    <t>822-2147185</t>
  </si>
  <si>
    <t xml:space="preserve">NIP: </t>
  </si>
  <si>
    <t xml:space="preserve"> 822-21-46-613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</si>
</sst>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d/mm/yyyy"/>
    <numFmt numFmtId="167" formatCode="#,##0.0000"/>
    <numFmt numFmtId="168" formatCode="[$-415]d\ mmmm\ yyyy"/>
  </numFmts>
  <fonts count="7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6"/>
      <color indexed="8"/>
      <name val="Czcionka tekstu podstawowego"/>
      <family val="2"/>
    </font>
    <font>
      <sz val="12"/>
      <name val="Arial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Arial CE"/>
      <family val="0"/>
    </font>
    <font>
      <b/>
      <sz val="10"/>
      <color indexed="8"/>
      <name val="Czcionka tekstu podstawowego"/>
      <family val="0"/>
    </font>
    <font>
      <b/>
      <sz val="14"/>
      <name val="Arial CE"/>
      <family val="0"/>
    </font>
    <font>
      <b/>
      <sz val="12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name val="Czcionka tekstu podstawowego"/>
      <family val="2"/>
    </font>
    <font>
      <b/>
      <sz val="14"/>
      <name val="Czcionka tekstu podstawowego"/>
      <family val="0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7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b/>
      <sz val="14"/>
      <color indexed="8"/>
      <name val="Arial"/>
      <family val="2"/>
    </font>
    <font>
      <sz val="11"/>
      <color indexed="30"/>
      <name val="Czcionka tekstu podstawowego"/>
      <family val="2"/>
    </font>
    <font>
      <sz val="11"/>
      <color indexed="56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7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zcionka tekstu podstawowego"/>
      <family val="2"/>
    </font>
    <font>
      <sz val="11"/>
      <color rgb="FF000000"/>
      <name val="Arial"/>
      <family val="2"/>
    </font>
    <font>
      <b/>
      <sz val="14"/>
      <color theme="1"/>
      <name val="Czcionka tekstu podstawowego"/>
      <family val="0"/>
    </font>
    <font>
      <sz val="14"/>
      <color theme="1"/>
      <name val="Czcionka tekstu podstawowego"/>
      <family val="2"/>
    </font>
    <font>
      <b/>
      <sz val="16"/>
      <color theme="1"/>
      <name val="Czcionka tekstu podstawowego"/>
      <family val="0"/>
    </font>
    <font>
      <sz val="11"/>
      <color theme="1"/>
      <name val="Arial"/>
      <family val="2"/>
    </font>
    <font>
      <b/>
      <sz val="12"/>
      <color theme="1"/>
      <name val="Czcionka tekstu podstawowego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rgb="FF0070C0"/>
      <name val="Czcionka tekstu podstawowego"/>
      <family val="2"/>
    </font>
    <font>
      <sz val="11"/>
      <color theme="3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165" fontId="60" fillId="0" borderId="10" xfId="0" applyNumberFormat="1" applyFont="1" applyBorder="1" applyAlignment="1">
      <alignment horizontal="center"/>
    </xf>
    <xf numFmtId="3" fontId="60" fillId="2" borderId="10" xfId="0" applyNumberFormat="1" applyFont="1" applyFill="1" applyBorder="1" applyAlignment="1">
      <alignment horizontal="right"/>
    </xf>
    <xf numFmtId="3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horizontal="center"/>
    </xf>
    <xf numFmtId="3" fontId="62" fillId="2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165" fontId="0" fillId="0" borderId="16" xfId="0" applyNumberFormat="1" applyFill="1" applyBorder="1" applyAlignment="1">
      <alignment horizontal="center" wrapText="1"/>
    </xf>
    <xf numFmtId="3" fontId="0" fillId="2" borderId="16" xfId="0" applyNumberFormat="1" applyFill="1" applyBorder="1" applyAlignment="1">
      <alignment wrapText="1"/>
    </xf>
    <xf numFmtId="3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horizontal="center" wrapText="1"/>
    </xf>
    <xf numFmtId="3" fontId="0" fillId="2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wrapText="1"/>
    </xf>
    <xf numFmtId="0" fontId="55" fillId="0" borderId="18" xfId="0" applyFont="1" applyBorder="1" applyAlignment="1">
      <alignment horizontal="right" wrapText="1"/>
    </xf>
    <xf numFmtId="0" fontId="55" fillId="0" borderId="19" xfId="0" applyFont="1" applyFill="1" applyBorder="1" applyAlignment="1">
      <alignment/>
    </xf>
    <xf numFmtId="0" fontId="55" fillId="0" borderId="20" xfId="0" applyFont="1" applyBorder="1" applyAlignment="1">
      <alignment/>
    </xf>
    <xf numFmtId="3" fontId="0" fillId="0" borderId="0" xfId="0" applyNumberFormat="1" applyFill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4" xfId="0" applyFont="1" applyFill="1" applyBorder="1" applyAlignment="1">
      <alignment/>
    </xf>
    <xf numFmtId="0" fontId="55" fillId="0" borderId="25" xfId="0" applyFont="1" applyBorder="1" applyAlignment="1">
      <alignment/>
    </xf>
    <xf numFmtId="0" fontId="0" fillId="0" borderId="17" xfId="0" applyFill="1" applyBorder="1" applyAlignment="1">
      <alignment/>
    </xf>
    <xf numFmtId="0" fontId="6" fillId="0" borderId="17" xfId="0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22" xfId="0" applyFont="1" applyBorder="1" applyAlignment="1">
      <alignment wrapText="1"/>
    </xf>
    <xf numFmtId="0" fontId="55" fillId="0" borderId="24" xfId="0" applyFont="1" applyBorder="1" applyAlignment="1">
      <alignment/>
    </xf>
    <xf numFmtId="0" fontId="55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55" fillId="0" borderId="18" xfId="0" applyFont="1" applyBorder="1" applyAlignment="1">
      <alignment/>
    </xf>
    <xf numFmtId="0" fontId="0" fillId="0" borderId="10" xfId="0" applyBorder="1" applyAlignment="1">
      <alignment horizontal="right"/>
    </xf>
    <xf numFmtId="0" fontId="55" fillId="0" borderId="0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1" fontId="0" fillId="0" borderId="11" xfId="0" applyNumberForma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10" fillId="0" borderId="2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0" fillId="0" borderId="22" xfId="0" applyFont="1" applyBorder="1" applyAlignment="1">
      <alignment/>
    </xf>
    <xf numFmtId="3" fontId="63" fillId="0" borderId="10" xfId="0" applyNumberFormat="1" applyFont="1" applyBorder="1" applyAlignment="1">
      <alignment horizontal="right" wrapText="1"/>
    </xf>
    <xf numFmtId="0" fontId="55" fillId="0" borderId="21" xfId="0" applyFont="1" applyBorder="1" applyAlignment="1">
      <alignment/>
    </xf>
    <xf numFmtId="3" fontId="0" fillId="0" borderId="0" xfId="0" applyNumberFormat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49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3" fontId="62" fillId="0" borderId="10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165" fontId="0" fillId="0" borderId="27" xfId="0" applyNumberFormat="1" applyBorder="1" applyAlignment="1">
      <alignment wrapText="1"/>
    </xf>
    <xf numFmtId="3" fontId="0" fillId="2" borderId="28" xfId="0" applyNumberFormat="1" applyFill="1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17" xfId="0" applyFill="1" applyBorder="1" applyAlignment="1">
      <alignment horizontal="center"/>
    </xf>
    <xf numFmtId="165" fontId="0" fillId="0" borderId="29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0" fontId="66" fillId="0" borderId="0" xfId="0" applyFont="1" applyAlignment="1">
      <alignment horizontal="right"/>
    </xf>
    <xf numFmtId="0" fontId="65" fillId="0" borderId="0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0" fillId="0" borderId="27" xfId="0" applyBorder="1" applyAlignment="1">
      <alignment wrapText="1"/>
    </xf>
    <xf numFmtId="3" fontId="0" fillId="0" borderId="13" xfId="0" applyNumberFormat="1" applyFill="1" applyBorder="1" applyAlignment="1">
      <alignment/>
    </xf>
    <xf numFmtId="3" fontId="0" fillId="2" borderId="31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3" fontId="0" fillId="2" borderId="32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165" fontId="0" fillId="0" borderId="29" xfId="0" applyNumberFormat="1" applyBorder="1" applyAlignment="1">
      <alignment wrapText="1"/>
    </xf>
    <xf numFmtId="3" fontId="0" fillId="2" borderId="33" xfId="0" applyNumberFormat="1" applyFill="1" applyBorder="1" applyAlignment="1">
      <alignment wrapText="1"/>
    </xf>
    <xf numFmtId="3" fontId="0" fillId="0" borderId="30" xfId="0" applyNumberFormat="1" applyBorder="1" applyAlignment="1">
      <alignment wrapText="1"/>
    </xf>
    <xf numFmtId="3" fontId="0" fillId="2" borderId="27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55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3" fontId="0" fillId="2" borderId="10" xfId="0" applyNumberFormat="1" applyFill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3" fontId="0" fillId="0" borderId="17" xfId="0" applyNumberFormat="1" applyBorder="1" applyAlignment="1">
      <alignment horizontal="right"/>
    </xf>
    <xf numFmtId="0" fontId="0" fillId="2" borderId="10" xfId="0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0" fontId="55" fillId="0" borderId="17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3" fontId="5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67" fillId="2" borderId="31" xfId="0" applyNumberFormat="1" applyFont="1" applyFill="1" applyBorder="1" applyAlignment="1">
      <alignment horizontal="center" vertical="center" wrapText="1"/>
    </xf>
    <xf numFmtId="3" fontId="67" fillId="2" borderId="26" xfId="0" applyNumberFormat="1" applyFont="1" applyFill="1" applyBorder="1" applyAlignment="1">
      <alignment horizontal="center" vertical="center" wrapText="1"/>
    </xf>
    <xf numFmtId="3" fontId="67" fillId="2" borderId="32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 wrapText="1"/>
    </xf>
    <xf numFmtId="3" fontId="0" fillId="2" borderId="16" xfId="0" applyNumberFormat="1" applyFill="1" applyBorder="1" applyAlignment="1">
      <alignment/>
    </xf>
    <xf numFmtId="0" fontId="67" fillId="0" borderId="17" xfId="0" applyFont="1" applyBorder="1" applyAlignment="1">
      <alignment/>
    </xf>
    <xf numFmtId="0" fontId="67" fillId="0" borderId="17" xfId="0" applyFont="1" applyBorder="1" applyAlignment="1">
      <alignment horizontal="center" wrapText="1"/>
    </xf>
    <xf numFmtId="3" fontId="0" fillId="2" borderId="17" xfId="0" applyNumberFormat="1" applyFill="1" applyBorder="1" applyAlignment="1">
      <alignment horizontal="right"/>
    </xf>
    <xf numFmtId="3" fontId="67" fillId="0" borderId="17" xfId="0" applyNumberFormat="1" applyFont="1" applyBorder="1" applyAlignment="1">
      <alignment horizontal="right" wrapText="1"/>
    </xf>
    <xf numFmtId="3" fontId="67" fillId="0" borderId="17" xfId="0" applyNumberFormat="1" applyFont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67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61" fillId="0" borderId="10" xfId="0" applyFont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55" fillId="0" borderId="17" xfId="0" applyFont="1" applyBorder="1" applyAlignment="1">
      <alignment horizontal="left"/>
    </xf>
    <xf numFmtId="0" fontId="67" fillId="0" borderId="0" xfId="0" applyFont="1" applyAlignment="1">
      <alignment horizontal="center"/>
    </xf>
    <xf numFmtId="165" fontId="67" fillId="0" borderId="10" xfId="0" applyNumberFormat="1" applyFont="1" applyBorder="1" applyAlignment="1">
      <alignment horizontal="center" vertical="center"/>
    </xf>
    <xf numFmtId="3" fontId="67" fillId="2" borderId="10" xfId="0" applyNumberFormat="1" applyFont="1" applyFill="1" applyBorder="1" applyAlignment="1">
      <alignment horizontal="right"/>
    </xf>
    <xf numFmtId="3" fontId="67" fillId="0" borderId="10" xfId="0" applyNumberFormat="1" applyFont="1" applyFill="1" applyBorder="1" applyAlignment="1">
      <alignment horizontal="right"/>
    </xf>
    <xf numFmtId="0" fontId="55" fillId="0" borderId="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7" xfId="0" applyFont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165" fontId="0" fillId="0" borderId="17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7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9" xfId="0" applyBorder="1" applyAlignment="1">
      <alignment/>
    </xf>
    <xf numFmtId="0" fontId="0" fillId="0" borderId="25" xfId="0" applyBorder="1" applyAlignment="1">
      <alignment wrapText="1"/>
    </xf>
    <xf numFmtId="0" fontId="67" fillId="0" borderId="17" xfId="0" applyFont="1" applyBorder="1" applyAlignment="1">
      <alignment horizontal="right" wrapText="1"/>
    </xf>
    <xf numFmtId="0" fontId="67" fillId="0" borderId="10" xfId="0" applyFont="1" applyBorder="1" applyAlignment="1">
      <alignment horizontal="right" wrapText="1"/>
    </xf>
    <xf numFmtId="0" fontId="67" fillId="0" borderId="10" xfId="0" applyFont="1" applyFill="1" applyBorder="1" applyAlignment="1">
      <alignment horizontal="right" wrapText="1"/>
    </xf>
    <xf numFmtId="0" fontId="5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60" fillId="0" borderId="16" xfId="0" applyFont="1" applyFill="1" applyBorder="1" applyAlignment="1">
      <alignment horizontal="center"/>
    </xf>
    <xf numFmtId="3" fontId="0" fillId="2" borderId="28" xfId="0" applyNumberForma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8" fillId="0" borderId="0" xfId="0" applyFont="1" applyAlignment="1">
      <alignment/>
    </xf>
    <xf numFmtId="0" fontId="62" fillId="0" borderId="0" xfId="0" applyFont="1" applyBorder="1" applyAlignment="1">
      <alignment horizontal="left"/>
    </xf>
    <xf numFmtId="0" fontId="62" fillId="0" borderId="0" xfId="0" applyFont="1" applyFill="1" applyBorder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 vertical="center"/>
    </xf>
    <xf numFmtId="0" fontId="6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3" fontId="6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3" fontId="55" fillId="0" borderId="0" xfId="0" applyNumberFormat="1" applyFont="1" applyBorder="1" applyAlignment="1">
      <alignment/>
    </xf>
    <xf numFmtId="0" fontId="55" fillId="0" borderId="23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0" fillId="0" borderId="1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0" borderId="10" xfId="0" applyNumberFormat="1" applyBorder="1" applyAlignment="1">
      <alignment/>
    </xf>
    <xf numFmtId="0" fontId="67" fillId="2" borderId="10" xfId="0" applyFont="1" applyFill="1" applyBorder="1" applyAlignment="1">
      <alignment/>
    </xf>
    <xf numFmtId="3" fontId="67" fillId="2" borderId="10" xfId="0" applyNumberFormat="1" applyFont="1" applyFill="1" applyBorder="1" applyAlignment="1">
      <alignment/>
    </xf>
    <xf numFmtId="3" fontId="67" fillId="0" borderId="10" xfId="0" applyNumberFormat="1" applyFont="1" applyBorder="1" applyAlignment="1">
      <alignment/>
    </xf>
    <xf numFmtId="0" fontId="67" fillId="0" borderId="11" xfId="0" applyFont="1" applyBorder="1" applyAlignment="1">
      <alignment/>
    </xf>
    <xf numFmtId="3" fontId="67" fillId="0" borderId="11" xfId="0" applyNumberFormat="1" applyFont="1" applyBorder="1" applyAlignment="1">
      <alignment/>
    </xf>
    <xf numFmtId="0" fontId="67" fillId="0" borderId="10" xfId="0" applyFont="1" applyBorder="1" applyAlignment="1">
      <alignment horizontal="center"/>
    </xf>
    <xf numFmtId="3" fontId="67" fillId="0" borderId="0" xfId="0" applyNumberFormat="1" applyFont="1" applyAlignment="1">
      <alignment/>
    </xf>
    <xf numFmtId="0" fontId="63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10" xfId="0" applyFont="1" applyFill="1" applyBorder="1" applyAlignment="1">
      <alignment horizontal="right" wrapText="1"/>
    </xf>
    <xf numFmtId="0" fontId="67" fillId="0" borderId="10" xfId="0" applyFont="1" applyFill="1" applyBorder="1" applyAlignment="1">
      <alignment horizontal="right"/>
    </xf>
    <xf numFmtId="0" fontId="67" fillId="0" borderId="0" xfId="0" applyFont="1" applyFill="1" applyAlignment="1">
      <alignment/>
    </xf>
    <xf numFmtId="3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165" fontId="0" fillId="0" borderId="17" xfId="0" applyNumberFormat="1" applyBorder="1" applyAlignment="1">
      <alignment/>
    </xf>
    <xf numFmtId="0" fontId="55" fillId="0" borderId="10" xfId="0" applyFont="1" applyFill="1" applyBorder="1" applyAlignment="1">
      <alignment horizontal="right"/>
    </xf>
    <xf numFmtId="0" fontId="70" fillId="0" borderId="10" xfId="0" applyFont="1" applyBorder="1" applyAlignment="1">
      <alignment horizontal="center"/>
    </xf>
    <xf numFmtId="0" fontId="55" fillId="0" borderId="17" xfId="0" applyFont="1" applyBorder="1" applyAlignment="1">
      <alignment horizontal="right"/>
    </xf>
    <xf numFmtId="0" fontId="55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64" fillId="34" borderId="17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3" fontId="55" fillId="34" borderId="10" xfId="0" applyNumberFormat="1" applyFont="1" applyFill="1" applyBorder="1" applyAlignment="1">
      <alignment/>
    </xf>
    <xf numFmtId="0" fontId="64" fillId="35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0" fontId="55" fillId="0" borderId="21" xfId="0" applyFont="1" applyBorder="1" applyAlignment="1">
      <alignment horizontal="right"/>
    </xf>
    <xf numFmtId="0" fontId="0" fillId="0" borderId="10" xfId="0" applyFont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/>
    </xf>
    <xf numFmtId="0" fontId="64" fillId="34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5" fontId="0" fillId="0" borderId="17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64" fillId="34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0" fontId="55" fillId="0" borderId="21" xfId="0" applyFont="1" applyBorder="1" applyAlignment="1">
      <alignment horizontal="right"/>
    </xf>
    <xf numFmtId="0" fontId="55" fillId="0" borderId="0" xfId="0" applyFont="1" applyBorder="1" applyAlignment="1">
      <alignment horizontal="left"/>
    </xf>
    <xf numFmtId="0" fontId="55" fillId="0" borderId="19" xfId="0" applyFont="1" applyFill="1" applyBorder="1" applyAlignment="1">
      <alignment/>
    </xf>
    <xf numFmtId="0" fontId="71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64" fillId="34" borderId="16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71" fillId="34" borderId="17" xfId="0" applyFont="1" applyFill="1" applyBorder="1" applyAlignment="1">
      <alignment horizontal="center" vertical="center"/>
    </xf>
    <xf numFmtId="165" fontId="67" fillId="0" borderId="10" xfId="0" applyNumberFormat="1" applyFont="1" applyBorder="1" applyAlignment="1">
      <alignment horizontal="center" wrapText="1"/>
    </xf>
    <xf numFmtId="0" fontId="67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2" fillId="34" borderId="10" xfId="0" applyFont="1" applyFill="1" applyBorder="1" applyAlignment="1">
      <alignment horizontal="center" vertical="center"/>
    </xf>
    <xf numFmtId="3" fontId="55" fillId="34" borderId="1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65" fontId="0" fillId="0" borderId="10" xfId="0" applyNumberForma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0" fontId="0" fillId="0" borderId="23" xfId="0" applyBorder="1" applyAlignment="1">
      <alignment/>
    </xf>
    <xf numFmtId="165" fontId="63" fillId="0" borderId="10" xfId="0" applyNumberFormat="1" applyFont="1" applyBorder="1" applyAlignment="1">
      <alignment horizontal="center" wrapText="1"/>
    </xf>
    <xf numFmtId="0" fontId="64" fillId="35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65" fontId="0" fillId="0" borderId="17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3" fontId="0" fillId="2" borderId="17" xfId="0" applyNumberFormat="1" applyFont="1" applyFill="1" applyBorder="1" applyAlignment="1">
      <alignment wrapText="1"/>
    </xf>
    <xf numFmtId="3" fontId="5" fillId="35" borderId="34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65" fontId="0" fillId="0" borderId="17" xfId="0" applyNumberFormat="1" applyFill="1" applyBorder="1" applyAlignment="1">
      <alignment vertical="center"/>
    </xf>
    <xf numFmtId="0" fontId="0" fillId="2" borderId="17" xfId="0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35" borderId="35" xfId="0" applyFill="1" applyBorder="1" applyAlignment="1">
      <alignment/>
    </xf>
    <xf numFmtId="3" fontId="0" fillId="35" borderId="36" xfId="0" applyNumberFormat="1" applyFill="1" applyBorder="1" applyAlignment="1">
      <alignment/>
    </xf>
    <xf numFmtId="3" fontId="55" fillId="35" borderId="17" xfId="0" applyNumberFormat="1" applyFont="1" applyFill="1" applyBorder="1" applyAlignment="1">
      <alignment/>
    </xf>
    <xf numFmtId="165" fontId="0" fillId="0" borderId="17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7" xfId="0" applyBorder="1" applyAlignment="1">
      <alignment horizontal="left"/>
    </xf>
    <xf numFmtId="3" fontId="0" fillId="0" borderId="27" xfId="0" applyNumberFormat="1" applyBorder="1" applyAlignment="1">
      <alignment horizontal="right"/>
    </xf>
    <xf numFmtId="0" fontId="0" fillId="0" borderId="37" xfId="0" applyBorder="1" applyAlignment="1">
      <alignment/>
    </xf>
    <xf numFmtId="0" fontId="0" fillId="34" borderId="35" xfId="0" applyFill="1" applyBorder="1" applyAlignment="1">
      <alignment/>
    </xf>
    <xf numFmtId="3" fontId="5" fillId="34" borderId="35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/>
    </xf>
    <xf numFmtId="3" fontId="70" fillId="34" borderId="10" xfId="0" applyNumberFormat="1" applyFont="1" applyFill="1" applyBorder="1" applyAlignment="1">
      <alignment/>
    </xf>
    <xf numFmtId="0" fontId="0" fillId="0" borderId="29" xfId="0" applyBorder="1" applyAlignment="1">
      <alignment wrapText="1"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3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3" fontId="0" fillId="0" borderId="11" xfId="0" applyNumberFormat="1" applyBorder="1" applyAlignment="1">
      <alignment horizontal="right"/>
    </xf>
    <xf numFmtId="3" fontId="0" fillId="34" borderId="35" xfId="0" applyNumberFormat="1" applyFill="1" applyBorder="1" applyAlignment="1">
      <alignment/>
    </xf>
    <xf numFmtId="3" fontId="0" fillId="34" borderId="35" xfId="0" applyNumberFormat="1" applyFill="1" applyBorder="1" applyAlignment="1">
      <alignment horizontal="right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3" fontId="55" fillId="34" borderId="17" xfId="0" applyNumberFormat="1" applyFont="1" applyFill="1" applyBorder="1" applyAlignment="1">
      <alignment/>
    </xf>
    <xf numFmtId="3" fontId="0" fillId="0" borderId="28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2" borderId="26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67" fillId="0" borderId="16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0" fillId="0" borderId="40" xfId="0" applyNumberFormat="1" applyBorder="1" applyAlignment="1">
      <alignment/>
    </xf>
    <xf numFmtId="0" fontId="0" fillId="33" borderId="41" xfId="0" applyFill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0" borderId="44" xfId="0" applyNumberFormat="1" applyBorder="1" applyAlignment="1">
      <alignment/>
    </xf>
    <xf numFmtId="0" fontId="0" fillId="33" borderId="43" xfId="0" applyFill="1" applyBorder="1" applyAlignment="1">
      <alignment/>
    </xf>
    <xf numFmtId="3" fontId="0" fillId="0" borderId="37" xfId="0" applyNumberFormat="1" applyBorder="1" applyAlignment="1">
      <alignment/>
    </xf>
    <xf numFmtId="0" fontId="0" fillId="33" borderId="26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3" fontId="0" fillId="0" borderId="32" xfId="0" applyNumberForma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/>
    </xf>
    <xf numFmtId="164" fontId="0" fillId="0" borderId="1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15" fillId="34" borderId="10" xfId="0" applyFont="1" applyFill="1" applyBorder="1" applyAlignment="1">
      <alignment/>
    </xf>
    <xf numFmtId="0" fontId="67" fillId="34" borderId="10" xfId="0" applyFont="1" applyFill="1" applyBorder="1" applyAlignment="1">
      <alignment/>
    </xf>
    <xf numFmtId="0" fontId="67" fillId="34" borderId="17" xfId="0" applyFont="1" applyFill="1" applyBorder="1" applyAlignment="1">
      <alignment/>
    </xf>
    <xf numFmtId="0" fontId="70" fillId="0" borderId="17" xfId="0" applyFont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55" fillId="0" borderId="17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64" fillId="35" borderId="17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46" xfId="0" applyNumberFormat="1" applyFill="1" applyBorder="1" applyAlignment="1">
      <alignment/>
    </xf>
    <xf numFmtId="3" fontId="0" fillId="2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49" fontId="0" fillId="0" borderId="10" xfId="0" applyNumberFormat="1" applyBorder="1" applyAlignment="1">
      <alignment horizontal="right"/>
    </xf>
    <xf numFmtId="0" fontId="67" fillId="0" borderId="10" xfId="0" applyFont="1" applyBorder="1" applyAlignment="1">
      <alignment horizontal="right" vertical="center"/>
    </xf>
    <xf numFmtId="164" fontId="0" fillId="0" borderId="17" xfId="0" applyNumberFormat="1" applyBorder="1" applyAlignment="1">
      <alignment/>
    </xf>
    <xf numFmtId="0" fontId="0" fillId="0" borderId="17" xfId="0" applyFont="1" applyBorder="1" applyAlignment="1">
      <alignment horizontal="left" wrapText="1"/>
    </xf>
    <xf numFmtId="0" fontId="64" fillId="3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5" fillId="0" borderId="11" xfId="0" applyFont="1" applyBorder="1" applyAlignment="1">
      <alignment/>
    </xf>
    <xf numFmtId="165" fontId="0" fillId="0" borderId="11" xfId="0" applyNumberFormat="1" applyBorder="1" applyAlignment="1">
      <alignment/>
    </xf>
    <xf numFmtId="3" fontId="0" fillId="2" borderId="11" xfId="0" applyNumberFormat="1" applyFill="1" applyBorder="1" applyAlignment="1">
      <alignment horizontal="right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3" fontId="0" fillId="0" borderId="28" xfId="0" applyNumberFormat="1" applyFill="1" applyBorder="1" applyAlignment="1">
      <alignment wrapText="1"/>
    </xf>
    <xf numFmtId="165" fontId="0" fillId="0" borderId="17" xfId="0" applyNumberFormat="1" applyFont="1" applyBorder="1" applyAlignment="1">
      <alignment horizontal="center"/>
    </xf>
    <xf numFmtId="0" fontId="0" fillId="36" borderId="10" xfId="0" applyFill="1" applyBorder="1" applyAlignment="1">
      <alignment/>
    </xf>
    <xf numFmtId="49" fontId="0" fillId="34" borderId="10" xfId="0" applyNumberFormat="1" applyFill="1" applyBorder="1" applyAlignment="1">
      <alignment wrapText="1"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49" fontId="0" fillId="34" borderId="17" xfId="0" applyNumberFormat="1" applyFill="1" applyBorder="1" applyAlignment="1">
      <alignment/>
    </xf>
    <xf numFmtId="0" fontId="55" fillId="0" borderId="23" xfId="0" applyFont="1" applyBorder="1" applyAlignment="1">
      <alignment horizontal="right" wrapText="1"/>
    </xf>
    <xf numFmtId="49" fontId="0" fillId="34" borderId="10" xfId="0" applyNumberForma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right"/>
    </xf>
    <xf numFmtId="0" fontId="0" fillId="0" borderId="16" xfId="0" applyBorder="1" applyAlignment="1">
      <alignment horizontal="left" wrapText="1"/>
    </xf>
    <xf numFmtId="0" fontId="55" fillId="0" borderId="17" xfId="0" applyFont="1" applyBorder="1" applyAlignment="1">
      <alignment wrapText="1"/>
    </xf>
    <xf numFmtId="0" fontId="0" fillId="0" borderId="0" xfId="0" applyFill="1" applyAlignment="1">
      <alignment horizontal="right"/>
    </xf>
    <xf numFmtId="0" fontId="0" fillId="36" borderId="17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/>
    </xf>
    <xf numFmtId="3" fontId="0" fillId="2" borderId="39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37" xfId="0" applyBorder="1" applyAlignment="1">
      <alignment horizontal="right"/>
    </xf>
    <xf numFmtId="0" fontId="0" fillId="34" borderId="50" xfId="0" applyFill="1" applyBorder="1" applyAlignment="1">
      <alignment/>
    </xf>
    <xf numFmtId="3" fontId="0" fillId="34" borderId="36" xfId="0" applyNumberFormat="1" applyFill="1" applyBorder="1" applyAlignment="1">
      <alignment/>
    </xf>
    <xf numFmtId="3" fontId="0" fillId="2" borderId="51" xfId="0" applyNumberFormat="1" applyFill="1" applyBorder="1" applyAlignment="1">
      <alignment wrapText="1"/>
    </xf>
    <xf numFmtId="3" fontId="0" fillId="0" borderId="41" xfId="0" applyNumberFormat="1" applyBorder="1" applyAlignment="1">
      <alignment wrapText="1"/>
    </xf>
    <xf numFmtId="3" fontId="0" fillId="0" borderId="41" xfId="0" applyNumberFormat="1" applyFill="1" applyBorder="1" applyAlignment="1">
      <alignment/>
    </xf>
    <xf numFmtId="3" fontId="0" fillId="2" borderId="51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36" borderId="31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44" xfId="0" applyBorder="1" applyAlignment="1">
      <alignment/>
    </xf>
    <xf numFmtId="0" fontId="0" fillId="2" borderId="0" xfId="0" applyFill="1" applyAlignment="1">
      <alignment/>
    </xf>
    <xf numFmtId="3" fontId="0" fillId="0" borderId="17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34" borderId="42" xfId="0" applyFill="1" applyBorder="1" applyAlignment="1">
      <alignment/>
    </xf>
    <xf numFmtId="0" fontId="0" fillId="34" borderId="37" xfId="0" applyFill="1" applyBorder="1" applyAlignment="1">
      <alignment/>
    </xf>
    <xf numFmtId="3" fontId="55" fillId="34" borderId="34" xfId="0" applyNumberFormat="1" applyFont="1" applyFill="1" applyBorder="1" applyAlignment="1">
      <alignment/>
    </xf>
    <xf numFmtId="3" fontId="55" fillId="34" borderId="35" xfId="0" applyNumberFormat="1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67" fillId="34" borderId="10" xfId="0" applyFont="1" applyFill="1" applyBorder="1" applyAlignment="1">
      <alignment horizontal="left"/>
    </xf>
    <xf numFmtId="0" fontId="67" fillId="0" borderId="10" xfId="0" applyFont="1" applyBorder="1" applyAlignment="1">
      <alignment horizontal="left" wrapText="1"/>
    </xf>
    <xf numFmtId="3" fontId="72" fillId="0" borderId="17" xfId="0" applyNumberFormat="1" applyFont="1" applyBorder="1" applyAlignment="1">
      <alignment/>
    </xf>
    <xf numFmtId="3" fontId="67" fillId="36" borderId="10" xfId="0" applyNumberFormat="1" applyFont="1" applyFill="1" applyBorder="1" applyAlignment="1">
      <alignment/>
    </xf>
    <xf numFmtId="3" fontId="67" fillId="6" borderId="10" xfId="0" applyNumberFormat="1" applyFont="1" applyFill="1" applyBorder="1" applyAlignment="1">
      <alignment/>
    </xf>
    <xf numFmtId="49" fontId="67" fillId="34" borderId="10" xfId="0" applyNumberFormat="1" applyFont="1" applyFill="1" applyBorder="1" applyAlignment="1">
      <alignment horizontal="left" vertical="center"/>
    </xf>
    <xf numFmtId="3" fontId="72" fillId="0" borderId="10" xfId="0" applyNumberFormat="1" applyFont="1" applyBorder="1" applyAlignment="1">
      <alignment/>
    </xf>
    <xf numFmtId="0" fontId="0" fillId="34" borderId="17" xfId="0" applyFont="1" applyFill="1" applyBorder="1" applyAlignment="1">
      <alignment/>
    </xf>
    <xf numFmtId="0" fontId="67" fillId="34" borderId="10" xfId="0" applyFont="1" applyFill="1" applyBorder="1" applyAlignment="1">
      <alignment horizontal="left" wrapText="1"/>
    </xf>
    <xf numFmtId="0" fontId="62" fillId="34" borderId="10" xfId="0" applyFont="1" applyFill="1" applyBorder="1" applyAlignment="1">
      <alignment/>
    </xf>
    <xf numFmtId="3" fontId="73" fillId="0" borderId="10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7" xfId="0" applyFont="1" applyFill="1" applyBorder="1" applyAlignment="1">
      <alignment/>
    </xf>
    <xf numFmtId="3" fontId="5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0" fillId="36" borderId="10" xfId="0" applyNumberFormat="1" applyFill="1" applyBorder="1" applyAlignment="1">
      <alignment/>
    </xf>
    <xf numFmtId="3" fontId="0" fillId="2" borderId="43" xfId="0" applyNumberFormat="1" applyFill="1" applyBorder="1" applyAlignment="1">
      <alignment wrapText="1"/>
    </xf>
    <xf numFmtId="0" fontId="16" fillId="34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5" fillId="0" borderId="10" xfId="0" applyFont="1" applyBorder="1" applyAlignment="1">
      <alignment/>
    </xf>
    <xf numFmtId="0" fontId="67" fillId="0" borderId="10" xfId="0" applyFont="1" applyBorder="1" applyAlignment="1">
      <alignment wrapText="1"/>
    </xf>
    <xf numFmtId="0" fontId="0" fillId="0" borderId="17" xfId="0" applyFill="1" applyBorder="1" applyAlignment="1">
      <alignment horizontal="left"/>
    </xf>
    <xf numFmtId="165" fontId="0" fillId="2" borderId="17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55" fillId="0" borderId="16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20" xfId="0" applyBorder="1" applyAlignment="1">
      <alignment/>
    </xf>
    <xf numFmtId="0" fontId="66" fillId="0" borderId="17" xfId="0" applyFont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55" fillId="0" borderId="11" xfId="0" applyFont="1" applyFill="1" applyBorder="1" applyAlignment="1">
      <alignment horizontal="left"/>
    </xf>
    <xf numFmtId="0" fontId="55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7" xfId="0" applyFont="1" applyFill="1" applyBorder="1" applyAlignment="1">
      <alignment/>
    </xf>
    <xf numFmtId="166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68" fillId="0" borderId="1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2" fillId="0" borderId="17" xfId="0" applyFont="1" applyBorder="1" applyAlignment="1">
      <alignment horizontal="left"/>
    </xf>
    <xf numFmtId="0" fontId="68" fillId="0" borderId="17" xfId="0" applyFont="1" applyBorder="1" applyAlignment="1">
      <alignment/>
    </xf>
    <xf numFmtId="3" fontId="0" fillId="2" borderId="52" xfId="0" applyNumberFormat="1" applyFill="1" applyBorder="1" applyAlignment="1">
      <alignment horizontal="center" vertical="center" wrapText="1"/>
    </xf>
    <xf numFmtId="3" fontId="66" fillId="0" borderId="0" xfId="0" applyNumberFormat="1" applyFont="1" applyFill="1" applyBorder="1" applyAlignment="1">
      <alignment/>
    </xf>
    <xf numFmtId="0" fontId="62" fillId="0" borderId="0" xfId="0" applyFont="1" applyAlignment="1">
      <alignment/>
    </xf>
    <xf numFmtId="0" fontId="68" fillId="0" borderId="0" xfId="0" applyFont="1" applyAlignment="1">
      <alignment/>
    </xf>
    <xf numFmtId="0" fontId="62" fillId="0" borderId="0" xfId="0" applyFont="1" applyBorder="1" applyAlignment="1">
      <alignment horizontal="left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right" vertical="center"/>
    </xf>
    <xf numFmtId="3" fontId="68" fillId="0" borderId="10" xfId="0" applyNumberFormat="1" applyFont="1" applyBorder="1" applyAlignment="1">
      <alignment horizontal="right"/>
    </xf>
    <xf numFmtId="0" fontId="68" fillId="0" borderId="26" xfId="0" applyFont="1" applyBorder="1" applyAlignment="1">
      <alignment horizontal="right" vertical="center"/>
    </xf>
    <xf numFmtId="3" fontId="68" fillId="0" borderId="26" xfId="0" applyNumberFormat="1" applyFont="1" applyBorder="1" applyAlignment="1">
      <alignment horizontal="right"/>
    </xf>
    <xf numFmtId="0" fontId="68" fillId="0" borderId="0" xfId="0" applyFont="1" applyAlignment="1">
      <alignment horizontal="right" vertical="center"/>
    </xf>
    <xf numFmtId="3" fontId="68" fillId="0" borderId="35" xfId="0" applyNumberFormat="1" applyFont="1" applyBorder="1" applyAlignment="1">
      <alignment horizontal="right"/>
    </xf>
    <xf numFmtId="0" fontId="67" fillId="0" borderId="16" xfId="0" applyFont="1" applyBorder="1" applyAlignment="1">
      <alignment horizontal="left"/>
    </xf>
    <xf numFmtId="0" fontId="55" fillId="0" borderId="0" xfId="0" applyFont="1" applyFill="1" applyAlignment="1">
      <alignment horizontal="center" wrapText="1"/>
    </xf>
    <xf numFmtId="0" fontId="68" fillId="0" borderId="10" xfId="0" applyFont="1" applyFill="1" applyBorder="1" applyAlignment="1">
      <alignment/>
    </xf>
    <xf numFmtId="165" fontId="0" fillId="0" borderId="27" xfId="0" applyNumberFormat="1" applyBorder="1" applyAlignment="1">
      <alignment horizontal="center"/>
    </xf>
    <xf numFmtId="0" fontId="0" fillId="34" borderId="17" xfId="0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68" fillId="0" borderId="10" xfId="0" applyNumberFormat="1" applyFont="1" applyBorder="1" applyAlignment="1">
      <alignment horizontal="right" vertical="center" wrapText="1"/>
    </xf>
    <xf numFmtId="0" fontId="55" fillId="0" borderId="17" xfId="0" applyFont="1" applyBorder="1" applyAlignment="1">
      <alignment/>
    </xf>
    <xf numFmtId="0" fontId="70" fillId="0" borderId="18" xfId="0" applyFont="1" applyBorder="1" applyAlignment="1">
      <alignment/>
    </xf>
    <xf numFmtId="0" fontId="70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70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55" fillId="0" borderId="23" xfId="0" applyFont="1" applyBorder="1" applyAlignment="1">
      <alignment horizontal="right"/>
    </xf>
    <xf numFmtId="0" fontId="55" fillId="0" borderId="24" xfId="0" applyFont="1" applyBorder="1" applyAlignment="1">
      <alignment horizontal="left"/>
    </xf>
    <xf numFmtId="0" fontId="55" fillId="0" borderId="25" xfId="0" applyFont="1" applyBorder="1" applyAlignment="1">
      <alignment/>
    </xf>
    <xf numFmtId="0" fontId="70" fillId="0" borderId="20" xfId="0" applyFont="1" applyBorder="1" applyAlignment="1">
      <alignment/>
    </xf>
    <xf numFmtId="0" fontId="70" fillId="0" borderId="22" xfId="0" applyFont="1" applyBorder="1" applyAlignment="1">
      <alignment/>
    </xf>
    <xf numFmtId="0" fontId="55" fillId="0" borderId="23" xfId="0" applyFont="1" applyBorder="1" applyAlignment="1">
      <alignment/>
    </xf>
    <xf numFmtId="0" fontId="55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55" fillId="0" borderId="22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18" xfId="0" applyFont="1" applyBorder="1" applyAlignment="1">
      <alignment horizontal="right"/>
    </xf>
    <xf numFmtId="0" fontId="55" fillId="0" borderId="19" xfId="0" applyFont="1" applyBorder="1" applyAlignment="1">
      <alignment/>
    </xf>
    <xf numFmtId="0" fontId="55" fillId="0" borderId="18" xfId="0" applyFont="1" applyFill="1" applyBorder="1" applyAlignment="1">
      <alignment/>
    </xf>
    <xf numFmtId="164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64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/>
    </xf>
    <xf numFmtId="0" fontId="55" fillId="0" borderId="18" xfId="0" applyFont="1" applyFill="1" applyBorder="1" applyAlignment="1">
      <alignment horizontal="right" wrapText="1"/>
    </xf>
    <xf numFmtId="0" fontId="55" fillId="0" borderId="20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21" xfId="0" applyFont="1" applyBorder="1" applyAlignment="1">
      <alignment horizontal="right" wrapText="1"/>
    </xf>
    <xf numFmtId="0" fontId="6" fillId="0" borderId="18" xfId="0" applyFont="1" applyFill="1" applyBorder="1" applyAlignment="1">
      <alignment horizontal="right"/>
    </xf>
    <xf numFmtId="0" fontId="55" fillId="0" borderId="18" xfId="0" applyFont="1" applyFill="1" applyBorder="1" applyAlignment="1">
      <alignment horizontal="right"/>
    </xf>
    <xf numFmtId="0" fontId="55" fillId="0" borderId="21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left"/>
    </xf>
    <xf numFmtId="0" fontId="55" fillId="0" borderId="23" xfId="0" applyFont="1" applyFill="1" applyBorder="1" applyAlignment="1">
      <alignment horizontal="right"/>
    </xf>
    <xf numFmtId="0" fontId="55" fillId="0" borderId="18" xfId="0" applyFont="1" applyFill="1" applyBorder="1" applyAlignment="1">
      <alignment horizontal="right" wrapText="1"/>
    </xf>
    <xf numFmtId="0" fontId="55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18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7" fillId="0" borderId="18" xfId="0" applyFont="1" applyFill="1" applyBorder="1" applyAlignment="1">
      <alignment wrapText="1"/>
    </xf>
    <xf numFmtId="0" fontId="17" fillId="0" borderId="19" xfId="0" applyFont="1" applyFill="1" applyBorder="1" applyAlignment="1">
      <alignment/>
    </xf>
    <xf numFmtId="0" fontId="17" fillId="0" borderId="21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21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right" wrapText="1"/>
    </xf>
    <xf numFmtId="0" fontId="17" fillId="0" borderId="2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55" fillId="0" borderId="19" xfId="0" applyFont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5" fillId="0" borderId="22" xfId="0" applyFont="1" applyBorder="1" applyAlignment="1">
      <alignment horizontal="left"/>
    </xf>
    <xf numFmtId="0" fontId="55" fillId="0" borderId="21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55" fillId="0" borderId="25" xfId="0" applyFont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55" fillId="0" borderId="24" xfId="0" applyFont="1" applyBorder="1" applyAlignment="1">
      <alignment horizontal="left"/>
    </xf>
    <xf numFmtId="0" fontId="55" fillId="0" borderId="25" xfId="0" applyFont="1" applyBorder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right" vertical="center" wrapText="1"/>
    </xf>
    <xf numFmtId="0" fontId="55" fillId="0" borderId="24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left"/>
    </xf>
    <xf numFmtId="0" fontId="55" fillId="0" borderId="22" xfId="0" applyFont="1" applyBorder="1" applyAlignment="1">
      <alignment/>
    </xf>
    <xf numFmtId="0" fontId="67" fillId="0" borderId="0" xfId="0" applyFont="1" applyBorder="1" applyAlignment="1">
      <alignment/>
    </xf>
    <xf numFmtId="0" fontId="70" fillId="0" borderId="20" xfId="0" applyFont="1" applyFill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70" fillId="0" borderId="23" xfId="0" applyFont="1" applyBorder="1" applyAlignment="1">
      <alignment/>
    </xf>
    <xf numFmtId="0" fontId="55" fillId="0" borderId="25" xfId="0" applyFont="1" applyBorder="1" applyAlignment="1">
      <alignment horizontal="left"/>
    </xf>
    <xf numFmtId="0" fontId="70" fillId="0" borderId="23" xfId="0" applyFont="1" applyFill="1" applyBorder="1" applyAlignment="1">
      <alignment horizontal="right" wrapText="1"/>
    </xf>
    <xf numFmtId="0" fontId="55" fillId="0" borderId="25" xfId="0" applyFont="1" applyBorder="1" applyAlignment="1">
      <alignment/>
    </xf>
    <xf numFmtId="0" fontId="55" fillId="0" borderId="0" xfId="0" applyFont="1" applyAlignment="1">
      <alignment/>
    </xf>
    <xf numFmtId="0" fontId="55" fillId="0" borderId="21" xfId="0" applyFont="1" applyBorder="1" applyAlignment="1">
      <alignment wrapText="1"/>
    </xf>
    <xf numFmtId="0" fontId="55" fillId="0" borderId="23" xfId="0" applyFont="1" applyBorder="1" applyAlignment="1">
      <alignment wrapText="1"/>
    </xf>
    <xf numFmtId="0" fontId="67" fillId="0" borderId="11" xfId="0" applyFont="1" applyBorder="1" applyAlignment="1">
      <alignment horizontal="center" wrapText="1"/>
    </xf>
    <xf numFmtId="0" fontId="70" fillId="0" borderId="18" xfId="0" applyFont="1" applyFill="1" applyBorder="1" applyAlignment="1">
      <alignment horizontal="right" wrapText="1"/>
    </xf>
    <xf numFmtId="0" fontId="70" fillId="0" borderId="19" xfId="0" applyFont="1" applyFill="1" applyBorder="1" applyAlignment="1">
      <alignment horizontal="left"/>
    </xf>
    <xf numFmtId="0" fontId="55" fillId="0" borderId="2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5" fillId="0" borderId="19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17" fillId="0" borderId="18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0" xfId="0" applyFont="1" applyFill="1" applyBorder="1" applyAlignment="1">
      <alignment wrapText="1"/>
    </xf>
    <xf numFmtId="0" fontId="17" fillId="0" borderId="22" xfId="0" applyFont="1" applyFill="1" applyBorder="1" applyAlignment="1">
      <alignment wrapText="1"/>
    </xf>
    <xf numFmtId="0" fontId="17" fillId="0" borderId="25" xfId="0" applyFont="1" applyFill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18" xfId="0" applyFont="1" applyBorder="1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5" fillId="35" borderId="27" xfId="0" applyFont="1" applyFill="1" applyBorder="1" applyAlignment="1">
      <alignment horizontal="center" vertical="center"/>
    </xf>
    <xf numFmtId="0" fontId="65" fillId="35" borderId="58" xfId="0" applyFont="1" applyFill="1" applyBorder="1" applyAlignment="1">
      <alignment horizontal="center" vertical="center"/>
    </xf>
    <xf numFmtId="0" fontId="65" fillId="35" borderId="43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0" fillId="2" borderId="4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 wrapText="1"/>
    </xf>
    <xf numFmtId="164" fontId="0" fillId="2" borderId="41" xfId="0" applyNumberFormat="1" applyFill="1" applyBorder="1" applyAlignment="1">
      <alignment horizontal="center" vertical="center" wrapText="1"/>
    </xf>
    <xf numFmtId="164" fontId="0" fillId="2" borderId="45" xfId="0" applyNumberForma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3" fontId="0" fillId="2" borderId="28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center" vertical="center" wrapText="1"/>
    </xf>
    <xf numFmtId="3" fontId="0" fillId="2" borderId="38" xfId="0" applyNumberFormat="1" applyFill="1" applyBorder="1" applyAlignment="1">
      <alignment horizontal="center" vertical="center" wrapText="1"/>
    </xf>
    <xf numFmtId="164" fontId="0" fillId="2" borderId="59" xfId="0" applyNumberFormat="1" applyFont="1" applyFill="1" applyBorder="1" applyAlignment="1">
      <alignment horizontal="center" vertical="center" wrapText="1"/>
    </xf>
    <xf numFmtId="164" fontId="0" fillId="2" borderId="27" xfId="0" applyNumberFormat="1" applyFont="1" applyFill="1" applyBorder="1" applyAlignment="1">
      <alignment horizontal="center" vertical="center" wrapText="1"/>
    </xf>
    <xf numFmtId="164" fontId="0" fillId="2" borderId="49" xfId="0" applyNumberFormat="1" applyFont="1" applyFill="1" applyBorder="1" applyAlignment="1">
      <alignment horizontal="center" vertical="center" wrapText="1"/>
    </xf>
    <xf numFmtId="0" fontId="0" fillId="2" borderId="6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54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58" xfId="0" applyFont="1" applyFill="1" applyBorder="1" applyAlignment="1">
      <alignment horizontal="center" vertical="center"/>
    </xf>
    <xf numFmtId="0" fontId="62" fillId="34" borderId="43" xfId="0" applyFont="1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165" fontId="0" fillId="2" borderId="41" xfId="0" applyNumberFormat="1" applyFill="1" applyBorder="1" applyAlignment="1">
      <alignment horizontal="center" vertical="center" wrapText="1"/>
    </xf>
    <xf numFmtId="165" fontId="0" fillId="2" borderId="10" xfId="0" applyNumberFormat="1" applyFill="1" applyBorder="1" applyAlignment="1">
      <alignment horizontal="center" vertical="center" wrapText="1"/>
    </xf>
    <xf numFmtId="165" fontId="0" fillId="2" borderId="26" xfId="0" applyNumberFormat="1" applyFill="1" applyBorder="1" applyAlignment="1">
      <alignment horizontal="center" vertical="center" wrapText="1"/>
    </xf>
    <xf numFmtId="3" fontId="0" fillId="2" borderId="41" xfId="0" applyNumberFormat="1" applyFill="1" applyBorder="1" applyAlignment="1">
      <alignment horizontal="center" vertical="center" wrapText="1"/>
    </xf>
    <xf numFmtId="3" fontId="0" fillId="2" borderId="26" xfId="0" applyNumberFormat="1" applyFill="1" applyBorder="1" applyAlignment="1">
      <alignment horizontal="center" vertical="center" wrapText="1"/>
    </xf>
    <xf numFmtId="0" fontId="62" fillId="35" borderId="27" xfId="0" applyFont="1" applyFill="1" applyBorder="1" applyAlignment="1">
      <alignment horizontal="center" vertical="center"/>
    </xf>
    <xf numFmtId="0" fontId="62" fillId="35" borderId="58" xfId="0" applyFont="1" applyFill="1" applyBorder="1" applyAlignment="1">
      <alignment horizontal="center" vertical="center"/>
    </xf>
    <xf numFmtId="0" fontId="62" fillId="35" borderId="43" xfId="0" applyFont="1" applyFill="1" applyBorder="1" applyAlignment="1">
      <alignment horizontal="center" vertical="center"/>
    </xf>
    <xf numFmtId="164" fontId="0" fillId="2" borderId="41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26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3" fontId="67" fillId="2" borderId="28" xfId="0" applyNumberFormat="1" applyFont="1" applyFill="1" applyBorder="1" applyAlignment="1">
      <alignment horizontal="center" vertical="center" wrapText="1"/>
    </xf>
    <xf numFmtId="3" fontId="67" fillId="2" borderId="10" xfId="0" applyNumberFormat="1" applyFont="1" applyFill="1" applyBorder="1" applyAlignment="1">
      <alignment horizontal="center" vertical="center" wrapText="1"/>
    </xf>
    <xf numFmtId="3" fontId="67" fillId="2" borderId="38" xfId="0" applyNumberFormat="1" applyFont="1" applyFill="1" applyBorder="1" applyAlignment="1">
      <alignment horizontal="center" vertical="center" wrapText="1"/>
    </xf>
    <xf numFmtId="164" fontId="67" fillId="2" borderId="51" xfId="0" applyNumberFormat="1" applyFont="1" applyFill="1" applyBorder="1" applyAlignment="1">
      <alignment horizontal="center" vertical="center" wrapText="1"/>
    </xf>
    <xf numFmtId="164" fontId="67" fillId="2" borderId="41" xfId="0" applyNumberFormat="1" applyFont="1" applyFill="1" applyBorder="1" applyAlignment="1">
      <alignment horizontal="center" vertical="center" wrapText="1"/>
    </xf>
    <xf numFmtId="164" fontId="67" fillId="2" borderId="45" xfId="0" applyNumberFormat="1" applyFont="1" applyFill="1" applyBorder="1" applyAlignment="1">
      <alignment horizontal="center" vertical="center" wrapText="1"/>
    </xf>
    <xf numFmtId="0" fontId="67" fillId="2" borderId="41" xfId="0" applyFont="1" applyFill="1" applyBorder="1" applyAlignment="1">
      <alignment horizontal="center" vertical="center" wrapText="1"/>
    </xf>
    <xf numFmtId="0" fontId="67" fillId="2" borderId="10" xfId="0" applyFont="1" applyFill="1" applyBorder="1" applyAlignment="1">
      <alignment horizontal="center" vertical="center" wrapText="1"/>
    </xf>
    <xf numFmtId="0" fontId="67" fillId="2" borderId="26" xfId="0" applyFont="1" applyFill="1" applyBorder="1" applyAlignment="1">
      <alignment horizontal="center" vertical="center" wrapText="1"/>
    </xf>
    <xf numFmtId="0" fontId="67" fillId="2" borderId="41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67" fillId="2" borderId="26" xfId="0" applyFont="1" applyFill="1" applyBorder="1" applyAlignment="1">
      <alignment horizontal="center" vertical="center"/>
    </xf>
    <xf numFmtId="164" fontId="67" fillId="2" borderId="59" xfId="0" applyNumberFormat="1" applyFont="1" applyFill="1" applyBorder="1" applyAlignment="1">
      <alignment horizontal="center" vertical="center" wrapText="1"/>
    </xf>
    <xf numFmtId="164" fontId="67" fillId="2" borderId="27" xfId="0" applyNumberFormat="1" applyFont="1" applyFill="1" applyBorder="1" applyAlignment="1">
      <alignment horizontal="center" vertical="center" wrapText="1"/>
    </xf>
    <xf numFmtId="164" fontId="67" fillId="2" borderId="49" xfId="0" applyNumberFormat="1" applyFont="1" applyFill="1" applyBorder="1" applyAlignment="1">
      <alignment horizontal="center" vertical="center" wrapText="1"/>
    </xf>
    <xf numFmtId="0" fontId="67" fillId="2" borderId="62" xfId="0" applyFont="1" applyFill="1" applyBorder="1" applyAlignment="1">
      <alignment horizontal="center" vertical="center" wrapText="1"/>
    </xf>
    <xf numFmtId="0" fontId="67" fillId="2" borderId="63" xfId="0" applyFont="1" applyFill="1" applyBorder="1" applyAlignment="1">
      <alignment horizontal="center" vertical="center" wrapText="1"/>
    </xf>
    <xf numFmtId="0" fontId="67" fillId="2" borderId="54" xfId="0" applyFont="1" applyFill="1" applyBorder="1" applyAlignment="1">
      <alignment horizontal="center" vertical="center" wrapText="1"/>
    </xf>
    <xf numFmtId="3" fontId="0" fillId="2" borderId="52" xfId="0" applyNumberFormat="1" applyFill="1" applyBorder="1" applyAlignment="1">
      <alignment horizontal="center" vertical="center" wrapText="1"/>
    </xf>
    <xf numFmtId="3" fontId="0" fillId="2" borderId="56" xfId="0" applyNumberFormat="1" applyFill="1" applyBorder="1" applyAlignment="1">
      <alignment horizontal="center" vertical="center" wrapText="1"/>
    </xf>
    <xf numFmtId="3" fontId="0" fillId="2" borderId="65" xfId="0" applyNumberFormat="1" applyFill="1" applyBorder="1" applyAlignment="1">
      <alignment horizontal="center" vertical="center" wrapText="1"/>
    </xf>
    <xf numFmtId="3" fontId="0" fillId="2" borderId="61" xfId="0" applyNumberFormat="1" applyFill="1" applyBorder="1" applyAlignment="1">
      <alignment horizontal="center" vertical="center" wrapText="1"/>
    </xf>
    <xf numFmtId="3" fontId="0" fillId="2" borderId="66" xfId="0" applyNumberFormat="1" applyFill="1" applyBorder="1" applyAlignment="1">
      <alignment horizontal="center" vertical="center" wrapText="1"/>
    </xf>
    <xf numFmtId="3" fontId="0" fillId="2" borderId="47" xfId="0" applyNumberFormat="1" applyFill="1" applyBorder="1" applyAlignment="1">
      <alignment horizontal="center" vertical="center" wrapText="1"/>
    </xf>
    <xf numFmtId="3" fontId="0" fillId="2" borderId="54" xfId="0" applyNumberForma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55" xfId="0" applyNumberFormat="1" applyFill="1" applyBorder="1" applyAlignment="1">
      <alignment horizontal="center" vertical="center" wrapText="1"/>
    </xf>
    <xf numFmtId="164" fontId="0" fillId="2" borderId="67" xfId="0" applyNumberFormat="1" applyFill="1" applyBorder="1" applyAlignment="1">
      <alignment horizontal="center" vertical="center" wrapText="1"/>
    </xf>
    <xf numFmtId="164" fontId="0" fillId="2" borderId="68" xfId="0" applyNumberFormat="1" applyFill="1" applyBorder="1" applyAlignment="1">
      <alignment horizontal="center" vertical="center" wrapText="1"/>
    </xf>
    <xf numFmtId="164" fontId="0" fillId="2" borderId="69" xfId="0" applyNumberFormat="1" applyFill="1" applyBorder="1" applyAlignment="1">
      <alignment horizontal="center" vertical="center" wrapText="1"/>
    </xf>
    <xf numFmtId="0" fontId="67" fillId="2" borderId="60" xfId="0" applyFont="1" applyFill="1" applyBorder="1" applyAlignment="1">
      <alignment horizontal="center" vertical="center" wrapText="1"/>
    </xf>
    <xf numFmtId="0" fontId="67" fillId="2" borderId="16" xfId="0" applyFont="1" applyFill="1" applyBorder="1" applyAlignment="1">
      <alignment horizontal="center" vertical="center" wrapText="1"/>
    </xf>
    <xf numFmtId="0" fontId="67" fillId="2" borderId="55" xfId="0" applyFont="1" applyFill="1" applyBorder="1" applyAlignment="1">
      <alignment horizontal="center" vertical="center" wrapText="1"/>
    </xf>
    <xf numFmtId="164" fontId="67" fillId="2" borderId="64" xfId="0" applyNumberFormat="1" applyFont="1" applyFill="1" applyBorder="1" applyAlignment="1">
      <alignment horizontal="center" vertical="center" wrapText="1"/>
    </xf>
    <xf numFmtId="164" fontId="67" fillId="2" borderId="48" xfId="0" applyNumberFormat="1" applyFont="1" applyFill="1" applyBorder="1" applyAlignment="1">
      <alignment horizontal="center" vertical="center" wrapText="1"/>
    </xf>
    <xf numFmtId="164" fontId="67" fillId="2" borderId="56" xfId="0" applyNumberFormat="1" applyFont="1" applyFill="1" applyBorder="1" applyAlignment="1">
      <alignment horizontal="center" vertical="center" wrapText="1"/>
    </xf>
    <xf numFmtId="164" fontId="67" fillId="2" borderId="65" xfId="0" applyNumberFormat="1" applyFont="1" applyFill="1" applyBorder="1" applyAlignment="1">
      <alignment horizontal="center" vertical="center" wrapText="1"/>
    </xf>
    <xf numFmtId="164" fontId="67" fillId="2" borderId="61" xfId="0" applyNumberFormat="1" applyFont="1" applyFill="1" applyBorder="1" applyAlignment="1">
      <alignment horizontal="center" vertical="center" wrapText="1"/>
    </xf>
    <xf numFmtId="164" fontId="67" fillId="2" borderId="66" xfId="0" applyNumberFormat="1" applyFont="1" applyFill="1" applyBorder="1" applyAlignment="1">
      <alignment horizontal="center" vertical="center" wrapText="1"/>
    </xf>
    <xf numFmtId="3" fontId="67" fillId="2" borderId="70" xfId="0" applyNumberFormat="1" applyFont="1" applyFill="1" applyBorder="1" applyAlignment="1">
      <alignment horizontal="center" vertical="center" wrapText="1"/>
    </xf>
    <xf numFmtId="3" fontId="67" fillId="2" borderId="58" xfId="0" applyNumberFormat="1" applyFont="1" applyFill="1" applyBorder="1" applyAlignment="1">
      <alignment horizontal="center" vertical="center" wrapText="1"/>
    </xf>
    <xf numFmtId="3" fontId="67" fillId="2" borderId="71" xfId="0" applyNumberFormat="1" applyFont="1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73" xfId="0" applyFill="1" applyBorder="1" applyAlignment="1">
      <alignment horizontal="center" vertical="center" wrapText="1"/>
    </xf>
    <xf numFmtId="0" fontId="0" fillId="2" borderId="74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6" sqref="A6"/>
    </sheetView>
  </sheetViews>
  <sheetFormatPr defaultColWidth="8.796875" defaultRowHeight="14.25"/>
  <cols>
    <col min="1" max="1" width="27.5" style="0" customWidth="1"/>
    <col min="2" max="2" width="23.09765625" style="0" customWidth="1"/>
    <col min="3" max="3" width="18.59765625" style="0" customWidth="1"/>
    <col min="4" max="4" width="13.09765625" style="0" customWidth="1"/>
    <col min="5" max="5" width="12" style="0" customWidth="1"/>
    <col min="6" max="6" width="12.69921875" style="0" customWidth="1"/>
    <col min="7" max="7" width="19.09765625" style="0" customWidth="1"/>
  </cols>
  <sheetData>
    <row r="1" spans="1:12" ht="33.75" customHeight="1">
      <c r="A1" s="671" t="s">
        <v>1995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2" ht="15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</row>
    <row r="3" spans="1:12" ht="15.75">
      <c r="A3" s="529" t="s">
        <v>1996</v>
      </c>
      <c r="B3" s="529"/>
      <c r="C3" s="529"/>
      <c r="D3" s="528"/>
      <c r="E3" s="528"/>
      <c r="F3" s="528"/>
      <c r="G3" s="528"/>
      <c r="H3" s="528"/>
      <c r="I3" s="528"/>
      <c r="J3" s="528"/>
      <c r="K3" s="528"/>
      <c r="L3" s="528"/>
    </row>
    <row r="4" spans="1:12" ht="15.75">
      <c r="A4" s="529"/>
      <c r="B4" s="672"/>
      <c r="C4" s="672"/>
      <c r="D4" s="672"/>
      <c r="E4" s="672"/>
      <c r="F4" s="528"/>
      <c r="G4" s="528"/>
      <c r="H4" s="528"/>
      <c r="I4" s="528"/>
      <c r="J4" s="528"/>
      <c r="K4" s="528"/>
      <c r="L4" s="528"/>
    </row>
    <row r="5" spans="1:12" ht="21.75" customHeight="1">
      <c r="A5" s="529" t="s">
        <v>967</v>
      </c>
      <c r="B5" s="529"/>
      <c r="C5" s="529"/>
      <c r="D5" s="528"/>
      <c r="E5" s="528"/>
      <c r="F5" s="528"/>
      <c r="G5" s="528"/>
      <c r="H5" s="528"/>
      <c r="I5" s="528"/>
      <c r="J5" s="528"/>
      <c r="K5" s="528"/>
      <c r="L5" s="528"/>
    </row>
    <row r="6" spans="1:12" ht="21.75" customHeight="1">
      <c r="A6" s="528" t="s">
        <v>1986</v>
      </c>
      <c r="B6" s="529"/>
      <c r="C6" s="529"/>
      <c r="D6" s="528"/>
      <c r="E6" s="528"/>
      <c r="F6" s="528"/>
      <c r="G6" s="528"/>
      <c r="H6" s="528"/>
      <c r="I6" s="528"/>
      <c r="J6" s="528"/>
      <c r="K6" s="528"/>
      <c r="L6" s="528"/>
    </row>
    <row r="7" spans="1:12" ht="21.75" customHeight="1">
      <c r="A7" s="530" t="s">
        <v>1987</v>
      </c>
      <c r="B7" s="529"/>
      <c r="C7" s="529"/>
      <c r="D7" s="528"/>
      <c r="E7" s="528"/>
      <c r="F7" s="528"/>
      <c r="G7" s="528"/>
      <c r="H7" s="528"/>
      <c r="I7" s="528"/>
      <c r="J7" s="528"/>
      <c r="K7" s="528"/>
      <c r="L7" s="528"/>
    </row>
    <row r="8" spans="1:12" ht="21.75" customHeight="1">
      <c r="A8" s="530" t="s">
        <v>1988</v>
      </c>
      <c r="B8" s="529"/>
      <c r="C8" s="529"/>
      <c r="D8" s="528"/>
      <c r="E8" s="528"/>
      <c r="F8" s="528"/>
      <c r="G8" s="528"/>
      <c r="H8" s="528"/>
      <c r="I8" s="528"/>
      <c r="J8" s="528"/>
      <c r="K8" s="528"/>
      <c r="L8" s="528"/>
    </row>
    <row r="9" spans="1:12" ht="21.75" customHeight="1">
      <c r="A9" s="528" t="s">
        <v>1989</v>
      </c>
      <c r="B9" s="529"/>
      <c r="C9" s="529"/>
      <c r="D9" s="528"/>
      <c r="E9" s="528"/>
      <c r="F9" s="528"/>
      <c r="G9" s="528"/>
      <c r="H9" s="528"/>
      <c r="I9" s="528"/>
      <c r="J9" s="528"/>
      <c r="K9" s="528"/>
      <c r="L9" s="528"/>
    </row>
    <row r="10" ht="12.75" customHeight="1">
      <c r="F10" s="527"/>
    </row>
    <row r="11" spans="1:6" ht="77.25" customHeight="1">
      <c r="A11" s="531" t="s">
        <v>1990</v>
      </c>
      <c r="B11" s="531" t="s">
        <v>1991</v>
      </c>
      <c r="C11" s="531" t="s">
        <v>1992</v>
      </c>
      <c r="F11" s="527"/>
    </row>
    <row r="12" spans="1:6" ht="20.25">
      <c r="A12" s="532" t="s">
        <v>964</v>
      </c>
      <c r="B12" s="553">
        <f>'Gmina Mrozy Z'!I137</f>
        <v>716794</v>
      </c>
      <c r="C12" s="553">
        <f>'Gmina Mrozy Z'!K136</f>
        <v>94</v>
      </c>
      <c r="F12" s="527"/>
    </row>
    <row r="13" spans="1:6" ht="20.25" customHeight="1">
      <c r="A13" s="532" t="s">
        <v>284</v>
      </c>
      <c r="B13" s="533">
        <f>'Miasto Mińsk Z'!N130</f>
        <v>2434300</v>
      </c>
      <c r="C13" s="533">
        <f>'Miasto Mińsk Z'!P129</f>
        <v>89</v>
      </c>
      <c r="F13" s="527"/>
    </row>
    <row r="14" spans="1:6" ht="20.25" customHeight="1">
      <c r="A14" s="532" t="s">
        <v>372</v>
      </c>
      <c r="B14" s="533">
        <f>'Gmina Mińsk z'!M163</f>
        <v>1018833.2307692308</v>
      </c>
      <c r="C14" s="533">
        <f>'Gmina Mińsk z'!O162</f>
        <v>135</v>
      </c>
      <c r="F14" s="527"/>
    </row>
    <row r="15" spans="1:6" ht="20.25" customHeight="1">
      <c r="A15" s="532" t="s">
        <v>427</v>
      </c>
      <c r="B15" s="533">
        <f>'Gmina Halinów Z'!M125</f>
        <v>1073986</v>
      </c>
      <c r="C15" s="533">
        <f>'Gmina Halinów Z'!O124</f>
        <v>94</v>
      </c>
      <c r="F15" s="527"/>
    </row>
    <row r="16" spans="1:6" ht="20.25" customHeight="1">
      <c r="A16" s="532" t="s">
        <v>527</v>
      </c>
      <c r="B16" s="533">
        <f>'Gmina Dębe Wielkie z '!M127</f>
        <v>550207</v>
      </c>
      <c r="C16" s="533">
        <f>'Gmina Dębe Wielkie z '!O126</f>
        <v>87</v>
      </c>
      <c r="F16" s="527"/>
    </row>
    <row r="17" spans="1:6" ht="20.25" customHeight="1">
      <c r="A17" s="532" t="s">
        <v>1983</v>
      </c>
      <c r="B17" s="533">
        <f>'Gmina Siennica'!M109</f>
        <v>374517</v>
      </c>
      <c r="C17" s="533">
        <f>'Gmina Siennica'!O108</f>
        <v>79</v>
      </c>
      <c r="F17" s="527"/>
    </row>
    <row r="18" spans="1:6" ht="20.25" customHeight="1">
      <c r="A18" s="532" t="s">
        <v>718</v>
      </c>
      <c r="B18" s="533">
        <f>'Gmina Latowicz z'!M79</f>
        <v>185969</v>
      </c>
      <c r="C18" s="533">
        <f>'Gmina Latowicz z'!O78</f>
        <v>50</v>
      </c>
      <c r="F18" s="527"/>
    </row>
    <row r="19" spans="1:6" ht="20.25" customHeight="1">
      <c r="A19" s="532" t="s">
        <v>1817</v>
      </c>
      <c r="B19" s="533">
        <f>'Gmina Cegłów Z'!M91</f>
        <v>292753</v>
      </c>
      <c r="C19" s="533">
        <f>'Gmina Cegłów Z'!O90</f>
        <v>53</v>
      </c>
      <c r="F19" s="527"/>
    </row>
    <row r="20" spans="1:6" ht="20.25" customHeight="1">
      <c r="A20" s="532" t="s">
        <v>1685</v>
      </c>
      <c r="B20" s="533">
        <f>'Miasto Sulejówek Z'!M144</f>
        <v>1368170</v>
      </c>
      <c r="C20" s="533">
        <f>'Miasto Sulejówek Z'!O143</f>
        <v>114</v>
      </c>
      <c r="F20" s="527"/>
    </row>
    <row r="21" spans="1:6" ht="20.25" customHeight="1">
      <c r="A21" s="532" t="s">
        <v>1406</v>
      </c>
      <c r="B21" s="533">
        <f>'Gmina Dobre Z'!M104</f>
        <v>294400</v>
      </c>
      <c r="C21" s="533">
        <f>'Gmina Dobre Z'!O103</f>
        <v>77</v>
      </c>
      <c r="F21" s="527"/>
    </row>
    <row r="22" spans="1:6" ht="20.25" customHeight="1">
      <c r="A22" s="532" t="s">
        <v>1375</v>
      </c>
      <c r="B22" s="533">
        <f>'Gmina Jakubów z'!M97</f>
        <v>270587</v>
      </c>
      <c r="C22" s="533">
        <f>'Gmina Jakubów z'!O96</f>
        <v>59</v>
      </c>
      <c r="F22" s="527"/>
    </row>
    <row r="23" spans="1:6" ht="20.25" customHeight="1">
      <c r="A23" s="532" t="s">
        <v>1993</v>
      </c>
      <c r="B23" s="533">
        <f>'Gmina Kałuszyn z'!M84</f>
        <v>377482</v>
      </c>
      <c r="C23" s="533">
        <f>'Gmina Kałuszyn z'!O83</f>
        <v>47</v>
      </c>
      <c r="F23" s="527"/>
    </row>
    <row r="24" spans="1:6" ht="20.25" customHeight="1">
      <c r="A24" s="532" t="s">
        <v>1690</v>
      </c>
      <c r="B24" s="533">
        <f>'Gmina Stanisławów z'!M106</f>
        <v>486693</v>
      </c>
      <c r="C24" s="533">
        <f>'Gmina Stanisławów z'!O105</f>
        <v>67</v>
      </c>
      <c r="F24" s="527"/>
    </row>
    <row r="25" spans="1:6" ht="20.25" customHeight="1" thickBot="1">
      <c r="A25" s="534" t="s">
        <v>1864</v>
      </c>
      <c r="B25" s="535">
        <f>'Gmina Kotuń z'!M89</f>
        <v>304478</v>
      </c>
      <c r="C25" s="535">
        <f>'Gmina Kotuń z'!O88</f>
        <v>60</v>
      </c>
      <c r="F25" s="527"/>
    </row>
    <row r="26" spans="1:6" ht="20.25" customHeight="1" thickBot="1">
      <c r="A26" s="536" t="s">
        <v>1765</v>
      </c>
      <c r="B26" s="537">
        <f>SUM(B12:B25)</f>
        <v>9749169.230769232</v>
      </c>
      <c r="C26" s="537">
        <f>SUM(C12:C25)</f>
        <v>1105</v>
      </c>
      <c r="F26" s="527"/>
    </row>
    <row r="27" ht="12.75" customHeight="1">
      <c r="F27" s="527"/>
    </row>
    <row r="28" ht="12.75" customHeight="1">
      <c r="F28" s="527"/>
    </row>
    <row r="29" spans="1:7" ht="15.75">
      <c r="A29" s="672" t="s">
        <v>1994</v>
      </c>
      <c r="B29" s="672"/>
      <c r="C29" s="672"/>
      <c r="D29" s="672"/>
      <c r="E29" s="672"/>
      <c r="F29" s="672"/>
      <c r="G29" s="672"/>
    </row>
    <row r="30" ht="15" thickBot="1"/>
    <row r="31" spans="1:7" ht="28.5" customHeight="1">
      <c r="A31" s="664" t="s">
        <v>157</v>
      </c>
      <c r="B31" s="666" t="s">
        <v>1759</v>
      </c>
      <c r="C31" s="667"/>
      <c r="D31" s="667"/>
      <c r="E31" s="667"/>
      <c r="F31" s="668"/>
      <c r="G31" s="669" t="s">
        <v>1770</v>
      </c>
    </row>
    <row r="32" spans="1:7" ht="29.25" thickBot="1">
      <c r="A32" s="665"/>
      <c r="B32" s="364" t="s">
        <v>1760</v>
      </c>
      <c r="C32" s="365" t="s">
        <v>1761</v>
      </c>
      <c r="D32" s="365" t="s">
        <v>1762</v>
      </c>
      <c r="E32" s="365" t="s">
        <v>1763</v>
      </c>
      <c r="F32" s="366" t="s">
        <v>1764</v>
      </c>
      <c r="G32" s="670"/>
    </row>
    <row r="33" spans="1:7" ht="14.25">
      <c r="A33" s="456" t="s">
        <v>152</v>
      </c>
      <c r="B33" s="367">
        <f>'Gmina Mrozy Z'!H134+'Miasto Mińsk Z'!M126+'Gmina Dębe Wielkie z '!L123+'Miasto Sulejówek Z'!L140+'Gmina Jakubów z'!L93+'Gmina Kałuszyn z'!L81+'Gmina Stanisławów z'!L102</f>
        <v>210661</v>
      </c>
      <c r="C33" s="368"/>
      <c r="D33" s="368"/>
      <c r="E33" s="368"/>
      <c r="F33" s="376"/>
      <c r="G33" s="369">
        <f>'Gmina Mrozy Z'!K134+'Miasto Mińsk Z'!P126+'Gmina Dębe Wielkie z '!O123+'Miasto Sulejówek Z'!O140+'Gmina Jakubów z'!O93+'Gmina Kałuszyn z'!O81+'Gmina Stanisławów z'!O102</f>
        <v>46</v>
      </c>
    </row>
    <row r="34" spans="1:7" ht="14.25">
      <c r="A34" s="457" t="s">
        <v>154</v>
      </c>
      <c r="B34" s="370">
        <f>'Miasto Mińsk Z'!M127+'Gmina Mińsk z'!L161+'Gmina Siennica'!L106+'Miasto Sulejówek Z'!L141+'Gmina Jakubów z'!L94+'Gmina Stanisławów z'!L103+'Gmina Kotuń z'!L87</f>
        <v>3204022.230769231</v>
      </c>
      <c r="C34" s="371"/>
      <c r="D34" s="371"/>
      <c r="E34" s="371"/>
      <c r="F34" s="377"/>
      <c r="G34" s="372">
        <f>'Miasto Mińsk Z'!P127+'Gmina Mińsk z'!O161+'Gmina Siennica'!O106+'Miasto Sulejówek Z'!O141+'Gmina Jakubów z'!O94+'Gmina Stanisławów z'!O103+'Gmina Kotuń z'!O87</f>
        <v>393</v>
      </c>
    </row>
    <row r="35" spans="1:7" ht="14.25">
      <c r="A35" s="457" t="s">
        <v>16</v>
      </c>
      <c r="B35" s="373"/>
      <c r="C35" s="13">
        <f>'Gmina Mrozy Z'!I135+'Miasto Mińsk Z'!N128+'Gmina Halinów Z'!M122+'Gmina Dębe Wielkie z '!M124+'Gmina Siennica'!M107+'Gmina Latowicz z'!M77+'Gmina Cegłów Z'!M89+'Gmina Dobre Z'!M102+'Gmina Jakubów z'!M95+'Gmina Kałuszyn z'!M82+'Gmina Stanisławów z'!M104</f>
        <v>1083714</v>
      </c>
      <c r="D35" s="13">
        <f>'Gmina Mrozy Z'!J135+'Miasto Mińsk Z'!O128+'Gmina Halinów Z'!N122+'Gmina Dębe Wielkie z '!N124+'Gmina Siennica'!N107+'Gmina Latowicz z'!N77+'Gmina Cegłów Z'!N89+'Gmina Dobre Z'!N102+'Gmina Jakubów z'!N95+'Gmina Kałuszyn z'!N82+'Gmina Stanisławów z'!N104</f>
        <v>4155945</v>
      </c>
      <c r="E35" s="371"/>
      <c r="F35" s="377"/>
      <c r="G35" s="374">
        <f>'Gmina Mrozy Z'!K135+'Miasto Mińsk Z'!P128+'Gmina Halinów Z'!O122+'Gmina Dębe Wielkie z '!O124+'Gmina Siennica'!O107+'Gmina Latowicz z'!O77+'Gmina Cegłów Z'!O89+'Gmina Dobre Z'!O102+'Gmina Jakubów z'!O95+'Gmina Kałuszyn z'!O82+'Gmina Stanisławów z'!O104</f>
        <v>571</v>
      </c>
    </row>
    <row r="36" spans="1:7" ht="15" thickBot="1">
      <c r="A36" s="438" t="s">
        <v>377</v>
      </c>
      <c r="B36" s="378"/>
      <c r="C36" s="375"/>
      <c r="D36" s="375"/>
      <c r="E36" s="89">
        <f>'Gmina Halinów Z'!M123+'Gmina Dębe Wielkie z '!M125+'Miasto Sulejówek Z'!M142</f>
        <v>382649</v>
      </c>
      <c r="F36" s="379">
        <f>'Gmina Halinów Z'!N123+'Gmina Dębe Wielkie z '!N125+'Miasto Sulejówek Z'!N142</f>
        <v>712178</v>
      </c>
      <c r="G36" s="374">
        <f>'Gmina Halinów Z'!O123+'Gmina Dębe Wielkie z '!O125+'Miasto Sulejówek Z'!O142</f>
        <v>95</v>
      </c>
    </row>
    <row r="37" spans="5:7" ht="15.75" thickBot="1">
      <c r="E37" t="s">
        <v>1765</v>
      </c>
      <c r="F37" s="458">
        <f>SUM(B33:F36)</f>
        <v>9749169.230769232</v>
      </c>
      <c r="G37" s="459">
        <f>SUM(G33:G36)</f>
        <v>1105</v>
      </c>
    </row>
  </sheetData>
  <sheetProtection/>
  <mergeCells count="6">
    <mergeCell ref="A31:A32"/>
    <mergeCell ref="B31:F31"/>
    <mergeCell ref="G31:G32"/>
    <mergeCell ref="A1:L1"/>
    <mergeCell ref="B4:E4"/>
    <mergeCell ref="A29:G29"/>
  </mergeCells>
  <printOptions/>
  <pageMargins left="0.7" right="0.7" top="0.75" bottom="0.75" header="0.3" footer="0.3"/>
  <pageSetup horizontalDpi="600" verticalDpi="600" orientation="portrait" paperSize="9" r:id="rId1"/>
  <ignoredErrors>
    <ignoredError sqref="G37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54"/>
  <sheetViews>
    <sheetView zoomScale="90" zoomScaleNormal="90" zoomScalePageLayoutView="0" workbookViewId="0" topLeftCell="A127">
      <selection activeCell="D142" sqref="D142"/>
    </sheetView>
  </sheetViews>
  <sheetFormatPr defaultColWidth="8.796875" defaultRowHeight="14.25"/>
  <cols>
    <col min="1" max="1" width="11.8984375" style="0" customWidth="1"/>
    <col min="2" max="2" width="10.59765625" style="0" customWidth="1"/>
    <col min="3" max="3" width="14" style="0" customWidth="1"/>
    <col min="4" max="4" width="16.5" style="0" customWidth="1"/>
    <col min="5" max="5" width="11.19921875" style="0" customWidth="1"/>
    <col min="7" max="7" width="15.5" style="0" customWidth="1"/>
    <col min="8" max="8" width="25.09765625" style="0" customWidth="1"/>
    <col min="9" max="9" width="19" style="1" customWidth="1"/>
    <col min="10" max="10" width="14.5" style="1" customWidth="1"/>
    <col min="11" max="11" width="14.69921875" style="2" customWidth="1"/>
    <col min="12" max="12" width="15.8984375" style="2" customWidth="1"/>
    <col min="13" max="13" width="15.5" style="2" customWidth="1"/>
    <col min="14" max="14" width="16.69921875" style="2" customWidth="1"/>
    <col min="15" max="15" width="14.09765625" style="0" customWidth="1"/>
    <col min="18" max="18" width="18.59765625" style="0" customWidth="1"/>
  </cols>
  <sheetData>
    <row r="1" spans="2:11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1" ht="15">
      <c r="B2" s="222"/>
      <c r="C2" s="222"/>
      <c r="D2" s="222"/>
      <c r="E2" s="222"/>
      <c r="F2" s="222"/>
      <c r="G2" s="222"/>
      <c r="H2" s="223"/>
      <c r="I2" s="222"/>
      <c r="J2" s="233"/>
      <c r="K2" s="156"/>
    </row>
    <row r="3" spans="2:11" ht="30" customHeight="1">
      <c r="B3" s="715" t="s">
        <v>1050</v>
      </c>
      <c r="C3" s="716"/>
      <c r="D3" s="716"/>
      <c r="E3" s="716"/>
      <c r="F3" s="716"/>
      <c r="G3" s="716"/>
      <c r="H3" s="716"/>
      <c r="I3" s="717"/>
      <c r="J3" s="233"/>
      <c r="K3" s="156"/>
    </row>
    <row r="4" spans="2:11" ht="15">
      <c r="B4" s="223"/>
      <c r="C4" s="223"/>
      <c r="D4" s="223"/>
      <c r="E4" s="223"/>
      <c r="F4" s="223"/>
      <c r="G4" s="223"/>
      <c r="H4" s="223"/>
      <c r="I4" s="222"/>
      <c r="J4" s="233"/>
      <c r="K4" s="156"/>
    </row>
    <row r="5" spans="2:11" ht="15">
      <c r="B5" s="679" t="s">
        <v>1029</v>
      </c>
      <c r="C5" s="679"/>
      <c r="D5" s="679"/>
      <c r="E5" s="679"/>
      <c r="F5" s="679"/>
      <c r="G5" s="679"/>
      <c r="H5" s="679"/>
      <c r="I5" s="679"/>
      <c r="J5" s="233"/>
      <c r="K5" s="156"/>
    </row>
    <row r="6" spans="2:11" ht="15">
      <c r="B6" s="223"/>
      <c r="C6" s="223"/>
      <c r="D6" s="223"/>
      <c r="E6" s="223"/>
      <c r="F6" s="223"/>
      <c r="G6" s="223"/>
      <c r="H6" s="223"/>
      <c r="I6" s="222"/>
      <c r="J6" s="233"/>
      <c r="K6" s="156"/>
    </row>
    <row r="7" spans="2:11" ht="15.75">
      <c r="B7" s="225" t="s">
        <v>967</v>
      </c>
      <c r="C7" s="222"/>
      <c r="D7" s="223"/>
      <c r="E7" s="223"/>
      <c r="F7" s="223"/>
      <c r="G7" s="222"/>
      <c r="H7" s="223"/>
      <c r="I7" s="222"/>
      <c r="J7" s="233"/>
      <c r="K7" s="156"/>
    </row>
    <row r="8" spans="2:11" ht="15">
      <c r="B8" s="528" t="s">
        <v>1986</v>
      </c>
      <c r="C8" s="222"/>
      <c r="D8" s="223"/>
      <c r="E8" s="223"/>
      <c r="F8" s="223"/>
      <c r="G8" s="222"/>
      <c r="H8" s="223"/>
      <c r="I8" s="222"/>
      <c r="J8" s="233"/>
      <c r="K8" s="156"/>
    </row>
    <row r="9" spans="2:11" ht="15.75">
      <c r="B9" s="226" t="s">
        <v>1828</v>
      </c>
      <c r="C9" s="222"/>
      <c r="D9" s="227"/>
      <c r="E9" s="223"/>
      <c r="F9" s="223"/>
      <c r="G9" s="222"/>
      <c r="H9" s="223"/>
      <c r="I9" s="222"/>
      <c r="J9" s="233"/>
      <c r="K9" s="156"/>
    </row>
    <row r="10" spans="2:11" ht="15.75">
      <c r="B10" s="226" t="s">
        <v>1681</v>
      </c>
      <c r="C10" s="222"/>
      <c r="D10" s="227"/>
      <c r="E10" s="223"/>
      <c r="F10" s="223"/>
      <c r="G10" s="222"/>
      <c r="H10" s="223"/>
      <c r="I10" s="222"/>
      <c r="J10" s="233"/>
      <c r="K10" s="156"/>
    </row>
    <row r="11" spans="2:11" ht="15">
      <c r="B11" s="222" t="s">
        <v>1684</v>
      </c>
      <c r="C11" s="222"/>
      <c r="D11" s="222"/>
      <c r="E11" s="222"/>
      <c r="F11" s="222"/>
      <c r="G11" s="222"/>
      <c r="H11" s="223"/>
      <c r="I11" s="222"/>
      <c r="J11" s="233"/>
      <c r="K11" s="156"/>
    </row>
    <row r="12" spans="2:11" ht="15.75">
      <c r="B12" s="228"/>
      <c r="C12" s="229"/>
      <c r="D12" s="227"/>
      <c r="E12" s="227"/>
      <c r="F12" s="227"/>
      <c r="G12" s="227"/>
      <c r="H12" s="230"/>
      <c r="I12" s="222"/>
      <c r="J12" s="233"/>
      <c r="K12" s="156"/>
    </row>
    <row r="13" spans="2:11" ht="15.75"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33"/>
      <c r="K13" s="156"/>
    </row>
    <row r="14" spans="1:11" ht="15" thickBot="1">
      <c r="A14" s="31"/>
      <c r="B14" s="88"/>
      <c r="C14" s="31"/>
      <c r="D14" s="31"/>
      <c r="E14" s="31"/>
      <c r="F14" s="31"/>
      <c r="G14" s="31"/>
      <c r="H14" s="31"/>
      <c r="I14" s="88"/>
      <c r="J14" s="155"/>
      <c r="K14" s="156"/>
    </row>
    <row r="15" spans="1:15" ht="4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36.75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25.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ht="29.25">
      <c r="A18" s="277" t="s">
        <v>11</v>
      </c>
      <c r="B18" s="53" t="s">
        <v>756</v>
      </c>
      <c r="C18" s="53" t="s">
        <v>757</v>
      </c>
      <c r="D18" s="140" t="s">
        <v>758</v>
      </c>
      <c r="E18" s="53"/>
      <c r="F18" s="53" t="s">
        <v>759</v>
      </c>
      <c r="G18" s="53" t="s">
        <v>757</v>
      </c>
      <c r="H18" s="423" t="s">
        <v>1203</v>
      </c>
      <c r="I18" s="43">
        <v>256028</v>
      </c>
      <c r="J18" s="193" t="s">
        <v>154</v>
      </c>
      <c r="K18" s="166">
        <v>6.3</v>
      </c>
      <c r="L18" s="54">
        <f>72543-50781</f>
        <v>21762</v>
      </c>
      <c r="M18" s="55"/>
      <c r="N18" s="55"/>
      <c r="O18" s="54">
        <f>L18</f>
        <v>21762</v>
      </c>
    </row>
    <row r="19" spans="1:15" ht="43.5">
      <c r="A19" s="278" t="s">
        <v>11</v>
      </c>
      <c r="B19" s="56" t="s">
        <v>756</v>
      </c>
      <c r="C19" s="56" t="s">
        <v>757</v>
      </c>
      <c r="D19" s="61" t="s">
        <v>760</v>
      </c>
      <c r="E19" s="56"/>
      <c r="F19" s="56" t="s">
        <v>759</v>
      </c>
      <c r="G19" s="56" t="s">
        <v>757</v>
      </c>
      <c r="H19" s="425" t="s">
        <v>1204</v>
      </c>
      <c r="I19" s="47">
        <v>357151</v>
      </c>
      <c r="J19" s="158" t="s">
        <v>154</v>
      </c>
      <c r="K19" s="63">
        <v>10.8</v>
      </c>
      <c r="L19" s="13">
        <f>51046-35963</f>
        <v>15083</v>
      </c>
      <c r="M19" s="46"/>
      <c r="N19" s="46"/>
      <c r="O19" s="54">
        <f aca="true" t="shared" si="0" ref="O19:O82">L19</f>
        <v>15083</v>
      </c>
    </row>
    <row r="20" spans="1:15" ht="29.25" customHeight="1">
      <c r="A20" s="278" t="s">
        <v>11</v>
      </c>
      <c r="B20" s="56" t="s">
        <v>756</v>
      </c>
      <c r="C20" s="56" t="s">
        <v>757</v>
      </c>
      <c r="D20" s="61" t="s">
        <v>761</v>
      </c>
      <c r="E20" s="56"/>
      <c r="F20" s="56" t="s">
        <v>759</v>
      </c>
      <c r="G20" s="56" t="s">
        <v>757</v>
      </c>
      <c r="H20" s="425" t="s">
        <v>1205</v>
      </c>
      <c r="I20" s="47">
        <v>11202312</v>
      </c>
      <c r="J20" s="158" t="s">
        <v>154</v>
      </c>
      <c r="K20" s="63">
        <v>4.3</v>
      </c>
      <c r="L20" s="13">
        <f>242613-219192</f>
        <v>23421</v>
      </c>
      <c r="M20" s="46"/>
      <c r="N20" s="46"/>
      <c r="O20" s="54">
        <f t="shared" si="0"/>
        <v>23421</v>
      </c>
    </row>
    <row r="21" spans="1:15" ht="43.5">
      <c r="A21" s="278" t="s">
        <v>11</v>
      </c>
      <c r="B21" s="56" t="s">
        <v>756</v>
      </c>
      <c r="C21" s="56" t="s">
        <v>757</v>
      </c>
      <c r="D21" s="61" t="s">
        <v>762</v>
      </c>
      <c r="E21" s="56"/>
      <c r="F21" s="56" t="s">
        <v>759</v>
      </c>
      <c r="G21" s="56" t="s">
        <v>757</v>
      </c>
      <c r="H21" s="425" t="s">
        <v>1206</v>
      </c>
      <c r="I21" s="47">
        <v>356783</v>
      </c>
      <c r="J21" s="158" t="s">
        <v>154</v>
      </c>
      <c r="K21" s="63">
        <v>4.5</v>
      </c>
      <c r="L21" s="13">
        <f>160740-116323</f>
        <v>44417</v>
      </c>
      <c r="M21" s="46"/>
      <c r="N21" s="46"/>
      <c r="O21" s="54">
        <f t="shared" si="0"/>
        <v>44417</v>
      </c>
    </row>
    <row r="22" spans="1:15" ht="43.5">
      <c r="A22" s="278" t="s">
        <v>11</v>
      </c>
      <c r="B22" s="56" t="s">
        <v>756</v>
      </c>
      <c r="C22" s="56" t="s">
        <v>757</v>
      </c>
      <c r="D22" s="61" t="s">
        <v>763</v>
      </c>
      <c r="E22" s="56"/>
      <c r="F22" s="56" t="s">
        <v>759</v>
      </c>
      <c r="G22" s="56" t="s">
        <v>757</v>
      </c>
      <c r="H22" s="425" t="s">
        <v>1207</v>
      </c>
      <c r="I22" s="47">
        <v>8565535</v>
      </c>
      <c r="J22" s="158" t="s">
        <v>154</v>
      </c>
      <c r="K22" s="63">
        <v>3</v>
      </c>
      <c r="L22" s="13">
        <f>87115-76926</f>
        <v>10189</v>
      </c>
      <c r="M22" s="46"/>
      <c r="N22" s="46"/>
      <c r="O22" s="54">
        <f t="shared" si="0"/>
        <v>10189</v>
      </c>
    </row>
    <row r="23" spans="1:15" ht="29.25">
      <c r="A23" s="278" t="s">
        <v>11</v>
      </c>
      <c r="B23" s="56" t="s">
        <v>756</v>
      </c>
      <c r="C23" s="56" t="s">
        <v>757</v>
      </c>
      <c r="D23" s="61" t="s">
        <v>764</v>
      </c>
      <c r="E23" s="56"/>
      <c r="F23" s="56" t="s">
        <v>759</v>
      </c>
      <c r="G23" s="56" t="s">
        <v>757</v>
      </c>
      <c r="H23" s="425" t="s">
        <v>1208</v>
      </c>
      <c r="I23" s="47">
        <v>70542067</v>
      </c>
      <c r="J23" s="158" t="s">
        <v>154</v>
      </c>
      <c r="K23" s="63">
        <v>8.5</v>
      </c>
      <c r="L23" s="13">
        <f>88105-61294</f>
        <v>26811</v>
      </c>
      <c r="M23" s="46"/>
      <c r="N23" s="46"/>
      <c r="O23" s="54">
        <f t="shared" si="0"/>
        <v>26811</v>
      </c>
    </row>
    <row r="24" spans="1:15" ht="29.25">
      <c r="A24" s="278" t="s">
        <v>11</v>
      </c>
      <c r="B24" s="56" t="s">
        <v>756</v>
      </c>
      <c r="C24" s="56" t="s">
        <v>757</v>
      </c>
      <c r="D24" s="61" t="s">
        <v>765</v>
      </c>
      <c r="E24" s="56"/>
      <c r="F24" s="56" t="s">
        <v>759</v>
      </c>
      <c r="G24" s="56" t="s">
        <v>757</v>
      </c>
      <c r="H24" s="425" t="s">
        <v>1209</v>
      </c>
      <c r="I24" s="47">
        <v>70507405</v>
      </c>
      <c r="J24" s="158" t="s">
        <v>154</v>
      </c>
      <c r="K24" s="63">
        <v>5.5</v>
      </c>
      <c r="L24" s="13">
        <f>67827-60224</f>
        <v>7603</v>
      </c>
      <c r="M24" s="46"/>
      <c r="N24" s="46"/>
      <c r="O24" s="54">
        <f t="shared" si="0"/>
        <v>7603</v>
      </c>
    </row>
    <row r="25" spans="1:15" ht="18">
      <c r="A25" s="278" t="s">
        <v>11</v>
      </c>
      <c r="B25" s="56" t="s">
        <v>756</v>
      </c>
      <c r="C25" s="56" t="s">
        <v>1819</v>
      </c>
      <c r="D25" s="61" t="s">
        <v>1820</v>
      </c>
      <c r="E25" s="56"/>
      <c r="F25" s="56" t="s">
        <v>759</v>
      </c>
      <c r="G25" s="56" t="s">
        <v>757</v>
      </c>
      <c r="H25" s="425" t="s">
        <v>1210</v>
      </c>
      <c r="I25" s="47">
        <v>70544263</v>
      </c>
      <c r="J25" s="158" t="s">
        <v>154</v>
      </c>
      <c r="K25" s="63">
        <v>4.8</v>
      </c>
      <c r="L25" s="13">
        <f>50489-36315</f>
        <v>14174</v>
      </c>
      <c r="M25" s="46"/>
      <c r="N25" s="46"/>
      <c r="O25" s="54">
        <f t="shared" si="0"/>
        <v>14174</v>
      </c>
    </row>
    <row r="26" spans="1:15" ht="29.25">
      <c r="A26" s="278" t="s">
        <v>11</v>
      </c>
      <c r="B26" s="56" t="s">
        <v>756</v>
      </c>
      <c r="C26" s="56" t="s">
        <v>757</v>
      </c>
      <c r="D26" s="61" t="s">
        <v>766</v>
      </c>
      <c r="E26" s="56"/>
      <c r="F26" s="56" t="s">
        <v>759</v>
      </c>
      <c r="G26" s="56" t="s">
        <v>757</v>
      </c>
      <c r="H26" s="425" t="s">
        <v>1211</v>
      </c>
      <c r="I26" s="47">
        <v>70748129</v>
      </c>
      <c r="J26" s="158" t="s">
        <v>154</v>
      </c>
      <c r="K26" s="63">
        <v>4.5</v>
      </c>
      <c r="L26" s="13">
        <f>108076-88480</f>
        <v>19596</v>
      </c>
      <c r="M26" s="46"/>
      <c r="N26" s="46"/>
      <c r="O26" s="54">
        <f t="shared" si="0"/>
        <v>19596</v>
      </c>
    </row>
    <row r="27" spans="1:15" ht="43.5">
      <c r="A27" s="278" t="s">
        <v>11</v>
      </c>
      <c r="B27" s="56" t="s">
        <v>756</v>
      </c>
      <c r="C27" s="56" t="s">
        <v>757</v>
      </c>
      <c r="D27" s="61" t="s">
        <v>1822</v>
      </c>
      <c r="E27" s="56" t="s">
        <v>1821</v>
      </c>
      <c r="F27" s="56" t="s">
        <v>759</v>
      </c>
      <c r="G27" s="56" t="s">
        <v>757</v>
      </c>
      <c r="H27" s="425" t="s">
        <v>1212</v>
      </c>
      <c r="I27" s="47">
        <v>90084186</v>
      </c>
      <c r="J27" s="158" t="s">
        <v>154</v>
      </c>
      <c r="K27" s="63">
        <v>6</v>
      </c>
      <c r="L27" s="13">
        <f>18514-3256</f>
        <v>15258</v>
      </c>
      <c r="M27" s="46"/>
      <c r="N27" s="46"/>
      <c r="O27" s="54">
        <f t="shared" si="0"/>
        <v>15258</v>
      </c>
    </row>
    <row r="28" spans="1:15" ht="24.75" customHeight="1">
      <c r="A28" s="278" t="s">
        <v>11</v>
      </c>
      <c r="B28" s="56" t="s">
        <v>756</v>
      </c>
      <c r="C28" s="56" t="s">
        <v>757</v>
      </c>
      <c r="D28" s="61" t="s">
        <v>409</v>
      </c>
      <c r="E28" s="56"/>
      <c r="F28" s="56" t="s">
        <v>759</v>
      </c>
      <c r="G28" s="56" t="s">
        <v>757</v>
      </c>
      <c r="H28" s="425" t="s">
        <v>1213</v>
      </c>
      <c r="I28" s="47">
        <v>8275466</v>
      </c>
      <c r="J28" s="158" t="s">
        <v>154</v>
      </c>
      <c r="K28" s="63">
        <v>3.4</v>
      </c>
      <c r="L28" s="13">
        <f>50636-44387</f>
        <v>6249</v>
      </c>
      <c r="M28" s="46"/>
      <c r="N28" s="46"/>
      <c r="O28" s="54">
        <f t="shared" si="0"/>
        <v>6249</v>
      </c>
    </row>
    <row r="29" spans="1:15" ht="22.5" customHeight="1">
      <c r="A29" s="278" t="s">
        <v>11</v>
      </c>
      <c r="B29" s="56" t="s">
        <v>756</v>
      </c>
      <c r="C29" s="56" t="s">
        <v>757</v>
      </c>
      <c r="D29" s="61" t="s">
        <v>409</v>
      </c>
      <c r="E29" s="56"/>
      <c r="F29" s="56" t="s">
        <v>759</v>
      </c>
      <c r="G29" s="56" t="s">
        <v>757</v>
      </c>
      <c r="H29" s="425" t="s">
        <v>1214</v>
      </c>
      <c r="I29" s="47">
        <v>7511414</v>
      </c>
      <c r="J29" s="158" t="s">
        <v>154</v>
      </c>
      <c r="K29" s="63">
        <v>4</v>
      </c>
      <c r="L29" s="13">
        <f>97600-71359</f>
        <v>26241</v>
      </c>
      <c r="M29" s="46"/>
      <c r="N29" s="46"/>
      <c r="O29" s="54">
        <f t="shared" si="0"/>
        <v>26241</v>
      </c>
    </row>
    <row r="30" spans="1:15" ht="39" customHeight="1">
      <c r="A30" s="278" t="s">
        <v>11</v>
      </c>
      <c r="B30" s="56" t="s">
        <v>756</v>
      </c>
      <c r="C30" s="56" t="s">
        <v>757</v>
      </c>
      <c r="D30" s="61" t="s">
        <v>767</v>
      </c>
      <c r="E30" s="56"/>
      <c r="F30" s="56" t="s">
        <v>759</v>
      </c>
      <c r="G30" s="56" t="s">
        <v>757</v>
      </c>
      <c r="H30" s="425" t="s">
        <v>1215</v>
      </c>
      <c r="I30" s="47">
        <v>70529708</v>
      </c>
      <c r="J30" s="158" t="s">
        <v>154</v>
      </c>
      <c r="K30" s="63">
        <v>2</v>
      </c>
      <c r="L30" s="13">
        <f>24734-17561</f>
        <v>7173</v>
      </c>
      <c r="M30" s="46"/>
      <c r="N30" s="46"/>
      <c r="O30" s="54">
        <f t="shared" si="0"/>
        <v>7173</v>
      </c>
    </row>
    <row r="31" spans="1:15" ht="43.5">
      <c r="A31" s="278" t="s">
        <v>11</v>
      </c>
      <c r="B31" s="56" t="s">
        <v>756</v>
      </c>
      <c r="C31" s="56" t="s">
        <v>757</v>
      </c>
      <c r="D31" s="61" t="s">
        <v>768</v>
      </c>
      <c r="E31" s="56"/>
      <c r="F31" s="56" t="s">
        <v>759</v>
      </c>
      <c r="G31" s="56" t="s">
        <v>757</v>
      </c>
      <c r="H31" s="425" t="s">
        <v>1216</v>
      </c>
      <c r="I31" s="47">
        <v>8678099</v>
      </c>
      <c r="J31" s="158" t="s">
        <v>154</v>
      </c>
      <c r="K31" s="63">
        <v>4.8</v>
      </c>
      <c r="L31" s="13">
        <f>41573-36175</f>
        <v>5398</v>
      </c>
      <c r="M31" s="46"/>
      <c r="N31" s="46"/>
      <c r="O31" s="54">
        <f t="shared" si="0"/>
        <v>5398</v>
      </c>
    </row>
    <row r="32" spans="1:15" ht="43.5">
      <c r="A32" s="278" t="s">
        <v>11</v>
      </c>
      <c r="B32" s="56" t="s">
        <v>756</v>
      </c>
      <c r="C32" s="56" t="s">
        <v>757</v>
      </c>
      <c r="D32" s="61" t="s">
        <v>769</v>
      </c>
      <c r="E32" s="56"/>
      <c r="F32" s="56" t="s">
        <v>759</v>
      </c>
      <c r="G32" s="56" t="s">
        <v>757</v>
      </c>
      <c r="H32" s="425" t="s">
        <v>1217</v>
      </c>
      <c r="I32" s="47">
        <v>70652726</v>
      </c>
      <c r="J32" s="158" t="s">
        <v>154</v>
      </c>
      <c r="K32" s="63">
        <v>5</v>
      </c>
      <c r="L32" s="13">
        <f>21199-17442</f>
        <v>3757</v>
      </c>
      <c r="M32" s="46"/>
      <c r="N32" s="46"/>
      <c r="O32" s="54">
        <f t="shared" si="0"/>
        <v>3757</v>
      </c>
    </row>
    <row r="33" spans="1:15" ht="43.5">
      <c r="A33" s="278" t="s">
        <v>11</v>
      </c>
      <c r="B33" s="56" t="s">
        <v>756</v>
      </c>
      <c r="C33" s="56" t="s">
        <v>757</v>
      </c>
      <c r="D33" s="61" t="s">
        <v>770</v>
      </c>
      <c r="E33" s="56"/>
      <c r="F33" s="56" t="s">
        <v>759</v>
      </c>
      <c r="G33" s="56" t="s">
        <v>757</v>
      </c>
      <c r="H33" s="425" t="s">
        <v>1218</v>
      </c>
      <c r="I33" s="47">
        <v>20452</v>
      </c>
      <c r="J33" s="158" t="s">
        <v>154</v>
      </c>
      <c r="K33" s="63">
        <v>1.8</v>
      </c>
      <c r="L33" s="13">
        <f>21395-17583</f>
        <v>3812</v>
      </c>
      <c r="M33" s="46"/>
      <c r="N33" s="46"/>
      <c r="O33" s="54">
        <f t="shared" si="0"/>
        <v>3812</v>
      </c>
    </row>
    <row r="34" spans="1:15" ht="21" customHeight="1">
      <c r="A34" s="278" t="s">
        <v>11</v>
      </c>
      <c r="B34" s="56" t="s">
        <v>756</v>
      </c>
      <c r="C34" s="56" t="s">
        <v>757</v>
      </c>
      <c r="D34" s="61" t="s">
        <v>771</v>
      </c>
      <c r="E34" s="56"/>
      <c r="F34" s="56" t="s">
        <v>759</v>
      </c>
      <c r="G34" s="56" t="s">
        <v>757</v>
      </c>
      <c r="H34" s="425" t="s">
        <v>1219</v>
      </c>
      <c r="I34" s="47">
        <v>99894</v>
      </c>
      <c r="J34" s="158" t="s">
        <v>154</v>
      </c>
      <c r="K34" s="63">
        <v>7.5</v>
      </c>
      <c r="L34" s="13">
        <f>40062-34011</f>
        <v>6051</v>
      </c>
      <c r="M34" s="46"/>
      <c r="N34" s="46"/>
      <c r="O34" s="54">
        <f t="shared" si="0"/>
        <v>6051</v>
      </c>
    </row>
    <row r="35" spans="1:15" ht="29.25">
      <c r="A35" s="278" t="s">
        <v>11</v>
      </c>
      <c r="B35" s="56" t="s">
        <v>756</v>
      </c>
      <c r="C35" s="56" t="s">
        <v>757</v>
      </c>
      <c r="D35" s="61" t="s">
        <v>772</v>
      </c>
      <c r="E35" s="56"/>
      <c r="F35" s="56" t="s">
        <v>759</v>
      </c>
      <c r="G35" s="56" t="s">
        <v>757</v>
      </c>
      <c r="H35" s="425" t="s">
        <v>1220</v>
      </c>
      <c r="I35" s="47">
        <v>70544319</v>
      </c>
      <c r="J35" s="158" t="s">
        <v>154</v>
      </c>
      <c r="K35" s="63">
        <v>4.5</v>
      </c>
      <c r="L35" s="13">
        <f>140951-134390</f>
        <v>6561</v>
      </c>
      <c r="M35" s="46"/>
      <c r="N35" s="46"/>
      <c r="O35" s="54">
        <f t="shared" si="0"/>
        <v>6561</v>
      </c>
    </row>
    <row r="36" spans="1:15" ht="29.25">
      <c r="A36" s="278" t="s">
        <v>11</v>
      </c>
      <c r="B36" s="56" t="s">
        <v>756</v>
      </c>
      <c r="C36" s="56" t="s">
        <v>757</v>
      </c>
      <c r="D36" s="61" t="s">
        <v>773</v>
      </c>
      <c r="E36" s="56"/>
      <c r="F36" s="56" t="s">
        <v>759</v>
      </c>
      <c r="G36" s="56" t="s">
        <v>757</v>
      </c>
      <c r="H36" s="425" t="s">
        <v>1221</v>
      </c>
      <c r="I36" s="47">
        <v>90104527</v>
      </c>
      <c r="J36" s="158" t="s">
        <v>154</v>
      </c>
      <c r="K36" s="63">
        <v>8.5</v>
      </c>
      <c r="L36" s="13">
        <f>23312-5163</f>
        <v>18149</v>
      </c>
      <c r="M36" s="46"/>
      <c r="N36" s="46"/>
      <c r="O36" s="54">
        <f t="shared" si="0"/>
        <v>18149</v>
      </c>
    </row>
    <row r="37" spans="1:15" ht="29.25">
      <c r="A37" s="278" t="s">
        <v>11</v>
      </c>
      <c r="B37" s="56" t="s">
        <v>756</v>
      </c>
      <c r="C37" s="56" t="s">
        <v>757</v>
      </c>
      <c r="D37" s="61" t="s">
        <v>774</v>
      </c>
      <c r="E37" s="56"/>
      <c r="F37" s="56" t="s">
        <v>759</v>
      </c>
      <c r="G37" s="56" t="s">
        <v>757</v>
      </c>
      <c r="H37" s="425" t="s">
        <v>1222</v>
      </c>
      <c r="I37" s="47">
        <v>70652853</v>
      </c>
      <c r="J37" s="158" t="s">
        <v>154</v>
      </c>
      <c r="K37" s="63">
        <v>6.5</v>
      </c>
      <c r="L37" s="13">
        <f>119342-108783</f>
        <v>10559</v>
      </c>
      <c r="M37" s="46"/>
      <c r="N37" s="46"/>
      <c r="O37" s="54">
        <f t="shared" si="0"/>
        <v>10559</v>
      </c>
    </row>
    <row r="38" spans="1:15" ht="29.25">
      <c r="A38" s="278" t="s">
        <v>11</v>
      </c>
      <c r="B38" s="56" t="s">
        <v>756</v>
      </c>
      <c r="C38" s="56" t="s">
        <v>757</v>
      </c>
      <c r="D38" s="61" t="s">
        <v>775</v>
      </c>
      <c r="E38" s="56"/>
      <c r="F38" s="56" t="s">
        <v>759</v>
      </c>
      <c r="G38" s="56" t="s">
        <v>757</v>
      </c>
      <c r="H38" s="425" t="s">
        <v>1223</v>
      </c>
      <c r="I38" s="47">
        <v>70543871</v>
      </c>
      <c r="J38" s="158" t="s">
        <v>154</v>
      </c>
      <c r="K38" s="63">
        <v>8.8</v>
      </c>
      <c r="L38" s="13">
        <f>55554-44581</f>
        <v>10973</v>
      </c>
      <c r="M38" s="46"/>
      <c r="N38" s="46"/>
      <c r="O38" s="54">
        <f t="shared" si="0"/>
        <v>10973</v>
      </c>
    </row>
    <row r="39" spans="1:15" ht="29.25">
      <c r="A39" s="278" t="s">
        <v>11</v>
      </c>
      <c r="B39" s="56" t="s">
        <v>756</v>
      </c>
      <c r="C39" s="56" t="s">
        <v>757</v>
      </c>
      <c r="D39" s="61" t="s">
        <v>776</v>
      </c>
      <c r="E39" s="56"/>
      <c r="F39" s="56" t="s">
        <v>759</v>
      </c>
      <c r="G39" s="56" t="s">
        <v>757</v>
      </c>
      <c r="H39" s="425" t="s">
        <v>1224</v>
      </c>
      <c r="I39" s="47">
        <v>90103851</v>
      </c>
      <c r="J39" s="158" t="s">
        <v>154</v>
      </c>
      <c r="K39" s="63">
        <v>7</v>
      </c>
      <c r="L39" s="13">
        <f>8614-1920</f>
        <v>6694</v>
      </c>
      <c r="M39" s="46"/>
      <c r="N39" s="46"/>
      <c r="O39" s="54">
        <f t="shared" si="0"/>
        <v>6694</v>
      </c>
    </row>
    <row r="40" spans="1:15" ht="43.5">
      <c r="A40" s="278" t="s">
        <v>11</v>
      </c>
      <c r="B40" s="56" t="s">
        <v>756</v>
      </c>
      <c r="C40" s="56" t="s">
        <v>757</v>
      </c>
      <c r="D40" s="61" t="s">
        <v>777</v>
      </c>
      <c r="E40" s="56"/>
      <c r="F40" s="56" t="s">
        <v>759</v>
      </c>
      <c r="G40" s="56" t="s">
        <v>757</v>
      </c>
      <c r="H40" s="425" t="s">
        <v>1225</v>
      </c>
      <c r="I40" s="47">
        <v>90207410</v>
      </c>
      <c r="J40" s="158" t="s">
        <v>154</v>
      </c>
      <c r="K40" s="63">
        <v>7.5</v>
      </c>
      <c r="L40" s="13">
        <f>155565-142064</f>
        <v>13501</v>
      </c>
      <c r="M40" s="46"/>
      <c r="N40" s="46"/>
      <c r="O40" s="54">
        <f t="shared" si="0"/>
        <v>13501</v>
      </c>
    </row>
    <row r="41" spans="1:15" ht="29.25">
      <c r="A41" s="278" t="s">
        <v>11</v>
      </c>
      <c r="B41" s="56" t="s">
        <v>756</v>
      </c>
      <c r="C41" s="56" t="s">
        <v>757</v>
      </c>
      <c r="D41" s="61" t="s">
        <v>778</v>
      </c>
      <c r="E41" s="56"/>
      <c r="F41" s="56" t="s">
        <v>759</v>
      </c>
      <c r="G41" s="56" t="s">
        <v>757</v>
      </c>
      <c r="H41" s="425" t="s">
        <v>1226</v>
      </c>
      <c r="I41" s="47">
        <v>90103769</v>
      </c>
      <c r="J41" s="158" t="s">
        <v>154</v>
      </c>
      <c r="K41" s="63">
        <v>22</v>
      </c>
      <c r="L41" s="13">
        <f>27326-6713</f>
        <v>20613</v>
      </c>
      <c r="M41" s="46"/>
      <c r="N41" s="46"/>
      <c r="O41" s="54">
        <f t="shared" si="0"/>
        <v>20613</v>
      </c>
    </row>
    <row r="42" spans="1:15" ht="18">
      <c r="A42" s="278" t="s">
        <v>11</v>
      </c>
      <c r="B42" s="56" t="s">
        <v>756</v>
      </c>
      <c r="C42" s="56" t="s">
        <v>757</v>
      </c>
      <c r="D42" s="61" t="s">
        <v>779</v>
      </c>
      <c r="E42" s="56"/>
      <c r="F42" s="56" t="s">
        <v>759</v>
      </c>
      <c r="G42" s="56" t="s">
        <v>757</v>
      </c>
      <c r="H42" s="425" t="s">
        <v>1227</v>
      </c>
      <c r="I42" s="47">
        <v>90102597</v>
      </c>
      <c r="J42" s="158" t="s">
        <v>154</v>
      </c>
      <c r="K42" s="63">
        <v>7.5</v>
      </c>
      <c r="L42" s="13">
        <f>16437-3673</f>
        <v>12764</v>
      </c>
      <c r="M42" s="46"/>
      <c r="N42" s="46"/>
      <c r="O42" s="54">
        <f t="shared" si="0"/>
        <v>12764</v>
      </c>
    </row>
    <row r="43" spans="1:15" ht="29.25">
      <c r="A43" s="278" t="s">
        <v>11</v>
      </c>
      <c r="B43" s="56" t="s">
        <v>756</v>
      </c>
      <c r="C43" s="56" t="s">
        <v>757</v>
      </c>
      <c r="D43" s="61" t="s">
        <v>780</v>
      </c>
      <c r="E43" s="56"/>
      <c r="F43" s="56" t="s">
        <v>759</v>
      </c>
      <c r="G43" s="56" t="s">
        <v>757</v>
      </c>
      <c r="H43" s="425" t="s">
        <v>1228</v>
      </c>
      <c r="I43" s="47">
        <v>70691866</v>
      </c>
      <c r="J43" s="158" t="s">
        <v>154</v>
      </c>
      <c r="K43" s="63">
        <v>20</v>
      </c>
      <c r="L43" s="13">
        <f>94292-78889</f>
        <v>15403</v>
      </c>
      <c r="M43" s="46"/>
      <c r="N43" s="46"/>
      <c r="O43" s="54">
        <f t="shared" si="0"/>
        <v>15403</v>
      </c>
    </row>
    <row r="44" spans="1:15" ht="29.25">
      <c r="A44" s="278" t="s">
        <v>11</v>
      </c>
      <c r="B44" s="56" t="s">
        <v>756</v>
      </c>
      <c r="C44" s="56" t="s">
        <v>757</v>
      </c>
      <c r="D44" s="61" t="s">
        <v>781</v>
      </c>
      <c r="E44" s="56"/>
      <c r="F44" s="56" t="s">
        <v>759</v>
      </c>
      <c r="G44" s="56" t="s">
        <v>757</v>
      </c>
      <c r="H44" s="425" t="s">
        <v>1229</v>
      </c>
      <c r="I44" s="47">
        <v>70748130</v>
      </c>
      <c r="J44" s="158" t="s">
        <v>154</v>
      </c>
      <c r="K44" s="63">
        <v>3</v>
      </c>
      <c r="L44" s="13">
        <f>105101-90453</f>
        <v>14648</v>
      </c>
      <c r="M44" s="46"/>
      <c r="N44" s="46"/>
      <c r="O44" s="54">
        <f t="shared" si="0"/>
        <v>14648</v>
      </c>
    </row>
    <row r="45" spans="1:15" ht="29.25">
      <c r="A45" s="278" t="s">
        <v>11</v>
      </c>
      <c r="B45" s="56" t="s">
        <v>756</v>
      </c>
      <c r="C45" s="56" t="s">
        <v>757</v>
      </c>
      <c r="D45" s="61" t="s">
        <v>782</v>
      </c>
      <c r="E45" s="56"/>
      <c r="F45" s="56" t="s">
        <v>759</v>
      </c>
      <c r="G45" s="56" t="s">
        <v>757</v>
      </c>
      <c r="H45" s="425" t="s">
        <v>1230</v>
      </c>
      <c r="I45" s="47">
        <v>356781</v>
      </c>
      <c r="J45" s="158" t="s">
        <v>154</v>
      </c>
      <c r="K45" s="63">
        <v>10</v>
      </c>
      <c r="L45" s="13">
        <f>34675-23963</f>
        <v>10712</v>
      </c>
      <c r="M45" s="46"/>
      <c r="N45" s="46"/>
      <c r="O45" s="54">
        <f t="shared" si="0"/>
        <v>10712</v>
      </c>
    </row>
    <row r="46" spans="1:15" ht="29.25">
      <c r="A46" s="278" t="s">
        <v>11</v>
      </c>
      <c r="B46" s="56" t="s">
        <v>756</v>
      </c>
      <c r="C46" s="56" t="s">
        <v>757</v>
      </c>
      <c r="D46" s="61" t="s">
        <v>783</v>
      </c>
      <c r="E46" s="56"/>
      <c r="F46" s="56" t="s">
        <v>759</v>
      </c>
      <c r="G46" s="56" t="s">
        <v>757</v>
      </c>
      <c r="H46" s="425" t="s">
        <v>1231</v>
      </c>
      <c r="I46" s="47">
        <v>70544597</v>
      </c>
      <c r="J46" s="158" t="s">
        <v>154</v>
      </c>
      <c r="K46" s="63">
        <v>10</v>
      </c>
      <c r="L46" s="13">
        <f>110453-84239</f>
        <v>26214</v>
      </c>
      <c r="M46" s="46"/>
      <c r="N46" s="46"/>
      <c r="O46" s="54">
        <f t="shared" si="0"/>
        <v>26214</v>
      </c>
    </row>
    <row r="47" spans="1:15" ht="29.25">
      <c r="A47" s="278" t="s">
        <v>11</v>
      </c>
      <c r="B47" s="56" t="s">
        <v>756</v>
      </c>
      <c r="C47" s="56" t="s">
        <v>757</v>
      </c>
      <c r="D47" s="61" t="s">
        <v>784</v>
      </c>
      <c r="E47" s="56"/>
      <c r="F47" s="56" t="s">
        <v>759</v>
      </c>
      <c r="G47" s="56" t="s">
        <v>757</v>
      </c>
      <c r="H47" s="425" t="s">
        <v>1232</v>
      </c>
      <c r="I47" s="47">
        <v>70693943</v>
      </c>
      <c r="J47" s="158" t="s">
        <v>154</v>
      </c>
      <c r="K47" s="63">
        <v>10</v>
      </c>
      <c r="L47" s="13">
        <f>106768-93556</f>
        <v>13212</v>
      </c>
      <c r="M47" s="46"/>
      <c r="N47" s="46"/>
      <c r="O47" s="54">
        <f t="shared" si="0"/>
        <v>13212</v>
      </c>
    </row>
    <row r="48" spans="1:15" ht="29.25">
      <c r="A48" s="278" t="s">
        <v>11</v>
      </c>
      <c r="B48" s="56" t="s">
        <v>756</v>
      </c>
      <c r="C48" s="56" t="s">
        <v>757</v>
      </c>
      <c r="D48" s="61" t="s">
        <v>785</v>
      </c>
      <c r="E48" s="56"/>
      <c r="F48" s="56" t="s">
        <v>759</v>
      </c>
      <c r="G48" s="56" t="s">
        <v>757</v>
      </c>
      <c r="H48" s="425" t="s">
        <v>1233</v>
      </c>
      <c r="I48" s="47">
        <v>8301247</v>
      </c>
      <c r="J48" s="158" t="s">
        <v>154</v>
      </c>
      <c r="K48" s="63">
        <v>6</v>
      </c>
      <c r="L48" s="13">
        <f>103298-93400</f>
        <v>9898</v>
      </c>
      <c r="M48" s="46"/>
      <c r="N48" s="46"/>
      <c r="O48" s="54">
        <f t="shared" si="0"/>
        <v>9898</v>
      </c>
    </row>
    <row r="49" spans="1:15" ht="29.25">
      <c r="A49" s="278" t="s">
        <v>11</v>
      </c>
      <c r="B49" s="56" t="s">
        <v>756</v>
      </c>
      <c r="C49" s="56" t="s">
        <v>757</v>
      </c>
      <c r="D49" s="61" t="s">
        <v>786</v>
      </c>
      <c r="E49" s="56"/>
      <c r="F49" s="56" t="s">
        <v>759</v>
      </c>
      <c r="G49" s="56" t="s">
        <v>757</v>
      </c>
      <c r="H49" s="425" t="s">
        <v>1234</v>
      </c>
      <c r="I49" s="47">
        <v>357158</v>
      </c>
      <c r="J49" s="158" t="s">
        <v>154</v>
      </c>
      <c r="K49" s="63">
        <v>5.4</v>
      </c>
      <c r="L49" s="13">
        <f>45320-31483</f>
        <v>13837</v>
      </c>
      <c r="M49" s="46"/>
      <c r="N49" s="46"/>
      <c r="O49" s="54">
        <f t="shared" si="0"/>
        <v>13837</v>
      </c>
    </row>
    <row r="50" spans="1:15" ht="29.25">
      <c r="A50" s="278" t="s">
        <v>11</v>
      </c>
      <c r="B50" s="56" t="s">
        <v>756</v>
      </c>
      <c r="C50" s="56" t="s">
        <v>757</v>
      </c>
      <c r="D50" s="61" t="s">
        <v>787</v>
      </c>
      <c r="E50" s="56"/>
      <c r="F50" s="56" t="s">
        <v>759</v>
      </c>
      <c r="G50" s="56" t="s">
        <v>757</v>
      </c>
      <c r="H50" s="425" t="s">
        <v>1235</v>
      </c>
      <c r="I50" s="47">
        <v>9037386</v>
      </c>
      <c r="J50" s="158" t="s">
        <v>154</v>
      </c>
      <c r="K50" s="63">
        <v>37</v>
      </c>
      <c r="L50" s="13">
        <f>427245-380864</f>
        <v>46381</v>
      </c>
      <c r="M50" s="46"/>
      <c r="N50" s="46"/>
      <c r="O50" s="54">
        <f t="shared" si="0"/>
        <v>46381</v>
      </c>
    </row>
    <row r="51" spans="1:15" ht="29.25">
      <c r="A51" s="278" t="s">
        <v>11</v>
      </c>
      <c r="B51" s="47" t="s">
        <v>756</v>
      </c>
      <c r="C51" s="47" t="s">
        <v>757</v>
      </c>
      <c r="D51" s="27" t="s">
        <v>788</v>
      </c>
      <c r="E51" s="47"/>
      <c r="F51" s="47" t="s">
        <v>759</v>
      </c>
      <c r="G51" s="47" t="s">
        <v>757</v>
      </c>
      <c r="H51" s="425" t="s">
        <v>1236</v>
      </c>
      <c r="I51" s="47">
        <v>70960844</v>
      </c>
      <c r="J51" s="159" t="s">
        <v>154</v>
      </c>
      <c r="K51" s="49">
        <v>3</v>
      </c>
      <c r="L51" s="13">
        <f>84595-65682</f>
        <v>18913</v>
      </c>
      <c r="M51" s="46"/>
      <c r="N51" s="46"/>
      <c r="O51" s="54">
        <f t="shared" si="0"/>
        <v>18913</v>
      </c>
    </row>
    <row r="52" spans="1:15" ht="30.75" customHeight="1">
      <c r="A52" s="278" t="s">
        <v>11</v>
      </c>
      <c r="B52" s="56" t="s">
        <v>756</v>
      </c>
      <c r="C52" s="56" t="s">
        <v>757</v>
      </c>
      <c r="D52" s="61" t="s">
        <v>789</v>
      </c>
      <c r="E52" s="56"/>
      <c r="F52" s="56" t="s">
        <v>759</v>
      </c>
      <c r="G52" s="56" t="s">
        <v>757</v>
      </c>
      <c r="H52" s="425" t="s">
        <v>1237</v>
      </c>
      <c r="I52" s="47">
        <v>8316773</v>
      </c>
      <c r="J52" s="158" t="s">
        <v>154</v>
      </c>
      <c r="K52" s="63">
        <v>1.5</v>
      </c>
      <c r="L52" s="13">
        <f>114015-99583</f>
        <v>14432</v>
      </c>
      <c r="M52" s="46"/>
      <c r="N52" s="46"/>
      <c r="O52" s="54">
        <f t="shared" si="0"/>
        <v>14432</v>
      </c>
    </row>
    <row r="53" spans="1:15" ht="18">
      <c r="A53" s="278" t="s">
        <v>11</v>
      </c>
      <c r="B53" s="56" t="s">
        <v>756</v>
      </c>
      <c r="C53" s="56" t="s">
        <v>757</v>
      </c>
      <c r="D53" s="61" t="s">
        <v>790</v>
      </c>
      <c r="E53" s="56"/>
      <c r="F53" s="56" t="s">
        <v>759</v>
      </c>
      <c r="G53" s="56" t="s">
        <v>757</v>
      </c>
      <c r="H53" s="425" t="s">
        <v>1238</v>
      </c>
      <c r="I53" s="47">
        <v>317848</v>
      </c>
      <c r="J53" s="158" t="s">
        <v>154</v>
      </c>
      <c r="K53" s="63">
        <v>10</v>
      </c>
      <c r="L53" s="13">
        <f>118663-82747</f>
        <v>35916</v>
      </c>
      <c r="M53" s="46"/>
      <c r="N53" s="46"/>
      <c r="O53" s="54">
        <f t="shared" si="0"/>
        <v>35916</v>
      </c>
    </row>
    <row r="54" spans="1:15" ht="29.25">
      <c r="A54" s="278" t="s">
        <v>11</v>
      </c>
      <c r="B54" s="56" t="s">
        <v>756</v>
      </c>
      <c r="C54" s="56" t="s">
        <v>757</v>
      </c>
      <c r="D54" s="61" t="s">
        <v>791</v>
      </c>
      <c r="E54" s="56"/>
      <c r="F54" s="56" t="s">
        <v>759</v>
      </c>
      <c r="G54" s="56" t="s">
        <v>757</v>
      </c>
      <c r="H54" s="425" t="s">
        <v>1239</v>
      </c>
      <c r="I54" s="47">
        <v>70923612</v>
      </c>
      <c r="J54" s="158" t="s">
        <v>154</v>
      </c>
      <c r="K54" s="63">
        <v>12.5</v>
      </c>
      <c r="L54" s="13">
        <f>62613-49968</f>
        <v>12645</v>
      </c>
      <c r="M54" s="46"/>
      <c r="N54" s="46"/>
      <c r="O54" s="54">
        <f t="shared" si="0"/>
        <v>12645</v>
      </c>
    </row>
    <row r="55" spans="1:15" ht="29.25">
      <c r="A55" s="278" t="s">
        <v>11</v>
      </c>
      <c r="B55" s="56" t="s">
        <v>756</v>
      </c>
      <c r="C55" s="56" t="s">
        <v>757</v>
      </c>
      <c r="D55" s="61" t="s">
        <v>792</v>
      </c>
      <c r="E55" s="56"/>
      <c r="F55" s="56" t="s">
        <v>759</v>
      </c>
      <c r="G55" s="56" t="s">
        <v>757</v>
      </c>
      <c r="H55" s="425" t="s">
        <v>1240</v>
      </c>
      <c r="I55" s="47">
        <v>90299394</v>
      </c>
      <c r="J55" s="158" t="s">
        <v>154</v>
      </c>
      <c r="K55" s="63">
        <v>4.5</v>
      </c>
      <c r="L55" s="13">
        <f>2948-206</f>
        <v>2742</v>
      </c>
      <c r="M55" s="46"/>
      <c r="N55" s="46"/>
      <c r="O55" s="54">
        <f t="shared" si="0"/>
        <v>2742</v>
      </c>
    </row>
    <row r="56" spans="1:15" ht="43.5">
      <c r="A56" s="278" t="s">
        <v>11</v>
      </c>
      <c r="B56" s="56" t="s">
        <v>756</v>
      </c>
      <c r="C56" s="56" t="s">
        <v>757</v>
      </c>
      <c r="D56" s="61" t="s">
        <v>793</v>
      </c>
      <c r="E56" s="56"/>
      <c r="F56" s="56" t="s">
        <v>759</v>
      </c>
      <c r="G56" s="56" t="s">
        <v>757</v>
      </c>
      <c r="H56" s="425" t="s">
        <v>1241</v>
      </c>
      <c r="I56" s="47">
        <v>357156</v>
      </c>
      <c r="J56" s="158" t="s">
        <v>154</v>
      </c>
      <c r="K56" s="63">
        <v>3.5</v>
      </c>
      <c r="L56" s="13">
        <f>43105-30274</f>
        <v>12831</v>
      </c>
      <c r="M56" s="46"/>
      <c r="N56" s="46"/>
      <c r="O56" s="54">
        <f t="shared" si="0"/>
        <v>12831</v>
      </c>
    </row>
    <row r="57" spans="1:15" ht="29.25">
      <c r="A57" s="278" t="s">
        <v>11</v>
      </c>
      <c r="B57" s="56" t="s">
        <v>756</v>
      </c>
      <c r="C57" s="56" t="s">
        <v>757</v>
      </c>
      <c r="D57" s="61" t="s">
        <v>794</v>
      </c>
      <c r="E57" s="56"/>
      <c r="F57" s="56" t="s">
        <v>759</v>
      </c>
      <c r="G57" s="56" t="s">
        <v>757</v>
      </c>
      <c r="H57" s="425" t="s">
        <v>1242</v>
      </c>
      <c r="I57" s="47">
        <v>314496</v>
      </c>
      <c r="J57" s="158" t="s">
        <v>154</v>
      </c>
      <c r="K57" s="63">
        <v>3</v>
      </c>
      <c r="L57" s="13">
        <f>60013-42068</f>
        <v>17945</v>
      </c>
      <c r="M57" s="46"/>
      <c r="N57" s="46"/>
      <c r="O57" s="54">
        <f t="shared" si="0"/>
        <v>17945</v>
      </c>
    </row>
    <row r="58" spans="1:15" ht="29.25">
      <c r="A58" s="278" t="s">
        <v>11</v>
      </c>
      <c r="B58" s="47" t="s">
        <v>756</v>
      </c>
      <c r="C58" s="47" t="s">
        <v>757</v>
      </c>
      <c r="D58" s="27" t="s">
        <v>795</v>
      </c>
      <c r="E58" s="47"/>
      <c r="F58" s="47" t="s">
        <v>759</v>
      </c>
      <c r="G58" s="47" t="s">
        <v>757</v>
      </c>
      <c r="H58" s="425" t="s">
        <v>1243</v>
      </c>
      <c r="I58" s="47">
        <v>10351358</v>
      </c>
      <c r="J58" s="159" t="s">
        <v>154</v>
      </c>
      <c r="K58" s="49">
        <v>5.7</v>
      </c>
      <c r="L58" s="13">
        <f>58492-47382</f>
        <v>11110</v>
      </c>
      <c r="M58" s="46"/>
      <c r="N58" s="46"/>
      <c r="O58" s="54">
        <f t="shared" si="0"/>
        <v>11110</v>
      </c>
    </row>
    <row r="59" spans="1:15" ht="29.25">
      <c r="A59" s="278" t="s">
        <v>11</v>
      </c>
      <c r="B59" s="56" t="s">
        <v>756</v>
      </c>
      <c r="C59" s="56" t="s">
        <v>757</v>
      </c>
      <c r="D59" s="61" t="s">
        <v>796</v>
      </c>
      <c r="E59" s="56"/>
      <c r="F59" s="56" t="s">
        <v>759</v>
      </c>
      <c r="G59" s="56" t="s">
        <v>757</v>
      </c>
      <c r="H59" s="425" t="s">
        <v>1244</v>
      </c>
      <c r="I59" s="47">
        <v>356787</v>
      </c>
      <c r="J59" s="158" t="s">
        <v>154</v>
      </c>
      <c r="K59" s="63">
        <v>20</v>
      </c>
      <c r="L59" s="13">
        <f>56521-39586</f>
        <v>16935</v>
      </c>
      <c r="M59" s="46"/>
      <c r="N59" s="46"/>
      <c r="O59" s="54">
        <f t="shared" si="0"/>
        <v>16935</v>
      </c>
    </row>
    <row r="60" spans="1:15" ht="29.25">
      <c r="A60" s="278" t="s">
        <v>11</v>
      </c>
      <c r="B60" s="56" t="s">
        <v>756</v>
      </c>
      <c r="C60" s="56" t="s">
        <v>757</v>
      </c>
      <c r="D60" s="61" t="s">
        <v>797</v>
      </c>
      <c r="E60" s="56"/>
      <c r="F60" s="56" t="s">
        <v>759</v>
      </c>
      <c r="G60" s="56" t="s">
        <v>757</v>
      </c>
      <c r="H60" s="425" t="s">
        <v>1245</v>
      </c>
      <c r="I60" s="47">
        <v>350002</v>
      </c>
      <c r="J60" s="158" t="s">
        <v>154</v>
      </c>
      <c r="K60" s="63">
        <v>8.7</v>
      </c>
      <c r="L60" s="13">
        <f>45379-31615</f>
        <v>13764</v>
      </c>
      <c r="M60" s="46"/>
      <c r="N60" s="46"/>
      <c r="O60" s="54">
        <f t="shared" si="0"/>
        <v>13764</v>
      </c>
    </row>
    <row r="61" spans="1:15" ht="18">
      <c r="A61" s="278" t="s">
        <v>11</v>
      </c>
      <c r="B61" s="56" t="s">
        <v>756</v>
      </c>
      <c r="C61" s="56" t="s">
        <v>757</v>
      </c>
      <c r="D61" s="61" t="s">
        <v>798</v>
      </c>
      <c r="E61" s="56"/>
      <c r="F61" s="56" t="s">
        <v>759</v>
      </c>
      <c r="G61" s="56" t="s">
        <v>757</v>
      </c>
      <c r="H61" s="425" t="s">
        <v>1246</v>
      </c>
      <c r="I61" s="47">
        <v>317855</v>
      </c>
      <c r="J61" s="158" t="s">
        <v>154</v>
      </c>
      <c r="K61" s="63">
        <v>20</v>
      </c>
      <c r="L61" s="13">
        <f>34473-23991</f>
        <v>10482</v>
      </c>
      <c r="M61" s="46"/>
      <c r="N61" s="46"/>
      <c r="O61" s="54">
        <f t="shared" si="0"/>
        <v>10482</v>
      </c>
    </row>
    <row r="62" spans="1:15" ht="29.25">
      <c r="A62" s="278" t="s">
        <v>11</v>
      </c>
      <c r="B62" s="56" t="s">
        <v>756</v>
      </c>
      <c r="C62" s="56" t="s">
        <v>757</v>
      </c>
      <c r="D62" s="61" t="s">
        <v>799</v>
      </c>
      <c r="E62" s="56"/>
      <c r="F62" s="56" t="s">
        <v>759</v>
      </c>
      <c r="G62" s="56" t="s">
        <v>757</v>
      </c>
      <c r="H62" s="425" t="s">
        <v>1247</v>
      </c>
      <c r="I62" s="47">
        <v>70544460</v>
      </c>
      <c r="J62" s="158" t="s">
        <v>154</v>
      </c>
      <c r="K62" s="63">
        <v>4.7</v>
      </c>
      <c r="L62" s="13">
        <f>54579-40990</f>
        <v>13589</v>
      </c>
      <c r="M62" s="46"/>
      <c r="N62" s="46"/>
      <c r="O62" s="54">
        <f t="shared" si="0"/>
        <v>13589</v>
      </c>
    </row>
    <row r="63" spans="1:15" ht="29.25">
      <c r="A63" s="278" t="s">
        <v>11</v>
      </c>
      <c r="B63" s="56" t="s">
        <v>756</v>
      </c>
      <c r="C63" s="56" t="s">
        <v>757</v>
      </c>
      <c r="D63" s="61" t="s">
        <v>800</v>
      </c>
      <c r="E63" s="56"/>
      <c r="F63" s="56" t="s">
        <v>759</v>
      </c>
      <c r="G63" s="56" t="s">
        <v>757</v>
      </c>
      <c r="H63" s="425" t="s">
        <v>1248</v>
      </c>
      <c r="I63" s="47">
        <v>320136</v>
      </c>
      <c r="J63" s="158" t="s">
        <v>154</v>
      </c>
      <c r="K63" s="63">
        <v>6</v>
      </c>
      <c r="L63" s="13">
        <f>45760-29329</f>
        <v>16431</v>
      </c>
      <c r="M63" s="46"/>
      <c r="N63" s="46"/>
      <c r="O63" s="54">
        <f t="shared" si="0"/>
        <v>16431</v>
      </c>
    </row>
    <row r="64" spans="1:15" ht="29.25">
      <c r="A64" s="278" t="s">
        <v>11</v>
      </c>
      <c r="B64" s="56" t="s">
        <v>756</v>
      </c>
      <c r="C64" s="56" t="s">
        <v>757</v>
      </c>
      <c r="D64" s="61" t="s">
        <v>801</v>
      </c>
      <c r="E64" s="56"/>
      <c r="F64" s="56" t="s">
        <v>759</v>
      </c>
      <c r="G64" s="56" t="s">
        <v>757</v>
      </c>
      <c r="H64" s="425" t="s">
        <v>1249</v>
      </c>
      <c r="I64" s="47">
        <v>110254</v>
      </c>
      <c r="J64" s="158" t="s">
        <v>154</v>
      </c>
      <c r="K64" s="63">
        <v>8</v>
      </c>
      <c r="L64" s="13">
        <f>80396-73119</f>
        <v>7277</v>
      </c>
      <c r="M64" s="46"/>
      <c r="N64" s="46"/>
      <c r="O64" s="54">
        <f t="shared" si="0"/>
        <v>7277</v>
      </c>
    </row>
    <row r="65" spans="1:15" ht="29.25">
      <c r="A65" s="278" t="s">
        <v>11</v>
      </c>
      <c r="B65" s="56" t="s">
        <v>756</v>
      </c>
      <c r="C65" s="56" t="s">
        <v>757</v>
      </c>
      <c r="D65" s="61" t="s">
        <v>802</v>
      </c>
      <c r="E65" s="56"/>
      <c r="F65" s="56" t="s">
        <v>759</v>
      </c>
      <c r="G65" s="56" t="s">
        <v>757</v>
      </c>
      <c r="H65" s="425" t="s">
        <v>1250</v>
      </c>
      <c r="I65" s="47">
        <v>8317921</v>
      </c>
      <c r="J65" s="158" t="s">
        <v>154</v>
      </c>
      <c r="K65" s="63">
        <v>7</v>
      </c>
      <c r="L65" s="13">
        <f>53701-47444</f>
        <v>6257</v>
      </c>
      <c r="M65" s="46"/>
      <c r="N65" s="46"/>
      <c r="O65" s="54">
        <f t="shared" si="0"/>
        <v>6257</v>
      </c>
    </row>
    <row r="66" spans="1:15" ht="29.25">
      <c r="A66" s="278" t="s">
        <v>11</v>
      </c>
      <c r="B66" s="56" t="s">
        <v>756</v>
      </c>
      <c r="C66" s="56" t="s">
        <v>757</v>
      </c>
      <c r="D66" s="61" t="s">
        <v>803</v>
      </c>
      <c r="E66" s="56"/>
      <c r="F66" s="56" t="s">
        <v>759</v>
      </c>
      <c r="G66" s="56" t="s">
        <v>757</v>
      </c>
      <c r="H66" s="425" t="s">
        <v>1251</v>
      </c>
      <c r="I66" s="47">
        <v>90182882</v>
      </c>
      <c r="J66" s="158" t="s">
        <v>154</v>
      </c>
      <c r="K66" s="63">
        <v>7</v>
      </c>
      <c r="L66" s="13">
        <f>1100-1100</f>
        <v>0</v>
      </c>
      <c r="M66" s="46"/>
      <c r="N66" s="46"/>
      <c r="O66" s="54">
        <f t="shared" si="0"/>
        <v>0</v>
      </c>
    </row>
    <row r="67" spans="1:15" ht="29.25">
      <c r="A67" s="278" t="s">
        <v>11</v>
      </c>
      <c r="B67" s="56" t="s">
        <v>756</v>
      </c>
      <c r="C67" s="56" t="s">
        <v>757</v>
      </c>
      <c r="D67" s="61" t="s">
        <v>804</v>
      </c>
      <c r="E67" s="56"/>
      <c r="F67" s="56" t="s">
        <v>759</v>
      </c>
      <c r="G67" s="56" t="s">
        <v>757</v>
      </c>
      <c r="H67" s="425" t="s">
        <v>1252</v>
      </c>
      <c r="I67" s="47">
        <v>70830757</v>
      </c>
      <c r="J67" s="158" t="s">
        <v>154</v>
      </c>
      <c r="K67" s="63">
        <v>14</v>
      </c>
      <c r="L67" s="13">
        <f>50892-42019</f>
        <v>8873</v>
      </c>
      <c r="M67" s="46"/>
      <c r="N67" s="46"/>
      <c r="O67" s="54">
        <f t="shared" si="0"/>
        <v>8873</v>
      </c>
    </row>
    <row r="68" spans="1:15" ht="29.25">
      <c r="A68" s="278" t="s">
        <v>11</v>
      </c>
      <c r="B68" s="56" t="s">
        <v>756</v>
      </c>
      <c r="C68" s="56" t="s">
        <v>757</v>
      </c>
      <c r="D68" s="61" t="s">
        <v>805</v>
      </c>
      <c r="E68" s="56"/>
      <c r="F68" s="56" t="s">
        <v>759</v>
      </c>
      <c r="G68" s="56" t="s">
        <v>757</v>
      </c>
      <c r="H68" s="425" t="s">
        <v>1253</v>
      </c>
      <c r="I68" s="47">
        <v>70925024</v>
      </c>
      <c r="J68" s="158" t="s">
        <v>154</v>
      </c>
      <c r="K68" s="63">
        <v>3.5</v>
      </c>
      <c r="L68" s="13">
        <f>39636-27909</f>
        <v>11727</v>
      </c>
      <c r="M68" s="46"/>
      <c r="N68" s="46"/>
      <c r="O68" s="54">
        <f t="shared" si="0"/>
        <v>11727</v>
      </c>
    </row>
    <row r="69" spans="1:15" ht="29.25">
      <c r="A69" s="278" t="s">
        <v>11</v>
      </c>
      <c r="B69" s="56" t="s">
        <v>756</v>
      </c>
      <c r="C69" s="56" t="s">
        <v>757</v>
      </c>
      <c r="D69" s="61" t="s">
        <v>806</v>
      </c>
      <c r="E69" s="56"/>
      <c r="F69" s="56" t="s">
        <v>759</v>
      </c>
      <c r="G69" s="56" t="s">
        <v>757</v>
      </c>
      <c r="H69" s="425" t="s">
        <v>1254</v>
      </c>
      <c r="I69" s="47">
        <v>7445717</v>
      </c>
      <c r="J69" s="158" t="s">
        <v>154</v>
      </c>
      <c r="K69" s="63">
        <v>3</v>
      </c>
      <c r="L69" s="13">
        <f>132185-119468</f>
        <v>12717</v>
      </c>
      <c r="M69" s="46"/>
      <c r="N69" s="46"/>
      <c r="O69" s="54">
        <f t="shared" si="0"/>
        <v>12717</v>
      </c>
    </row>
    <row r="70" spans="1:15" ht="29.25">
      <c r="A70" s="278" t="s">
        <v>11</v>
      </c>
      <c r="B70" s="56" t="s">
        <v>756</v>
      </c>
      <c r="C70" s="56" t="s">
        <v>757</v>
      </c>
      <c r="D70" s="61" t="s">
        <v>807</v>
      </c>
      <c r="E70" s="56"/>
      <c r="F70" s="56" t="s">
        <v>759</v>
      </c>
      <c r="G70" s="56" t="s">
        <v>757</v>
      </c>
      <c r="H70" s="425" t="s">
        <v>1255</v>
      </c>
      <c r="I70" s="47">
        <v>90028781</v>
      </c>
      <c r="J70" s="158" t="s">
        <v>154</v>
      </c>
      <c r="K70" s="63">
        <v>16</v>
      </c>
      <c r="L70" s="13">
        <f>4157-1836</f>
        <v>2321</v>
      </c>
      <c r="M70" s="46"/>
      <c r="N70" s="46"/>
      <c r="O70" s="54">
        <f t="shared" si="0"/>
        <v>2321</v>
      </c>
    </row>
    <row r="71" spans="1:15" ht="18">
      <c r="A71" s="278" t="s">
        <v>11</v>
      </c>
      <c r="B71" s="56" t="s">
        <v>756</v>
      </c>
      <c r="C71" s="56" t="s">
        <v>757</v>
      </c>
      <c r="D71" s="61" t="s">
        <v>808</v>
      </c>
      <c r="E71" s="56"/>
      <c r="F71" s="56" t="s">
        <v>759</v>
      </c>
      <c r="G71" s="56" t="s">
        <v>757</v>
      </c>
      <c r="H71" s="425" t="s">
        <v>1256</v>
      </c>
      <c r="I71" s="47">
        <v>314487</v>
      </c>
      <c r="J71" s="158" t="s">
        <v>154</v>
      </c>
      <c r="K71" s="63">
        <v>3.8</v>
      </c>
      <c r="L71" s="13">
        <f>35813-25361</f>
        <v>10452</v>
      </c>
      <c r="M71" s="46"/>
      <c r="N71" s="46"/>
      <c r="O71" s="54">
        <f t="shared" si="0"/>
        <v>10452</v>
      </c>
    </row>
    <row r="72" spans="1:15" ht="29.25">
      <c r="A72" s="278" t="s">
        <v>11</v>
      </c>
      <c r="B72" s="56" t="s">
        <v>756</v>
      </c>
      <c r="C72" s="56" t="s">
        <v>757</v>
      </c>
      <c r="D72" s="61" t="s">
        <v>809</v>
      </c>
      <c r="E72" s="56"/>
      <c r="F72" s="56" t="s">
        <v>759</v>
      </c>
      <c r="G72" s="56" t="s">
        <v>757</v>
      </c>
      <c r="H72" s="425" t="s">
        <v>1257</v>
      </c>
      <c r="I72" s="47">
        <v>70507646</v>
      </c>
      <c r="J72" s="158" t="s">
        <v>154</v>
      </c>
      <c r="K72" s="63">
        <v>1.8</v>
      </c>
      <c r="L72" s="13">
        <f>17223-16113</f>
        <v>1110</v>
      </c>
      <c r="M72" s="46"/>
      <c r="N72" s="46"/>
      <c r="O72" s="54">
        <f t="shared" si="0"/>
        <v>1110</v>
      </c>
    </row>
    <row r="73" spans="1:15" ht="29.25">
      <c r="A73" s="278" t="s">
        <v>11</v>
      </c>
      <c r="B73" s="56" t="s">
        <v>756</v>
      </c>
      <c r="C73" s="56" t="s">
        <v>757</v>
      </c>
      <c r="D73" s="61" t="s">
        <v>810</v>
      </c>
      <c r="E73" s="56"/>
      <c r="F73" s="56" t="s">
        <v>759</v>
      </c>
      <c r="G73" s="56" t="s">
        <v>757</v>
      </c>
      <c r="H73" s="425" t="s">
        <v>1258</v>
      </c>
      <c r="I73" s="47">
        <v>34189</v>
      </c>
      <c r="J73" s="158" t="s">
        <v>154</v>
      </c>
      <c r="K73" s="63">
        <v>2</v>
      </c>
      <c r="L73" s="13">
        <f>44531-31976</f>
        <v>12555</v>
      </c>
      <c r="M73" s="46"/>
      <c r="N73" s="46"/>
      <c r="O73" s="54">
        <f t="shared" si="0"/>
        <v>12555</v>
      </c>
    </row>
    <row r="74" spans="1:15" ht="27.75" customHeight="1">
      <c r="A74" s="278" t="s">
        <v>11</v>
      </c>
      <c r="B74" s="56" t="s">
        <v>756</v>
      </c>
      <c r="C74" s="56" t="s">
        <v>757</v>
      </c>
      <c r="D74" s="61" t="s">
        <v>364</v>
      </c>
      <c r="E74" s="56"/>
      <c r="F74" s="56" t="s">
        <v>759</v>
      </c>
      <c r="G74" s="56" t="s">
        <v>757</v>
      </c>
      <c r="H74" s="425" t="s">
        <v>1259</v>
      </c>
      <c r="I74" s="47">
        <v>70750760</v>
      </c>
      <c r="J74" s="158" t="s">
        <v>154</v>
      </c>
      <c r="K74" s="63">
        <v>1.1</v>
      </c>
      <c r="L74" s="13">
        <f>33892-28116</f>
        <v>5776</v>
      </c>
      <c r="M74" s="46"/>
      <c r="N74" s="46"/>
      <c r="O74" s="54">
        <f t="shared" si="0"/>
        <v>5776</v>
      </c>
    </row>
    <row r="75" spans="1:15" ht="29.25">
      <c r="A75" s="278" t="s">
        <v>11</v>
      </c>
      <c r="B75" s="56" t="s">
        <v>756</v>
      </c>
      <c r="C75" s="56" t="s">
        <v>757</v>
      </c>
      <c r="D75" s="61" t="s">
        <v>811</v>
      </c>
      <c r="E75" s="56"/>
      <c r="F75" s="56" t="s">
        <v>759</v>
      </c>
      <c r="G75" s="56" t="s">
        <v>757</v>
      </c>
      <c r="H75" s="425" t="s">
        <v>1260</v>
      </c>
      <c r="I75" s="47">
        <v>356123</v>
      </c>
      <c r="J75" s="158" t="s">
        <v>154</v>
      </c>
      <c r="K75" s="63">
        <v>5</v>
      </c>
      <c r="L75" s="13">
        <f>20874-14525</f>
        <v>6349</v>
      </c>
      <c r="M75" s="46"/>
      <c r="N75" s="46"/>
      <c r="O75" s="54">
        <f t="shared" si="0"/>
        <v>6349</v>
      </c>
    </row>
    <row r="76" spans="1:15" ht="30" customHeight="1">
      <c r="A76" s="278" t="s">
        <v>11</v>
      </c>
      <c r="B76" s="56" t="s">
        <v>756</v>
      </c>
      <c r="C76" s="56" t="s">
        <v>757</v>
      </c>
      <c r="D76" s="61" t="s">
        <v>81</v>
      </c>
      <c r="E76" s="56"/>
      <c r="F76" s="56" t="s">
        <v>759</v>
      </c>
      <c r="G76" s="56" t="s">
        <v>757</v>
      </c>
      <c r="H76" s="425" t="s">
        <v>1261</v>
      </c>
      <c r="I76" s="47">
        <v>70692760</v>
      </c>
      <c r="J76" s="158" t="s">
        <v>154</v>
      </c>
      <c r="K76" s="63">
        <v>4.8</v>
      </c>
      <c r="L76" s="13">
        <f>38572-29767</f>
        <v>8805</v>
      </c>
      <c r="M76" s="46"/>
      <c r="N76" s="46"/>
      <c r="O76" s="54">
        <f t="shared" si="0"/>
        <v>8805</v>
      </c>
    </row>
    <row r="77" spans="1:15" ht="29.25">
      <c r="A77" s="278" t="s">
        <v>11</v>
      </c>
      <c r="B77" s="56" t="s">
        <v>756</v>
      </c>
      <c r="C77" s="56" t="s">
        <v>757</v>
      </c>
      <c r="D77" s="61" t="s">
        <v>812</v>
      </c>
      <c r="E77" s="56"/>
      <c r="F77" s="56" t="s">
        <v>759</v>
      </c>
      <c r="G77" s="56" t="s">
        <v>757</v>
      </c>
      <c r="H77" s="425" t="s">
        <v>1262</v>
      </c>
      <c r="I77" s="47">
        <v>357353</v>
      </c>
      <c r="J77" s="158" t="s">
        <v>154</v>
      </c>
      <c r="K77" s="63">
        <v>5</v>
      </c>
      <c r="L77" s="13">
        <f>37077-25810</f>
        <v>11267</v>
      </c>
      <c r="M77" s="46"/>
      <c r="N77" s="46"/>
      <c r="O77" s="54">
        <f t="shared" si="0"/>
        <v>11267</v>
      </c>
    </row>
    <row r="78" spans="1:15" ht="29.25">
      <c r="A78" s="278" t="s">
        <v>11</v>
      </c>
      <c r="B78" s="56" t="s">
        <v>756</v>
      </c>
      <c r="C78" s="56" t="s">
        <v>757</v>
      </c>
      <c r="D78" s="61" t="s">
        <v>813</v>
      </c>
      <c r="E78" s="56"/>
      <c r="F78" s="56" t="s">
        <v>759</v>
      </c>
      <c r="G78" s="56" t="s">
        <v>757</v>
      </c>
      <c r="H78" s="425" t="s">
        <v>1263</v>
      </c>
      <c r="I78" s="47">
        <v>357150</v>
      </c>
      <c r="J78" s="158" t="s">
        <v>154</v>
      </c>
      <c r="K78" s="63">
        <v>7.5</v>
      </c>
      <c r="L78" s="13">
        <f>41674-25190</f>
        <v>16484</v>
      </c>
      <c r="M78" s="46"/>
      <c r="N78" s="46"/>
      <c r="O78" s="54">
        <f t="shared" si="0"/>
        <v>16484</v>
      </c>
    </row>
    <row r="79" spans="1:15" ht="43.5">
      <c r="A79" s="278" t="s">
        <v>11</v>
      </c>
      <c r="B79" s="47" t="s">
        <v>756</v>
      </c>
      <c r="C79" s="47" t="s">
        <v>757</v>
      </c>
      <c r="D79" s="27" t="s">
        <v>814</v>
      </c>
      <c r="E79" s="47"/>
      <c r="F79" s="47" t="s">
        <v>759</v>
      </c>
      <c r="G79" s="47" t="s">
        <v>757</v>
      </c>
      <c r="H79" s="425" t="s">
        <v>1264</v>
      </c>
      <c r="I79" s="47">
        <v>10852706</v>
      </c>
      <c r="J79" s="159" t="s">
        <v>154</v>
      </c>
      <c r="K79" s="49">
        <v>5.8</v>
      </c>
      <c r="L79" s="13">
        <f>63039-48496</f>
        <v>14543</v>
      </c>
      <c r="M79" s="46"/>
      <c r="N79" s="46"/>
      <c r="O79" s="54">
        <f t="shared" si="0"/>
        <v>14543</v>
      </c>
    </row>
    <row r="80" spans="1:15" ht="29.25">
      <c r="A80" s="278" t="s">
        <v>11</v>
      </c>
      <c r="B80" s="56" t="s">
        <v>756</v>
      </c>
      <c r="C80" s="56" t="s">
        <v>757</v>
      </c>
      <c r="D80" s="61" t="s">
        <v>1326</v>
      </c>
      <c r="E80" s="56"/>
      <c r="F80" s="56" t="s">
        <v>759</v>
      </c>
      <c r="G80" s="56" t="s">
        <v>757</v>
      </c>
      <c r="H80" s="425" t="s">
        <v>1265</v>
      </c>
      <c r="I80" s="47">
        <v>318920</v>
      </c>
      <c r="J80" s="158" t="s">
        <v>154</v>
      </c>
      <c r="K80" s="63">
        <v>5</v>
      </c>
      <c r="L80" s="13">
        <f>2406-692</f>
        <v>1714</v>
      </c>
      <c r="M80" s="46"/>
      <c r="N80" s="46"/>
      <c r="O80" s="54">
        <f t="shared" si="0"/>
        <v>1714</v>
      </c>
    </row>
    <row r="81" spans="1:15" ht="29.25">
      <c r="A81" s="278" t="s">
        <v>11</v>
      </c>
      <c r="B81" s="56" t="s">
        <v>756</v>
      </c>
      <c r="C81" s="56" t="s">
        <v>757</v>
      </c>
      <c r="D81" s="61" t="s">
        <v>1327</v>
      </c>
      <c r="E81" s="56"/>
      <c r="F81" s="56" t="s">
        <v>759</v>
      </c>
      <c r="G81" s="56" t="s">
        <v>757</v>
      </c>
      <c r="H81" s="425" t="s">
        <v>1266</v>
      </c>
      <c r="I81" s="47">
        <v>356784</v>
      </c>
      <c r="J81" s="158" t="s">
        <v>154</v>
      </c>
      <c r="K81" s="63">
        <v>11</v>
      </c>
      <c r="L81" s="13">
        <f>38004-26397</f>
        <v>11607</v>
      </c>
      <c r="M81" s="46"/>
      <c r="N81" s="46"/>
      <c r="O81" s="54">
        <f t="shared" si="0"/>
        <v>11607</v>
      </c>
    </row>
    <row r="82" spans="1:15" ht="29.25">
      <c r="A82" s="278" t="s">
        <v>11</v>
      </c>
      <c r="B82" s="56" t="s">
        <v>756</v>
      </c>
      <c r="C82" s="56" t="s">
        <v>757</v>
      </c>
      <c r="D82" s="61" t="s">
        <v>815</v>
      </c>
      <c r="E82" s="56"/>
      <c r="F82" s="56" t="s">
        <v>759</v>
      </c>
      <c r="G82" s="56" t="s">
        <v>757</v>
      </c>
      <c r="H82" s="425" t="s">
        <v>1267</v>
      </c>
      <c r="I82" s="47">
        <v>71018345</v>
      </c>
      <c r="J82" s="158" t="s">
        <v>154</v>
      </c>
      <c r="K82" s="63">
        <v>4.5</v>
      </c>
      <c r="L82" s="13">
        <f>33771-24496</f>
        <v>9275</v>
      </c>
      <c r="M82" s="46"/>
      <c r="N82" s="46"/>
      <c r="O82" s="54">
        <f t="shared" si="0"/>
        <v>9275</v>
      </c>
    </row>
    <row r="83" spans="1:15" ht="43.5">
      <c r="A83" s="278" t="s">
        <v>11</v>
      </c>
      <c r="B83" s="56" t="s">
        <v>756</v>
      </c>
      <c r="C83" s="56" t="s">
        <v>757</v>
      </c>
      <c r="D83" s="61" t="s">
        <v>816</v>
      </c>
      <c r="E83" s="56"/>
      <c r="F83" s="56" t="s">
        <v>759</v>
      </c>
      <c r="G83" s="56" t="s">
        <v>757</v>
      </c>
      <c r="H83" s="425" t="s">
        <v>1268</v>
      </c>
      <c r="I83" s="47">
        <v>318735</v>
      </c>
      <c r="J83" s="158" t="s">
        <v>154</v>
      </c>
      <c r="K83" s="63">
        <v>3.5</v>
      </c>
      <c r="L83" s="13">
        <f>21358-15138</f>
        <v>6220</v>
      </c>
      <c r="M83" s="46"/>
      <c r="N83" s="46"/>
      <c r="O83" s="54">
        <f aca="true" t="shared" si="1" ref="O83:O125">L83</f>
        <v>6220</v>
      </c>
    </row>
    <row r="84" spans="1:15" ht="43.5">
      <c r="A84" s="278" t="s">
        <v>11</v>
      </c>
      <c r="B84" s="56" t="s">
        <v>756</v>
      </c>
      <c r="C84" s="56" t="s">
        <v>757</v>
      </c>
      <c r="D84" s="61" t="s">
        <v>817</v>
      </c>
      <c r="E84" s="56"/>
      <c r="F84" s="56" t="s">
        <v>759</v>
      </c>
      <c r="G84" s="56" t="s">
        <v>757</v>
      </c>
      <c r="H84" s="425" t="s">
        <v>1269</v>
      </c>
      <c r="I84" s="47">
        <v>226244</v>
      </c>
      <c r="J84" s="158" t="s">
        <v>154</v>
      </c>
      <c r="K84" s="63">
        <v>5.8</v>
      </c>
      <c r="L84" s="13">
        <f>17935-9138</f>
        <v>8797</v>
      </c>
      <c r="M84" s="46"/>
      <c r="N84" s="46"/>
      <c r="O84" s="54">
        <f t="shared" si="1"/>
        <v>8797</v>
      </c>
    </row>
    <row r="85" spans="1:15" ht="18">
      <c r="A85" s="278" t="s">
        <v>11</v>
      </c>
      <c r="B85" s="56" t="s">
        <v>756</v>
      </c>
      <c r="C85" s="56" t="s">
        <v>757</v>
      </c>
      <c r="D85" s="61" t="s">
        <v>818</v>
      </c>
      <c r="E85" s="56"/>
      <c r="F85" s="56" t="s">
        <v>759</v>
      </c>
      <c r="G85" s="56" t="s">
        <v>757</v>
      </c>
      <c r="H85" s="425" t="s">
        <v>1270</v>
      </c>
      <c r="I85" s="47">
        <v>5088344</v>
      </c>
      <c r="J85" s="158" t="s">
        <v>154</v>
      </c>
      <c r="K85" s="63">
        <v>4.5</v>
      </c>
      <c r="L85" s="13">
        <f>92153-85828</f>
        <v>6325</v>
      </c>
      <c r="M85" s="46"/>
      <c r="N85" s="46"/>
      <c r="O85" s="54">
        <f t="shared" si="1"/>
        <v>6325</v>
      </c>
    </row>
    <row r="86" spans="1:15" ht="29.25">
      <c r="A86" s="278" t="s">
        <v>11</v>
      </c>
      <c r="B86" s="56" t="s">
        <v>756</v>
      </c>
      <c r="C86" s="56" t="s">
        <v>757</v>
      </c>
      <c r="D86" s="61" t="s">
        <v>819</v>
      </c>
      <c r="E86" s="56"/>
      <c r="F86" s="56" t="s">
        <v>759</v>
      </c>
      <c r="G86" s="56" t="s">
        <v>757</v>
      </c>
      <c r="H86" s="425" t="s">
        <v>1271</v>
      </c>
      <c r="I86" s="47">
        <v>90066091</v>
      </c>
      <c r="J86" s="158" t="s">
        <v>154</v>
      </c>
      <c r="K86" s="63">
        <v>2.5</v>
      </c>
      <c r="L86" s="13">
        <f>3143-575</f>
        <v>2568</v>
      </c>
      <c r="M86" s="46"/>
      <c r="N86" s="46"/>
      <c r="O86" s="54">
        <f t="shared" si="1"/>
        <v>2568</v>
      </c>
    </row>
    <row r="87" spans="1:15" ht="43.5">
      <c r="A87" s="278" t="s">
        <v>11</v>
      </c>
      <c r="B87" s="56" t="s">
        <v>756</v>
      </c>
      <c r="C87" s="56" t="s">
        <v>757</v>
      </c>
      <c r="D87" s="61" t="s">
        <v>820</v>
      </c>
      <c r="E87" s="56"/>
      <c r="F87" s="56" t="s">
        <v>759</v>
      </c>
      <c r="G87" s="56" t="s">
        <v>757</v>
      </c>
      <c r="H87" s="425" t="s">
        <v>1272</v>
      </c>
      <c r="I87" s="47">
        <v>70830969</v>
      </c>
      <c r="J87" s="158" t="s">
        <v>154</v>
      </c>
      <c r="K87" s="63">
        <v>3.8</v>
      </c>
      <c r="L87" s="13">
        <f>60245-55277</f>
        <v>4968</v>
      </c>
      <c r="M87" s="46"/>
      <c r="N87" s="46"/>
      <c r="O87" s="54">
        <f t="shared" si="1"/>
        <v>4968</v>
      </c>
    </row>
    <row r="88" spans="1:15" ht="29.25">
      <c r="A88" s="278" t="s">
        <v>11</v>
      </c>
      <c r="B88" s="56" t="s">
        <v>756</v>
      </c>
      <c r="C88" s="56" t="s">
        <v>757</v>
      </c>
      <c r="D88" s="61" t="s">
        <v>1328</v>
      </c>
      <c r="E88" s="56"/>
      <c r="F88" s="56" t="s">
        <v>759</v>
      </c>
      <c r="G88" s="56" t="s">
        <v>757</v>
      </c>
      <c r="H88" s="425" t="s">
        <v>1273</v>
      </c>
      <c r="I88" s="47">
        <v>356785</v>
      </c>
      <c r="J88" s="158" t="s">
        <v>154</v>
      </c>
      <c r="K88" s="63">
        <v>2.5</v>
      </c>
      <c r="L88" s="13">
        <f>25486-18174</f>
        <v>7312</v>
      </c>
      <c r="M88" s="46"/>
      <c r="N88" s="46"/>
      <c r="O88" s="54">
        <f t="shared" si="1"/>
        <v>7312</v>
      </c>
    </row>
    <row r="89" spans="1:15" ht="43.5">
      <c r="A89" s="278" t="s">
        <v>11</v>
      </c>
      <c r="B89" s="56" t="s">
        <v>756</v>
      </c>
      <c r="C89" s="56" t="s">
        <v>757</v>
      </c>
      <c r="D89" s="61" t="s">
        <v>1329</v>
      </c>
      <c r="E89" s="56"/>
      <c r="F89" s="56" t="s">
        <v>759</v>
      </c>
      <c r="G89" s="56" t="s">
        <v>757</v>
      </c>
      <c r="H89" s="425" t="s">
        <v>1274</v>
      </c>
      <c r="I89" s="47">
        <v>320132</v>
      </c>
      <c r="J89" s="158" t="s">
        <v>154</v>
      </c>
      <c r="K89" s="63">
        <v>12</v>
      </c>
      <c r="L89" s="13">
        <f>10031-7062</f>
        <v>2969</v>
      </c>
      <c r="M89" s="46"/>
      <c r="N89" s="46"/>
      <c r="O89" s="54">
        <f t="shared" si="1"/>
        <v>2969</v>
      </c>
    </row>
    <row r="90" spans="1:15" ht="43.5">
      <c r="A90" s="278" t="s">
        <v>11</v>
      </c>
      <c r="B90" s="56" t="s">
        <v>756</v>
      </c>
      <c r="C90" s="56" t="s">
        <v>757</v>
      </c>
      <c r="D90" s="61" t="s">
        <v>1330</v>
      </c>
      <c r="E90" s="56"/>
      <c r="F90" s="56" t="s">
        <v>759</v>
      </c>
      <c r="G90" s="56" t="s">
        <v>757</v>
      </c>
      <c r="H90" s="425" t="s">
        <v>1275</v>
      </c>
      <c r="I90" s="47">
        <v>357231</v>
      </c>
      <c r="J90" s="158" t="s">
        <v>154</v>
      </c>
      <c r="K90" s="63">
        <v>5.8</v>
      </c>
      <c r="L90" s="13">
        <f>30799-21367</f>
        <v>9432</v>
      </c>
      <c r="M90" s="46"/>
      <c r="N90" s="46"/>
      <c r="O90" s="54">
        <f t="shared" si="1"/>
        <v>9432</v>
      </c>
    </row>
    <row r="91" spans="1:15" ht="29.25">
      <c r="A91" s="278" t="s">
        <v>11</v>
      </c>
      <c r="B91" s="56" t="s">
        <v>756</v>
      </c>
      <c r="C91" s="56" t="s">
        <v>757</v>
      </c>
      <c r="D91" s="61" t="s">
        <v>1331</v>
      </c>
      <c r="E91" s="56"/>
      <c r="F91" s="56" t="s">
        <v>759</v>
      </c>
      <c r="G91" s="56" t="s">
        <v>757</v>
      </c>
      <c r="H91" s="425" t="s">
        <v>1276</v>
      </c>
      <c r="I91" s="47">
        <v>349969</v>
      </c>
      <c r="J91" s="158" t="s">
        <v>154</v>
      </c>
      <c r="K91" s="63">
        <v>4</v>
      </c>
      <c r="L91" s="13">
        <f>18954-13403</f>
        <v>5551</v>
      </c>
      <c r="M91" s="46"/>
      <c r="N91" s="46"/>
      <c r="O91" s="54">
        <f t="shared" si="1"/>
        <v>5551</v>
      </c>
    </row>
    <row r="92" spans="1:15" ht="29.25">
      <c r="A92" s="278" t="s">
        <v>11</v>
      </c>
      <c r="B92" s="56" t="s">
        <v>756</v>
      </c>
      <c r="C92" s="56" t="s">
        <v>757</v>
      </c>
      <c r="D92" s="61" t="s">
        <v>1332</v>
      </c>
      <c r="E92" s="56"/>
      <c r="F92" s="56" t="s">
        <v>759</v>
      </c>
      <c r="G92" s="56" t="s">
        <v>757</v>
      </c>
      <c r="H92" s="425" t="s">
        <v>1277</v>
      </c>
      <c r="I92" s="47">
        <v>356782</v>
      </c>
      <c r="J92" s="158" t="s">
        <v>154</v>
      </c>
      <c r="K92" s="63">
        <v>9.8</v>
      </c>
      <c r="L92" s="13">
        <f>35691-25143</f>
        <v>10548</v>
      </c>
      <c r="M92" s="46"/>
      <c r="N92" s="46"/>
      <c r="O92" s="54">
        <f t="shared" si="1"/>
        <v>10548</v>
      </c>
    </row>
    <row r="93" spans="1:15" ht="30" customHeight="1">
      <c r="A93" s="278" t="s">
        <v>11</v>
      </c>
      <c r="B93" s="56" t="s">
        <v>756</v>
      </c>
      <c r="C93" s="56" t="s">
        <v>757</v>
      </c>
      <c r="D93" s="61" t="s">
        <v>1333</v>
      </c>
      <c r="E93" s="56"/>
      <c r="F93" s="56" t="s">
        <v>759</v>
      </c>
      <c r="G93" s="56" t="s">
        <v>757</v>
      </c>
      <c r="H93" s="425" t="s">
        <v>1278</v>
      </c>
      <c r="I93" s="47">
        <v>26206556</v>
      </c>
      <c r="J93" s="158" t="s">
        <v>154</v>
      </c>
      <c r="K93" s="63">
        <v>1.5</v>
      </c>
      <c r="L93" s="13">
        <f>12610-8464</f>
        <v>4146</v>
      </c>
      <c r="M93" s="46"/>
      <c r="N93" s="46"/>
      <c r="O93" s="54">
        <f t="shared" si="1"/>
        <v>4146</v>
      </c>
    </row>
    <row r="94" spans="1:15" ht="29.25">
      <c r="A94" s="278" t="s">
        <v>11</v>
      </c>
      <c r="B94" s="56" t="s">
        <v>756</v>
      </c>
      <c r="C94" s="56" t="s">
        <v>757</v>
      </c>
      <c r="D94" s="61" t="s">
        <v>821</v>
      </c>
      <c r="E94" s="56"/>
      <c r="F94" s="56" t="s">
        <v>759</v>
      </c>
      <c r="G94" s="56" t="s">
        <v>757</v>
      </c>
      <c r="H94" s="425" t="s">
        <v>1279</v>
      </c>
      <c r="I94" s="47">
        <v>357357</v>
      </c>
      <c r="J94" s="158" t="s">
        <v>154</v>
      </c>
      <c r="K94" s="63">
        <v>7.5</v>
      </c>
      <c r="L94" s="13">
        <f>30761-21577</f>
        <v>9184</v>
      </c>
      <c r="M94" s="46"/>
      <c r="N94" s="46"/>
      <c r="O94" s="54">
        <f t="shared" si="1"/>
        <v>9184</v>
      </c>
    </row>
    <row r="95" spans="1:15" ht="29.25">
      <c r="A95" s="278" t="s">
        <v>11</v>
      </c>
      <c r="B95" s="56" t="s">
        <v>756</v>
      </c>
      <c r="C95" s="56" t="s">
        <v>757</v>
      </c>
      <c r="D95" s="61" t="s">
        <v>822</v>
      </c>
      <c r="E95" s="56"/>
      <c r="F95" s="56" t="s">
        <v>759</v>
      </c>
      <c r="G95" s="56" t="s">
        <v>757</v>
      </c>
      <c r="H95" s="425" t="s">
        <v>1280</v>
      </c>
      <c r="I95" s="47">
        <v>356780</v>
      </c>
      <c r="J95" s="158" t="s">
        <v>154</v>
      </c>
      <c r="K95" s="63">
        <v>4.8</v>
      </c>
      <c r="L95" s="13">
        <f>34825-24443</f>
        <v>10382</v>
      </c>
      <c r="M95" s="46"/>
      <c r="N95" s="46"/>
      <c r="O95" s="54">
        <f t="shared" si="1"/>
        <v>10382</v>
      </c>
    </row>
    <row r="96" spans="1:15" ht="29.25">
      <c r="A96" s="278" t="s">
        <v>11</v>
      </c>
      <c r="B96" s="56" t="s">
        <v>756</v>
      </c>
      <c r="C96" s="56" t="s">
        <v>757</v>
      </c>
      <c r="D96" s="61" t="s">
        <v>823</v>
      </c>
      <c r="E96" s="56"/>
      <c r="F96" s="56" t="s">
        <v>759</v>
      </c>
      <c r="G96" s="56" t="s">
        <v>757</v>
      </c>
      <c r="H96" s="425" t="s">
        <v>1281</v>
      </c>
      <c r="I96" s="47">
        <v>356080</v>
      </c>
      <c r="J96" s="158" t="s">
        <v>154</v>
      </c>
      <c r="K96" s="63">
        <v>5</v>
      </c>
      <c r="L96" s="13">
        <f>66109-46384</f>
        <v>19725</v>
      </c>
      <c r="M96" s="46"/>
      <c r="N96" s="46"/>
      <c r="O96" s="54">
        <f t="shared" si="1"/>
        <v>19725</v>
      </c>
    </row>
    <row r="97" spans="1:15" ht="29.25">
      <c r="A97" s="278" t="s">
        <v>11</v>
      </c>
      <c r="B97" s="56" t="s">
        <v>756</v>
      </c>
      <c r="C97" s="56" t="s">
        <v>757</v>
      </c>
      <c r="D97" s="61" t="s">
        <v>824</v>
      </c>
      <c r="E97" s="56"/>
      <c r="F97" s="56" t="s">
        <v>759</v>
      </c>
      <c r="G97" s="56" t="s">
        <v>757</v>
      </c>
      <c r="H97" s="425" t="s">
        <v>1282</v>
      </c>
      <c r="I97" s="47">
        <v>71010334</v>
      </c>
      <c r="J97" s="158" t="s">
        <v>154</v>
      </c>
      <c r="K97" s="63">
        <v>6.5</v>
      </c>
      <c r="L97" s="13">
        <f>93979-75381</f>
        <v>18598</v>
      </c>
      <c r="M97" s="46"/>
      <c r="N97" s="46"/>
      <c r="O97" s="54">
        <f t="shared" si="1"/>
        <v>18598</v>
      </c>
    </row>
    <row r="98" spans="1:15" ht="43.5">
      <c r="A98" s="278" t="s">
        <v>11</v>
      </c>
      <c r="B98" s="56" t="s">
        <v>756</v>
      </c>
      <c r="C98" s="56" t="s">
        <v>757</v>
      </c>
      <c r="D98" s="61" t="s">
        <v>825</v>
      </c>
      <c r="E98" s="56"/>
      <c r="F98" s="56" t="s">
        <v>759</v>
      </c>
      <c r="G98" s="56" t="s">
        <v>757</v>
      </c>
      <c r="H98" s="425" t="s">
        <v>1283</v>
      </c>
      <c r="I98" s="47">
        <v>357352</v>
      </c>
      <c r="J98" s="158" t="s">
        <v>154</v>
      </c>
      <c r="K98" s="63">
        <v>4.8</v>
      </c>
      <c r="L98" s="13">
        <f>8199-6637</f>
        <v>1562</v>
      </c>
      <c r="M98" s="46"/>
      <c r="N98" s="46"/>
      <c r="O98" s="54">
        <f t="shared" si="1"/>
        <v>1562</v>
      </c>
    </row>
    <row r="99" spans="1:15" ht="43.5">
      <c r="A99" s="278" t="s">
        <v>11</v>
      </c>
      <c r="B99" s="56" t="s">
        <v>756</v>
      </c>
      <c r="C99" s="56" t="s">
        <v>757</v>
      </c>
      <c r="D99" s="61" t="s">
        <v>826</v>
      </c>
      <c r="E99" s="56"/>
      <c r="F99" s="56" t="s">
        <v>759</v>
      </c>
      <c r="G99" s="56" t="s">
        <v>757</v>
      </c>
      <c r="H99" s="425" t="s">
        <v>1284</v>
      </c>
      <c r="I99" s="47">
        <v>320127</v>
      </c>
      <c r="J99" s="158" t="s">
        <v>154</v>
      </c>
      <c r="K99" s="63">
        <v>6.5</v>
      </c>
      <c r="L99" s="13">
        <f>31196-21667</f>
        <v>9529</v>
      </c>
      <c r="M99" s="46"/>
      <c r="N99" s="46"/>
      <c r="O99" s="54">
        <f t="shared" si="1"/>
        <v>9529</v>
      </c>
    </row>
    <row r="100" spans="1:15" ht="29.25">
      <c r="A100" s="278" t="s">
        <v>11</v>
      </c>
      <c r="B100" s="56" t="s">
        <v>756</v>
      </c>
      <c r="C100" s="56" t="s">
        <v>757</v>
      </c>
      <c r="D100" s="61" t="s">
        <v>827</v>
      </c>
      <c r="E100" s="56"/>
      <c r="F100" s="56" t="s">
        <v>759</v>
      </c>
      <c r="G100" s="56" t="s">
        <v>757</v>
      </c>
      <c r="H100" s="425" t="s">
        <v>1285</v>
      </c>
      <c r="I100" s="47">
        <v>98334</v>
      </c>
      <c r="J100" s="158" t="s">
        <v>154</v>
      </c>
      <c r="K100" s="63">
        <v>4.8</v>
      </c>
      <c r="L100" s="13">
        <f>46321-39615</f>
        <v>6706</v>
      </c>
      <c r="M100" s="46"/>
      <c r="N100" s="46"/>
      <c r="O100" s="54">
        <f t="shared" si="1"/>
        <v>6706</v>
      </c>
    </row>
    <row r="101" spans="1:15" ht="29.25">
      <c r="A101" s="278" t="s">
        <v>11</v>
      </c>
      <c r="B101" s="56" t="s">
        <v>756</v>
      </c>
      <c r="C101" s="56" t="s">
        <v>757</v>
      </c>
      <c r="D101" s="61" t="s">
        <v>828</v>
      </c>
      <c r="E101" s="56"/>
      <c r="F101" s="56" t="s">
        <v>759</v>
      </c>
      <c r="G101" s="56" t="s">
        <v>757</v>
      </c>
      <c r="H101" s="425" t="s">
        <v>1286</v>
      </c>
      <c r="I101" s="47">
        <v>357153</v>
      </c>
      <c r="J101" s="158" t="s">
        <v>154</v>
      </c>
      <c r="K101" s="63">
        <v>4.3</v>
      </c>
      <c r="L101" s="13">
        <f>20034-14052</f>
        <v>5982</v>
      </c>
      <c r="M101" s="46"/>
      <c r="N101" s="46"/>
      <c r="O101" s="54">
        <f t="shared" si="1"/>
        <v>5982</v>
      </c>
    </row>
    <row r="102" spans="1:15" ht="29.25">
      <c r="A102" s="278" t="s">
        <v>11</v>
      </c>
      <c r="B102" s="56" t="s">
        <v>756</v>
      </c>
      <c r="C102" s="56" t="s">
        <v>757</v>
      </c>
      <c r="D102" s="61" t="s">
        <v>822</v>
      </c>
      <c r="E102" s="56"/>
      <c r="F102" s="56" t="s">
        <v>759</v>
      </c>
      <c r="G102" s="56" t="s">
        <v>757</v>
      </c>
      <c r="H102" s="425" t="s">
        <v>1287</v>
      </c>
      <c r="I102" s="47">
        <v>357155</v>
      </c>
      <c r="J102" s="158" t="s">
        <v>154</v>
      </c>
      <c r="K102" s="63">
        <v>5.2</v>
      </c>
      <c r="L102" s="13">
        <f>64088-44543</f>
        <v>19545</v>
      </c>
      <c r="M102" s="46"/>
      <c r="N102" s="46"/>
      <c r="O102" s="54">
        <f t="shared" si="1"/>
        <v>19545</v>
      </c>
    </row>
    <row r="103" spans="1:15" ht="29.25">
      <c r="A103" s="278" t="s">
        <v>11</v>
      </c>
      <c r="B103" s="56" t="s">
        <v>756</v>
      </c>
      <c r="C103" s="56" t="s">
        <v>757</v>
      </c>
      <c r="D103" s="61" t="s">
        <v>829</v>
      </c>
      <c r="E103" s="56"/>
      <c r="F103" s="56" t="s">
        <v>759</v>
      </c>
      <c r="G103" s="56" t="s">
        <v>757</v>
      </c>
      <c r="H103" s="425" t="s">
        <v>1288</v>
      </c>
      <c r="I103" s="47">
        <v>291222</v>
      </c>
      <c r="J103" s="158" t="s">
        <v>154</v>
      </c>
      <c r="K103" s="63">
        <v>4.3</v>
      </c>
      <c r="L103" s="13">
        <f>9544-6739</f>
        <v>2805</v>
      </c>
      <c r="M103" s="46"/>
      <c r="N103" s="46"/>
      <c r="O103" s="54">
        <f t="shared" si="1"/>
        <v>2805</v>
      </c>
    </row>
    <row r="104" spans="1:15" ht="29.25">
      <c r="A104" s="278" t="s">
        <v>11</v>
      </c>
      <c r="B104" s="56" t="s">
        <v>756</v>
      </c>
      <c r="C104" s="56" t="s">
        <v>757</v>
      </c>
      <c r="D104" s="61" t="s">
        <v>829</v>
      </c>
      <c r="E104" s="56"/>
      <c r="F104" s="56" t="s">
        <v>759</v>
      </c>
      <c r="G104" s="56" t="s">
        <v>757</v>
      </c>
      <c r="H104" s="425" t="s">
        <v>1289</v>
      </c>
      <c r="I104" s="47">
        <v>356788</v>
      </c>
      <c r="J104" s="158" t="s">
        <v>154</v>
      </c>
      <c r="K104" s="63">
        <v>6</v>
      </c>
      <c r="L104" s="13">
        <f>58915-35577</f>
        <v>23338</v>
      </c>
      <c r="M104" s="46"/>
      <c r="N104" s="46"/>
      <c r="O104" s="54">
        <f t="shared" si="1"/>
        <v>23338</v>
      </c>
    </row>
    <row r="105" spans="1:15" ht="18">
      <c r="A105" s="278" t="s">
        <v>11</v>
      </c>
      <c r="B105" s="56" t="s">
        <v>756</v>
      </c>
      <c r="C105" s="56" t="s">
        <v>757</v>
      </c>
      <c r="D105" s="61" t="s">
        <v>830</v>
      </c>
      <c r="E105" s="56"/>
      <c r="F105" s="56" t="s">
        <v>759</v>
      </c>
      <c r="G105" s="56" t="s">
        <v>757</v>
      </c>
      <c r="H105" s="425" t="s">
        <v>1290</v>
      </c>
      <c r="I105" s="47">
        <v>70652793</v>
      </c>
      <c r="J105" s="158" t="s">
        <v>154</v>
      </c>
      <c r="K105" s="63">
        <v>6.8</v>
      </c>
      <c r="L105" s="13">
        <f>62237-49376</f>
        <v>12861</v>
      </c>
      <c r="M105" s="46"/>
      <c r="N105" s="46"/>
      <c r="O105" s="54">
        <f t="shared" si="1"/>
        <v>12861</v>
      </c>
    </row>
    <row r="106" spans="1:15" ht="25.5" customHeight="1">
      <c r="A106" s="278" t="s">
        <v>11</v>
      </c>
      <c r="B106" s="56" t="s">
        <v>756</v>
      </c>
      <c r="C106" s="56" t="s">
        <v>757</v>
      </c>
      <c r="D106" s="61" t="s">
        <v>81</v>
      </c>
      <c r="E106" s="56"/>
      <c r="F106" s="56" t="s">
        <v>759</v>
      </c>
      <c r="G106" s="56" t="s">
        <v>757</v>
      </c>
      <c r="H106" s="425" t="s">
        <v>1291</v>
      </c>
      <c r="I106" s="47">
        <v>70522207</v>
      </c>
      <c r="J106" s="158" t="s">
        <v>154</v>
      </c>
      <c r="K106" s="63">
        <v>3.3</v>
      </c>
      <c r="L106" s="13">
        <f>23272-16426</f>
        <v>6846</v>
      </c>
      <c r="M106" s="46"/>
      <c r="N106" s="46"/>
      <c r="O106" s="54">
        <f t="shared" si="1"/>
        <v>6846</v>
      </c>
    </row>
    <row r="107" spans="1:15" ht="18">
      <c r="A107" s="278" t="s">
        <v>11</v>
      </c>
      <c r="B107" s="56" t="s">
        <v>756</v>
      </c>
      <c r="C107" s="56" t="s">
        <v>757</v>
      </c>
      <c r="D107" s="61" t="s">
        <v>831</v>
      </c>
      <c r="E107" s="56"/>
      <c r="F107" s="56" t="s">
        <v>759</v>
      </c>
      <c r="G107" s="56" t="s">
        <v>757</v>
      </c>
      <c r="H107" s="425" t="s">
        <v>1292</v>
      </c>
      <c r="I107" s="47">
        <v>356084</v>
      </c>
      <c r="J107" s="158" t="s">
        <v>154</v>
      </c>
      <c r="K107" s="63">
        <v>5.5</v>
      </c>
      <c r="L107" s="13">
        <f>37967-26302</f>
        <v>11665</v>
      </c>
      <c r="M107" s="46"/>
      <c r="N107" s="46"/>
      <c r="O107" s="54">
        <f t="shared" si="1"/>
        <v>11665</v>
      </c>
    </row>
    <row r="108" spans="1:15" ht="43.5">
      <c r="A108" s="278" t="s">
        <v>11</v>
      </c>
      <c r="B108" s="56" t="s">
        <v>756</v>
      </c>
      <c r="C108" s="56" t="s">
        <v>757</v>
      </c>
      <c r="D108" s="61" t="s">
        <v>832</v>
      </c>
      <c r="E108" s="56"/>
      <c r="F108" s="56" t="s">
        <v>759</v>
      </c>
      <c r="G108" s="56" t="s">
        <v>757</v>
      </c>
      <c r="H108" s="425" t="s">
        <v>1293</v>
      </c>
      <c r="I108" s="47">
        <v>320133</v>
      </c>
      <c r="J108" s="158" t="s">
        <v>154</v>
      </c>
      <c r="K108" s="63">
        <v>3.5</v>
      </c>
      <c r="L108" s="13">
        <f>16428-11250</f>
        <v>5178</v>
      </c>
      <c r="M108" s="46"/>
      <c r="N108" s="46"/>
      <c r="O108" s="54">
        <f t="shared" si="1"/>
        <v>5178</v>
      </c>
    </row>
    <row r="109" spans="1:15" ht="18">
      <c r="A109" s="278" t="s">
        <v>11</v>
      </c>
      <c r="B109" s="56" t="s">
        <v>756</v>
      </c>
      <c r="C109" s="56" t="s">
        <v>757</v>
      </c>
      <c r="D109" s="61" t="s">
        <v>833</v>
      </c>
      <c r="E109" s="56"/>
      <c r="F109" s="56" t="s">
        <v>759</v>
      </c>
      <c r="G109" s="56" t="s">
        <v>757</v>
      </c>
      <c r="H109" s="425" t="s">
        <v>1294</v>
      </c>
      <c r="I109" s="47">
        <v>356023</v>
      </c>
      <c r="J109" s="158" t="s">
        <v>154</v>
      </c>
      <c r="K109" s="63">
        <v>4</v>
      </c>
      <c r="L109" s="13">
        <f>20533-14822</f>
        <v>5711</v>
      </c>
      <c r="M109" s="46"/>
      <c r="N109" s="46"/>
      <c r="O109" s="54">
        <f t="shared" si="1"/>
        <v>5711</v>
      </c>
    </row>
    <row r="110" spans="1:15" ht="29.25" customHeight="1">
      <c r="A110" s="278" t="s">
        <v>11</v>
      </c>
      <c r="B110" s="56" t="s">
        <v>756</v>
      </c>
      <c r="C110" s="56" t="s">
        <v>757</v>
      </c>
      <c r="D110" s="61" t="s">
        <v>834</v>
      </c>
      <c r="E110" s="56"/>
      <c r="F110" s="56" t="s">
        <v>759</v>
      </c>
      <c r="G110" s="56" t="s">
        <v>757</v>
      </c>
      <c r="H110" s="425" t="s">
        <v>1295</v>
      </c>
      <c r="I110" s="47">
        <v>357230</v>
      </c>
      <c r="J110" s="158" t="s">
        <v>154</v>
      </c>
      <c r="K110" s="63">
        <v>5.3</v>
      </c>
      <c r="L110" s="13">
        <f>24531-17221</f>
        <v>7310</v>
      </c>
      <c r="M110" s="46"/>
      <c r="N110" s="46"/>
      <c r="O110" s="54">
        <f t="shared" si="1"/>
        <v>7310</v>
      </c>
    </row>
    <row r="111" spans="1:15" ht="29.25">
      <c r="A111" s="278" t="s">
        <v>11</v>
      </c>
      <c r="B111" s="56" t="s">
        <v>756</v>
      </c>
      <c r="C111" s="56" t="s">
        <v>757</v>
      </c>
      <c r="D111" s="61" t="s">
        <v>835</v>
      </c>
      <c r="E111" s="56"/>
      <c r="F111" s="56" t="s">
        <v>759</v>
      </c>
      <c r="G111" s="56" t="s">
        <v>757</v>
      </c>
      <c r="H111" s="425" t="s">
        <v>1296</v>
      </c>
      <c r="I111" s="47">
        <v>90104540</v>
      </c>
      <c r="J111" s="158" t="s">
        <v>154</v>
      </c>
      <c r="K111" s="63">
        <v>7.8</v>
      </c>
      <c r="L111" s="13">
        <f>9098-3205</f>
        <v>5893</v>
      </c>
      <c r="M111" s="46"/>
      <c r="N111" s="46"/>
      <c r="O111" s="54">
        <f t="shared" si="1"/>
        <v>5893</v>
      </c>
    </row>
    <row r="112" spans="1:15" ht="29.25">
      <c r="A112" s="278" t="s">
        <v>11</v>
      </c>
      <c r="B112" s="56" t="s">
        <v>756</v>
      </c>
      <c r="C112" s="56" t="s">
        <v>757</v>
      </c>
      <c r="D112" s="61" t="s">
        <v>836</v>
      </c>
      <c r="E112" s="56"/>
      <c r="F112" s="56" t="s">
        <v>759</v>
      </c>
      <c r="G112" s="56" t="s">
        <v>757</v>
      </c>
      <c r="H112" s="425" t="s">
        <v>1297</v>
      </c>
      <c r="I112" s="47">
        <v>10962272</v>
      </c>
      <c r="J112" s="158" t="s">
        <v>154</v>
      </c>
      <c r="K112" s="63">
        <v>4</v>
      </c>
      <c r="L112" s="13">
        <f>96622-56465</f>
        <v>40157</v>
      </c>
      <c r="M112" s="46"/>
      <c r="N112" s="46"/>
      <c r="O112" s="54">
        <f t="shared" si="1"/>
        <v>40157</v>
      </c>
    </row>
    <row r="113" spans="1:15" ht="29.25">
      <c r="A113" s="278" t="s">
        <v>11</v>
      </c>
      <c r="B113" s="56" t="s">
        <v>756</v>
      </c>
      <c r="C113" s="56" t="s">
        <v>757</v>
      </c>
      <c r="D113" s="61" t="s">
        <v>837</v>
      </c>
      <c r="E113" s="56"/>
      <c r="F113" s="56" t="s">
        <v>759</v>
      </c>
      <c r="G113" s="56" t="s">
        <v>757</v>
      </c>
      <c r="H113" s="425" t="s">
        <v>1298</v>
      </c>
      <c r="I113" s="47">
        <v>7992418</v>
      </c>
      <c r="J113" s="158" t="s">
        <v>154</v>
      </c>
      <c r="K113" s="63">
        <v>7.5</v>
      </c>
      <c r="L113" s="13">
        <f>168833-156650</f>
        <v>12183</v>
      </c>
      <c r="M113" s="46"/>
      <c r="N113" s="46"/>
      <c r="O113" s="54">
        <f t="shared" si="1"/>
        <v>12183</v>
      </c>
    </row>
    <row r="114" spans="1:15" ht="29.25">
      <c r="A114" s="278" t="s">
        <v>11</v>
      </c>
      <c r="B114" s="56" t="s">
        <v>756</v>
      </c>
      <c r="C114" s="56" t="s">
        <v>757</v>
      </c>
      <c r="D114" s="61" t="s">
        <v>786</v>
      </c>
      <c r="E114" s="56"/>
      <c r="F114" s="56" t="s">
        <v>759</v>
      </c>
      <c r="G114" s="56" t="s">
        <v>757</v>
      </c>
      <c r="H114" s="425" t="s">
        <v>1299</v>
      </c>
      <c r="I114" s="47">
        <v>9677706</v>
      </c>
      <c r="J114" s="158" t="s">
        <v>154</v>
      </c>
      <c r="K114" s="63">
        <v>3.3</v>
      </c>
      <c r="L114" s="13">
        <f>44839-36077</f>
        <v>8762</v>
      </c>
      <c r="M114" s="46"/>
      <c r="N114" s="46"/>
      <c r="O114" s="54">
        <f t="shared" si="1"/>
        <v>8762</v>
      </c>
    </row>
    <row r="115" spans="1:15" ht="29.25">
      <c r="A115" s="278" t="s">
        <v>11</v>
      </c>
      <c r="B115" s="56" t="s">
        <v>756</v>
      </c>
      <c r="C115" s="56" t="s">
        <v>757</v>
      </c>
      <c r="D115" s="61" t="s">
        <v>838</v>
      </c>
      <c r="E115" s="56"/>
      <c r="F115" s="56" t="s">
        <v>759</v>
      </c>
      <c r="G115" s="56" t="s">
        <v>757</v>
      </c>
      <c r="H115" s="425" t="s">
        <v>1300</v>
      </c>
      <c r="I115" s="47">
        <v>7338814</v>
      </c>
      <c r="J115" s="158" t="s">
        <v>154</v>
      </c>
      <c r="K115" s="63">
        <v>5.8</v>
      </c>
      <c r="L115" s="13">
        <f>180648-156152</f>
        <v>24496</v>
      </c>
      <c r="M115" s="46"/>
      <c r="N115" s="46"/>
      <c r="O115" s="54">
        <f t="shared" si="1"/>
        <v>24496</v>
      </c>
    </row>
    <row r="116" spans="1:15" ht="18">
      <c r="A116" s="278" t="s">
        <v>11</v>
      </c>
      <c r="B116" s="56" t="s">
        <v>756</v>
      </c>
      <c r="C116" s="56" t="s">
        <v>757</v>
      </c>
      <c r="D116" s="61" t="s">
        <v>839</v>
      </c>
      <c r="E116" s="56"/>
      <c r="F116" s="56" t="s">
        <v>759</v>
      </c>
      <c r="G116" s="56" t="s">
        <v>757</v>
      </c>
      <c r="H116" s="425" t="s">
        <v>1301</v>
      </c>
      <c r="I116" s="47">
        <v>90103479</v>
      </c>
      <c r="J116" s="158" t="s">
        <v>154</v>
      </c>
      <c r="K116" s="63">
        <v>2.8</v>
      </c>
      <c r="L116" s="13">
        <f>20772-3990</f>
        <v>16782</v>
      </c>
      <c r="M116" s="46"/>
      <c r="N116" s="46"/>
      <c r="O116" s="54">
        <f t="shared" si="1"/>
        <v>16782</v>
      </c>
    </row>
    <row r="117" spans="1:15" ht="29.25">
      <c r="A117" s="278" t="s">
        <v>11</v>
      </c>
      <c r="B117" s="56" t="s">
        <v>756</v>
      </c>
      <c r="C117" s="56" t="s">
        <v>757</v>
      </c>
      <c r="D117" s="61" t="s">
        <v>840</v>
      </c>
      <c r="E117" s="56"/>
      <c r="F117" s="56" t="s">
        <v>759</v>
      </c>
      <c r="G117" s="56" t="s">
        <v>757</v>
      </c>
      <c r="H117" s="425" t="s">
        <v>1302</v>
      </c>
      <c r="I117" s="47">
        <v>9984733</v>
      </c>
      <c r="J117" s="158" t="s">
        <v>154</v>
      </c>
      <c r="K117" s="63">
        <v>7.2</v>
      </c>
      <c r="L117" s="13">
        <f>95649-81080</f>
        <v>14569</v>
      </c>
      <c r="M117" s="46"/>
      <c r="N117" s="46"/>
      <c r="O117" s="54">
        <f t="shared" si="1"/>
        <v>14569</v>
      </c>
    </row>
    <row r="118" spans="1:15" ht="35.25" customHeight="1">
      <c r="A118" s="278" t="s">
        <v>11</v>
      </c>
      <c r="B118" s="47" t="s">
        <v>756</v>
      </c>
      <c r="C118" s="47" t="s">
        <v>757</v>
      </c>
      <c r="D118" s="27" t="s">
        <v>841</v>
      </c>
      <c r="E118" s="47"/>
      <c r="F118" s="47" t="s">
        <v>759</v>
      </c>
      <c r="G118" s="47" t="s">
        <v>757</v>
      </c>
      <c r="H118" s="425" t="s">
        <v>1303</v>
      </c>
      <c r="I118" s="47">
        <v>10661419</v>
      </c>
      <c r="J118" s="159" t="s">
        <v>154</v>
      </c>
      <c r="K118" s="49">
        <v>3</v>
      </c>
      <c r="L118" s="13">
        <f>39871-31319</f>
        <v>8552</v>
      </c>
      <c r="M118" s="46"/>
      <c r="N118" s="46"/>
      <c r="O118" s="54">
        <f t="shared" si="1"/>
        <v>8552</v>
      </c>
    </row>
    <row r="119" spans="1:15" ht="29.25">
      <c r="A119" s="278" t="s">
        <v>11</v>
      </c>
      <c r="B119" s="56" t="s">
        <v>756</v>
      </c>
      <c r="C119" s="56" t="s">
        <v>757</v>
      </c>
      <c r="D119" s="61" t="s">
        <v>842</v>
      </c>
      <c r="E119" s="56"/>
      <c r="F119" s="56" t="s">
        <v>759</v>
      </c>
      <c r="G119" s="56" t="s">
        <v>757</v>
      </c>
      <c r="H119" s="425" t="s">
        <v>1304</v>
      </c>
      <c r="I119" s="47">
        <v>356088</v>
      </c>
      <c r="J119" s="158" t="s">
        <v>154</v>
      </c>
      <c r="K119" s="63">
        <v>10</v>
      </c>
      <c r="L119" s="13">
        <f>68794-47669</f>
        <v>21125</v>
      </c>
      <c r="M119" s="46"/>
      <c r="N119" s="46"/>
      <c r="O119" s="54">
        <f t="shared" si="1"/>
        <v>21125</v>
      </c>
    </row>
    <row r="120" spans="1:15" ht="43.5">
      <c r="A120" s="278" t="s">
        <v>11</v>
      </c>
      <c r="B120" s="56" t="s">
        <v>756</v>
      </c>
      <c r="C120" s="56" t="s">
        <v>757</v>
      </c>
      <c r="D120" s="61" t="s">
        <v>843</v>
      </c>
      <c r="E120" s="56"/>
      <c r="F120" s="56" t="s">
        <v>759</v>
      </c>
      <c r="G120" s="56" t="s">
        <v>757</v>
      </c>
      <c r="H120" s="425" t="s">
        <v>1305</v>
      </c>
      <c r="I120" s="47">
        <v>9578696</v>
      </c>
      <c r="J120" s="158" t="s">
        <v>154</v>
      </c>
      <c r="K120" s="63">
        <v>23</v>
      </c>
      <c r="L120" s="13">
        <f>71220-59211</f>
        <v>12009</v>
      </c>
      <c r="M120" s="46"/>
      <c r="N120" s="46"/>
      <c r="O120" s="54">
        <f t="shared" si="1"/>
        <v>12009</v>
      </c>
    </row>
    <row r="121" spans="1:15" ht="29.25">
      <c r="A121" s="278" t="s">
        <v>11</v>
      </c>
      <c r="B121" s="56" t="s">
        <v>756</v>
      </c>
      <c r="C121" s="56" t="s">
        <v>757</v>
      </c>
      <c r="D121" s="61" t="s">
        <v>786</v>
      </c>
      <c r="E121" s="56"/>
      <c r="F121" s="56" t="s">
        <v>759</v>
      </c>
      <c r="G121" s="56" t="s">
        <v>757</v>
      </c>
      <c r="H121" s="425" t="s">
        <v>1306</v>
      </c>
      <c r="I121" s="47">
        <v>356022</v>
      </c>
      <c r="J121" s="158" t="s">
        <v>154</v>
      </c>
      <c r="K121" s="63">
        <v>2</v>
      </c>
      <c r="L121" s="13">
        <f>17852-12869</f>
        <v>4983</v>
      </c>
      <c r="M121" s="46"/>
      <c r="N121" s="46"/>
      <c r="O121" s="54">
        <f t="shared" si="1"/>
        <v>4983</v>
      </c>
    </row>
    <row r="122" spans="1:15" ht="43.5">
      <c r="A122" s="278" t="s">
        <v>11</v>
      </c>
      <c r="B122" s="56" t="s">
        <v>756</v>
      </c>
      <c r="C122" s="56" t="s">
        <v>757</v>
      </c>
      <c r="D122" s="61" t="s">
        <v>844</v>
      </c>
      <c r="E122" s="56"/>
      <c r="F122" s="56" t="s">
        <v>759</v>
      </c>
      <c r="G122" s="56" t="s">
        <v>757</v>
      </c>
      <c r="H122" s="425" t="s">
        <v>1307</v>
      </c>
      <c r="I122" s="47">
        <v>83143374</v>
      </c>
      <c r="J122" s="158" t="s">
        <v>154</v>
      </c>
      <c r="K122" s="63">
        <v>5.5</v>
      </c>
      <c r="L122" s="13">
        <f>8850-1768</f>
        <v>7082</v>
      </c>
      <c r="M122" s="46"/>
      <c r="N122" s="46"/>
      <c r="O122" s="54">
        <f t="shared" si="1"/>
        <v>7082</v>
      </c>
    </row>
    <row r="123" spans="1:15" ht="29.25">
      <c r="A123" s="278" t="s">
        <v>11</v>
      </c>
      <c r="B123" s="56" t="s">
        <v>756</v>
      </c>
      <c r="C123" s="56" t="s">
        <v>757</v>
      </c>
      <c r="D123" s="61" t="s">
        <v>845</v>
      </c>
      <c r="E123" s="56"/>
      <c r="F123" s="56" t="s">
        <v>759</v>
      </c>
      <c r="G123" s="56" t="s">
        <v>757</v>
      </c>
      <c r="H123" s="425" t="s">
        <v>1308</v>
      </c>
      <c r="I123" s="47">
        <v>12642589</v>
      </c>
      <c r="J123" s="158" t="s">
        <v>154</v>
      </c>
      <c r="K123" s="63">
        <v>2.5</v>
      </c>
      <c r="L123" s="13">
        <f>106677-98564</f>
        <v>8113</v>
      </c>
      <c r="M123" s="46"/>
      <c r="N123" s="46"/>
      <c r="O123" s="54">
        <f t="shared" si="1"/>
        <v>8113</v>
      </c>
    </row>
    <row r="124" spans="1:15" ht="29.25">
      <c r="A124" s="278" t="s">
        <v>11</v>
      </c>
      <c r="B124" s="56" t="s">
        <v>756</v>
      </c>
      <c r="C124" s="56" t="s">
        <v>757</v>
      </c>
      <c r="D124" s="61" t="s">
        <v>786</v>
      </c>
      <c r="E124" s="56"/>
      <c r="F124" s="56" t="s">
        <v>759</v>
      </c>
      <c r="G124" s="56" t="s">
        <v>757</v>
      </c>
      <c r="H124" s="425" t="s">
        <v>1309</v>
      </c>
      <c r="I124" s="47">
        <v>78240550</v>
      </c>
      <c r="J124" s="158" t="s">
        <v>154</v>
      </c>
      <c r="K124" s="63">
        <v>0.9</v>
      </c>
      <c r="L124" s="13">
        <f>77209-70801</f>
        <v>6408</v>
      </c>
      <c r="M124" s="46"/>
      <c r="N124" s="46"/>
      <c r="O124" s="54">
        <f t="shared" si="1"/>
        <v>6408</v>
      </c>
    </row>
    <row r="125" spans="1:15" ht="27" customHeight="1">
      <c r="A125" s="278" t="s">
        <v>11</v>
      </c>
      <c r="B125" s="56" t="s">
        <v>756</v>
      </c>
      <c r="C125" s="56" t="s">
        <v>757</v>
      </c>
      <c r="D125" s="61" t="s">
        <v>79</v>
      </c>
      <c r="E125" s="56"/>
      <c r="F125" s="56" t="s">
        <v>759</v>
      </c>
      <c r="G125" s="56" t="s">
        <v>757</v>
      </c>
      <c r="H125" s="425" t="s">
        <v>1310</v>
      </c>
      <c r="I125" s="47">
        <v>12180090</v>
      </c>
      <c r="J125" s="158" t="s">
        <v>154</v>
      </c>
      <c r="K125" s="63">
        <v>3.3</v>
      </c>
      <c r="L125" s="13">
        <f>186245-170966</f>
        <v>15279</v>
      </c>
      <c r="M125" s="46"/>
      <c r="N125" s="46"/>
      <c r="O125" s="54">
        <f t="shared" si="1"/>
        <v>15279</v>
      </c>
    </row>
    <row r="126" spans="1:15" ht="43.5">
      <c r="A126" s="278" t="s">
        <v>11</v>
      </c>
      <c r="B126" s="56" t="s">
        <v>756</v>
      </c>
      <c r="C126" s="56" t="s">
        <v>757</v>
      </c>
      <c r="D126" s="61" t="s">
        <v>846</v>
      </c>
      <c r="E126" s="56"/>
      <c r="F126" s="56" t="s">
        <v>759</v>
      </c>
      <c r="G126" s="56" t="s">
        <v>757</v>
      </c>
      <c r="H126" s="425" t="s">
        <v>1311</v>
      </c>
      <c r="I126" s="47">
        <v>14935</v>
      </c>
      <c r="J126" s="157" t="s">
        <v>377</v>
      </c>
      <c r="K126" s="63">
        <v>2</v>
      </c>
      <c r="L126" s="46"/>
      <c r="M126" s="13">
        <f>9895-8043</f>
        <v>1852</v>
      </c>
      <c r="N126" s="13">
        <f>18170-14990</f>
        <v>3180</v>
      </c>
      <c r="O126" s="13">
        <f>SUM(M126:N126)</f>
        <v>5032</v>
      </c>
    </row>
    <row r="127" spans="1:15" ht="29.25">
      <c r="A127" s="278" t="s">
        <v>11</v>
      </c>
      <c r="B127" s="56" t="s">
        <v>756</v>
      </c>
      <c r="C127" s="56" t="s">
        <v>757</v>
      </c>
      <c r="D127" s="61" t="s">
        <v>847</v>
      </c>
      <c r="E127" s="56"/>
      <c r="F127" s="56" t="s">
        <v>759</v>
      </c>
      <c r="G127" s="56" t="s">
        <v>757</v>
      </c>
      <c r="H127" s="425" t="s">
        <v>1312</v>
      </c>
      <c r="I127" s="47">
        <v>11747</v>
      </c>
      <c r="J127" s="157" t="s">
        <v>377</v>
      </c>
      <c r="K127" s="63">
        <v>6</v>
      </c>
      <c r="L127" s="46"/>
      <c r="M127" s="13">
        <f>41535-35552</f>
        <v>5983</v>
      </c>
      <c r="N127" s="13">
        <f>81429-69347</f>
        <v>12082</v>
      </c>
      <c r="O127" s="13">
        <f>SUM(M127:N127)</f>
        <v>18065</v>
      </c>
    </row>
    <row r="128" spans="1:15" ht="18">
      <c r="A128" s="278" t="s">
        <v>11</v>
      </c>
      <c r="B128" s="56" t="s">
        <v>756</v>
      </c>
      <c r="C128" s="56" t="s">
        <v>757</v>
      </c>
      <c r="D128" s="61" t="s">
        <v>848</v>
      </c>
      <c r="E128" s="56"/>
      <c r="F128" s="56" t="s">
        <v>759</v>
      </c>
      <c r="G128" s="56" t="s">
        <v>757</v>
      </c>
      <c r="H128" s="425" t="s">
        <v>1313</v>
      </c>
      <c r="I128" s="47">
        <v>16889</v>
      </c>
      <c r="J128" s="4" t="s">
        <v>152</v>
      </c>
      <c r="K128" s="63">
        <v>2</v>
      </c>
      <c r="L128" s="13">
        <f>20371-17544</f>
        <v>2827</v>
      </c>
      <c r="M128" s="46"/>
      <c r="N128" s="46"/>
      <c r="O128" s="13">
        <f>L128</f>
        <v>2827</v>
      </c>
    </row>
    <row r="129" spans="1:15" ht="29.25">
      <c r="A129" s="278" t="s">
        <v>11</v>
      </c>
      <c r="B129" s="47" t="s">
        <v>756</v>
      </c>
      <c r="C129" s="47" t="s">
        <v>757</v>
      </c>
      <c r="D129" s="27" t="s">
        <v>849</v>
      </c>
      <c r="E129" s="47"/>
      <c r="F129" s="47" t="s">
        <v>759</v>
      </c>
      <c r="G129" s="47" t="s">
        <v>757</v>
      </c>
      <c r="H129" s="425" t="s">
        <v>1314</v>
      </c>
      <c r="I129" s="47">
        <v>71010221</v>
      </c>
      <c r="J129" s="74" t="s">
        <v>152</v>
      </c>
      <c r="K129" s="49">
        <v>2.5</v>
      </c>
      <c r="L129" s="13">
        <f>14718-12566</f>
        <v>2152</v>
      </c>
      <c r="M129" s="46"/>
      <c r="N129" s="46"/>
      <c r="O129" s="13">
        <f>L129</f>
        <v>2152</v>
      </c>
    </row>
    <row r="130" spans="1:15" ht="27" customHeight="1">
      <c r="A130" s="278" t="s">
        <v>11</v>
      </c>
      <c r="B130" s="56" t="s">
        <v>756</v>
      </c>
      <c r="C130" s="56" t="s">
        <v>757</v>
      </c>
      <c r="D130" s="61" t="s">
        <v>850</v>
      </c>
      <c r="E130" s="56"/>
      <c r="F130" s="56" t="s">
        <v>759</v>
      </c>
      <c r="G130" s="56" t="s">
        <v>757</v>
      </c>
      <c r="H130" s="425" t="s">
        <v>1315</v>
      </c>
      <c r="I130" s="47">
        <v>7051115</v>
      </c>
      <c r="J130" s="4" t="s">
        <v>152</v>
      </c>
      <c r="K130" s="63">
        <v>5.2</v>
      </c>
      <c r="L130" s="13">
        <f>107154-91796</f>
        <v>15358</v>
      </c>
      <c r="M130" s="46"/>
      <c r="N130" s="46"/>
      <c r="O130" s="13">
        <f>L130</f>
        <v>15358</v>
      </c>
    </row>
    <row r="131" spans="1:15" ht="34.5" customHeight="1" thickBot="1">
      <c r="A131" s="278" t="s">
        <v>11</v>
      </c>
      <c r="B131" s="57" t="s">
        <v>756</v>
      </c>
      <c r="C131" s="57" t="s">
        <v>757</v>
      </c>
      <c r="D131" s="65" t="s">
        <v>850</v>
      </c>
      <c r="E131" s="56"/>
      <c r="F131" s="56" t="s">
        <v>759</v>
      </c>
      <c r="G131" s="56" t="s">
        <v>757</v>
      </c>
      <c r="H131" s="425" t="s">
        <v>1316</v>
      </c>
      <c r="I131" s="47">
        <v>12702864</v>
      </c>
      <c r="J131" s="4" t="s">
        <v>152</v>
      </c>
      <c r="K131" s="63">
        <v>5.2</v>
      </c>
      <c r="L131" s="13">
        <f>131834-123212</f>
        <v>8622</v>
      </c>
      <c r="M131" s="46"/>
      <c r="N131" s="46"/>
      <c r="O131" s="13">
        <f>L131</f>
        <v>8622</v>
      </c>
    </row>
    <row r="132" spans="2:15" ht="21.75" customHeight="1">
      <c r="B132" s="604" t="s">
        <v>155</v>
      </c>
      <c r="C132" s="605" t="s">
        <v>1685</v>
      </c>
      <c r="D132" s="659"/>
      <c r="G132" s="653" t="s">
        <v>1998</v>
      </c>
      <c r="H132" s="655" t="s">
        <v>1685</v>
      </c>
      <c r="I132" s="264"/>
      <c r="K132" s="1"/>
      <c r="O132" s="279">
        <f>SUM(O18:O131)</f>
        <v>1368170</v>
      </c>
    </row>
    <row r="133" spans="2:15" ht="15">
      <c r="B133" s="606"/>
      <c r="C133" s="607" t="s">
        <v>2005</v>
      </c>
      <c r="D133" s="660"/>
      <c r="G133" s="654"/>
      <c r="H133" s="656" t="s">
        <v>2005</v>
      </c>
      <c r="I133" s="88"/>
      <c r="J133" s="88"/>
      <c r="K133" s="88"/>
      <c r="L133" s="156"/>
      <c r="M133" s="156"/>
      <c r="N133" s="156"/>
      <c r="O133" s="2"/>
    </row>
    <row r="134" spans="2:14" ht="15.75" thickBot="1">
      <c r="B134" s="606"/>
      <c r="C134" s="607" t="s">
        <v>1686</v>
      </c>
      <c r="D134" s="660"/>
      <c r="G134" s="657"/>
      <c r="H134" s="658" t="s">
        <v>1686</v>
      </c>
      <c r="I134" s="88"/>
      <c r="J134" s="88"/>
      <c r="K134" s="156"/>
      <c r="L134" s="156"/>
      <c r="N134" s="156"/>
    </row>
    <row r="135" spans="2:14" ht="15">
      <c r="B135" s="608" t="s">
        <v>1689</v>
      </c>
      <c r="C135" s="607" t="s">
        <v>2006</v>
      </c>
      <c r="D135" s="660"/>
      <c r="F135" s="31"/>
      <c r="G135" s="31"/>
      <c r="H135" s="31"/>
      <c r="I135" s="88"/>
      <c r="J135" s="88"/>
      <c r="K135" s="156"/>
      <c r="L135" s="156"/>
      <c r="M135" s="156"/>
      <c r="N135" s="156"/>
    </row>
    <row r="136" spans="2:14" ht="15.75" thickBot="1">
      <c r="B136" s="609" t="s">
        <v>1693</v>
      </c>
      <c r="C136" s="610" t="s">
        <v>1818</v>
      </c>
      <c r="D136" s="661"/>
      <c r="F136" s="31"/>
      <c r="G136" s="31"/>
      <c r="H136" s="31"/>
      <c r="I136" s="88"/>
      <c r="J136" s="88"/>
      <c r="K136" s="156"/>
      <c r="L136" s="236" t="s">
        <v>160</v>
      </c>
      <c r="M136" s="156">
        <f>O132</f>
        <v>1368170</v>
      </c>
      <c r="N136" s="156"/>
    </row>
    <row r="137" spans="2:14" ht="15.75" thickBot="1">
      <c r="B137" s="198"/>
      <c r="C137" s="77"/>
      <c r="D137" s="198"/>
      <c r="F137" s="31"/>
      <c r="G137" s="31"/>
      <c r="H137" s="31"/>
      <c r="I137" s="88"/>
      <c r="J137" s="88"/>
      <c r="K137" s="156"/>
      <c r="L137" s="156"/>
      <c r="M137" s="156"/>
      <c r="N137" s="156"/>
    </row>
    <row r="138" spans="6:15" ht="46.5" customHeight="1">
      <c r="F138" s="31"/>
      <c r="G138" s="171"/>
      <c r="H138" s="171"/>
      <c r="I138" s="171"/>
      <c r="J138" s="238"/>
      <c r="K138" s="737" t="s">
        <v>157</v>
      </c>
      <c r="L138" s="702" t="s">
        <v>1034</v>
      </c>
      <c r="M138" s="703"/>
      <c r="N138" s="704"/>
      <c r="O138" s="713" t="s">
        <v>158</v>
      </c>
    </row>
    <row r="139" spans="6:15" ht="23.25" customHeight="1" thickBot="1">
      <c r="F139" s="31"/>
      <c r="G139" s="171"/>
      <c r="H139" s="234"/>
      <c r="I139" s="234"/>
      <c r="J139" s="238"/>
      <c r="K139" s="738"/>
      <c r="L139" s="130" t="s">
        <v>159</v>
      </c>
      <c r="M139" s="130" t="s">
        <v>1035</v>
      </c>
      <c r="N139" s="130" t="s">
        <v>1036</v>
      </c>
      <c r="O139" s="714"/>
    </row>
    <row r="140" spans="6:15" ht="23.25" customHeight="1">
      <c r="F140" s="31"/>
      <c r="G140" s="171"/>
      <c r="H140" s="234"/>
      <c r="I140" s="234"/>
      <c r="J140" s="238"/>
      <c r="K140" s="161" t="s">
        <v>152</v>
      </c>
      <c r="L140" s="162">
        <f>SUM(O128:O131)</f>
        <v>28959</v>
      </c>
      <c r="M140" s="356"/>
      <c r="N140" s="356"/>
      <c r="O140" s="357">
        <v>4</v>
      </c>
    </row>
    <row r="141" spans="6:15" ht="21" customHeight="1">
      <c r="F141" s="31"/>
      <c r="G141" s="235"/>
      <c r="H141" s="236"/>
      <c r="I141" s="155"/>
      <c r="J141" s="236"/>
      <c r="K141" s="13" t="s">
        <v>154</v>
      </c>
      <c r="L141" s="13">
        <f>SUM(L18:L125)</f>
        <v>1316114</v>
      </c>
      <c r="M141" s="160"/>
      <c r="N141" s="160"/>
      <c r="O141" s="103">
        <v>108</v>
      </c>
    </row>
    <row r="142" spans="6:15" ht="22.5" customHeight="1" thickBot="1">
      <c r="F142" s="31"/>
      <c r="G142" s="31"/>
      <c r="H142" s="156"/>
      <c r="I142" s="156"/>
      <c r="J142" s="156"/>
      <c r="K142" s="56" t="s">
        <v>377</v>
      </c>
      <c r="L142" s="58"/>
      <c r="M142" s="14">
        <f>M126+M127</f>
        <v>7835</v>
      </c>
      <c r="N142" s="14">
        <f>N126+N127</f>
        <v>15262</v>
      </c>
      <c r="O142" s="353">
        <v>2</v>
      </c>
    </row>
    <row r="143" spans="6:15" ht="22.5" customHeight="1" thickBot="1">
      <c r="F143" s="31"/>
      <c r="G143" s="149"/>
      <c r="H143" s="156"/>
      <c r="I143" s="156"/>
      <c r="J143" s="156"/>
      <c r="K143" s="348" t="s">
        <v>160</v>
      </c>
      <c r="L143" s="135">
        <f>SUM(L140:L142)</f>
        <v>1345073</v>
      </c>
      <c r="M143" s="18">
        <f>SUM(M140:M142)</f>
        <v>7835</v>
      </c>
      <c r="N143" s="15">
        <f>SUM(N140:N142)</f>
        <v>15262</v>
      </c>
      <c r="O143" s="355">
        <f>SUM(O140:O142)</f>
        <v>114</v>
      </c>
    </row>
    <row r="144" spans="6:15" ht="18.75" thickBot="1">
      <c r="F144" s="31"/>
      <c r="G144" s="31"/>
      <c r="H144" s="236"/>
      <c r="I144" s="156"/>
      <c r="J144" s="156"/>
      <c r="K144"/>
      <c r="L144" s="20" t="s">
        <v>161</v>
      </c>
      <c r="M144" s="346">
        <f>SUM(L143:N143)</f>
        <v>1368170</v>
      </c>
      <c r="O144" s="2"/>
    </row>
    <row r="145" spans="6:14" ht="14.25">
      <c r="F145" s="31"/>
      <c r="G145" s="31"/>
      <c r="H145" s="31"/>
      <c r="I145" s="88"/>
      <c r="J145" s="88"/>
      <c r="K145" s="156"/>
      <c r="L145" s="156"/>
      <c r="M145" s="31"/>
      <c r="N145" s="156"/>
    </row>
    <row r="146" spans="6:14" ht="14.25">
      <c r="F146" s="31"/>
      <c r="G146" s="31"/>
      <c r="H146" s="31"/>
      <c r="I146" s="88"/>
      <c r="J146" s="88"/>
      <c r="K146" s="156"/>
      <c r="L146" s="156"/>
      <c r="M146" s="31"/>
      <c r="N146" s="156"/>
    </row>
    <row r="147" spans="6:14" ht="14.25">
      <c r="F147" s="31"/>
      <c r="G147" s="31"/>
      <c r="H147" s="31"/>
      <c r="I147" s="88"/>
      <c r="J147" s="88"/>
      <c r="K147" s="156"/>
      <c r="L147" s="156"/>
      <c r="M147" s="31"/>
      <c r="N147" s="156"/>
    </row>
    <row r="148" spans="6:14" ht="14.25">
      <c r="F148" s="31"/>
      <c r="G148" s="31"/>
      <c r="H148" s="31"/>
      <c r="I148" s="88"/>
      <c r="J148" s="88"/>
      <c r="K148" s="156"/>
      <c r="L148" s="156"/>
      <c r="M148" s="31"/>
      <c r="N148" s="156"/>
    </row>
    <row r="149" spans="6:14" ht="14.25">
      <c r="F149" s="31"/>
      <c r="G149" s="31"/>
      <c r="H149" s="31"/>
      <c r="I149" s="31"/>
      <c r="J149" s="31"/>
      <c r="K149" s="31"/>
      <c r="L149" s="31"/>
      <c r="M149" s="31"/>
      <c r="N149" s="156"/>
    </row>
    <row r="150" spans="9:13" ht="14.25">
      <c r="I150"/>
      <c r="J150"/>
      <c r="K150"/>
      <c r="L150"/>
      <c r="M150"/>
    </row>
    <row r="151" spans="9:13" ht="14.25">
      <c r="I151"/>
      <c r="J151"/>
      <c r="K151"/>
      <c r="L151"/>
      <c r="M151"/>
    </row>
    <row r="152" spans="9:13" ht="14.25">
      <c r="I152"/>
      <c r="J152"/>
      <c r="K152"/>
      <c r="L152"/>
      <c r="M152"/>
    </row>
    <row r="153" spans="9:13" ht="14.25">
      <c r="I153"/>
      <c r="J153"/>
      <c r="K153"/>
      <c r="L153"/>
      <c r="M153"/>
    </row>
    <row r="154" spans="9:13" ht="14.25">
      <c r="I154"/>
      <c r="J154"/>
      <c r="K154"/>
      <c r="L154"/>
      <c r="M154"/>
    </row>
  </sheetData>
  <sheetProtection/>
  <mergeCells count="19">
    <mergeCell ref="B1:K1"/>
    <mergeCell ref="O138:O139"/>
    <mergeCell ref="B3:I3"/>
    <mergeCell ref="B5:I5"/>
    <mergeCell ref="E15:E17"/>
    <mergeCell ref="L138:N138"/>
    <mergeCell ref="F15:F17"/>
    <mergeCell ref="K138:K139"/>
    <mergeCell ref="L16:O16"/>
    <mergeCell ref="K15:K17"/>
    <mergeCell ref="L15:O15"/>
    <mergeCell ref="A15:A17"/>
    <mergeCell ref="B15:B17"/>
    <mergeCell ref="C15:C17"/>
    <mergeCell ref="D15:D17"/>
    <mergeCell ref="G15:G17"/>
    <mergeCell ref="J15:J17"/>
    <mergeCell ref="H15:H17"/>
    <mergeCell ref="I15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08"/>
  <sheetViews>
    <sheetView zoomScale="90" zoomScaleNormal="90" zoomScalePageLayoutView="0" workbookViewId="0" topLeftCell="A88">
      <selection activeCell="G106" sqref="G106"/>
    </sheetView>
  </sheetViews>
  <sheetFormatPr defaultColWidth="8.796875" defaultRowHeight="14.25"/>
  <cols>
    <col min="1" max="1" width="12.3984375" style="1" customWidth="1"/>
    <col min="2" max="2" width="16.8984375" style="0" customWidth="1"/>
    <col min="3" max="3" width="15" style="121" customWidth="1"/>
    <col min="4" max="4" width="15.09765625" style="0" customWidth="1"/>
    <col min="5" max="5" width="14.59765625" style="0" customWidth="1"/>
    <col min="6" max="6" width="15.19921875" style="0" customWidth="1"/>
    <col min="8" max="8" width="25" style="0" customWidth="1"/>
    <col min="9" max="9" width="17.19921875" style="0" customWidth="1"/>
    <col min="10" max="10" width="12.8984375" style="1" customWidth="1"/>
    <col min="11" max="11" width="9" style="60" customWidth="1"/>
    <col min="12" max="12" width="13.19921875" style="0" customWidth="1"/>
    <col min="13" max="13" width="15.69921875" style="2" customWidth="1"/>
    <col min="14" max="14" width="18.69921875" style="2" customWidth="1"/>
    <col min="15" max="15" width="16.09765625" style="2" customWidth="1"/>
  </cols>
  <sheetData>
    <row r="1" spans="1:12" ht="18">
      <c r="A1"/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  <c r="L1" s="2"/>
    </row>
    <row r="2" spans="1:12" ht="14.25" customHeight="1">
      <c r="A2"/>
      <c r="B2" s="222"/>
      <c r="C2" s="222"/>
      <c r="D2" s="222"/>
      <c r="E2" s="222"/>
      <c r="F2" s="222"/>
      <c r="G2" s="222"/>
      <c r="H2" s="224"/>
      <c r="I2" s="222"/>
      <c r="J2" s="232"/>
      <c r="K2" s="222"/>
      <c r="L2" s="2"/>
    </row>
    <row r="3" spans="1:12" ht="32.25" customHeight="1">
      <c r="A3"/>
      <c r="B3" s="715" t="s">
        <v>1049</v>
      </c>
      <c r="C3" s="716"/>
      <c r="D3" s="716"/>
      <c r="E3" s="716"/>
      <c r="F3" s="716"/>
      <c r="G3" s="716"/>
      <c r="H3" s="716"/>
      <c r="I3" s="717"/>
      <c r="J3" s="232"/>
      <c r="K3" s="222"/>
      <c r="L3" s="2"/>
    </row>
    <row r="4" spans="1:12" ht="15">
      <c r="A4"/>
      <c r="B4" s="223"/>
      <c r="C4" s="223"/>
      <c r="D4" s="223"/>
      <c r="E4" s="223"/>
      <c r="F4" s="223"/>
      <c r="G4" s="223"/>
      <c r="H4" s="224"/>
      <c r="I4" s="222"/>
      <c r="J4" s="232"/>
      <c r="K4" s="222"/>
      <c r="L4" s="2"/>
    </row>
    <row r="5" spans="1:12" ht="15">
      <c r="A5"/>
      <c r="B5" s="679" t="s">
        <v>1029</v>
      </c>
      <c r="C5" s="679"/>
      <c r="D5" s="679"/>
      <c r="E5" s="679"/>
      <c r="F5" s="679"/>
      <c r="G5" s="679"/>
      <c r="H5" s="679"/>
      <c r="I5" s="679"/>
      <c r="J5" s="232"/>
      <c r="K5" s="222"/>
      <c r="L5" s="2"/>
    </row>
    <row r="6" spans="1:12" ht="15">
      <c r="A6"/>
      <c r="B6" s="223"/>
      <c r="C6" s="223"/>
      <c r="D6" s="223"/>
      <c r="E6" s="223"/>
      <c r="F6" s="223"/>
      <c r="G6" s="223"/>
      <c r="H6" s="224"/>
      <c r="I6" s="222"/>
      <c r="J6" s="232"/>
      <c r="K6" s="222"/>
      <c r="L6" s="2"/>
    </row>
    <row r="7" spans="1:12" ht="15.75">
      <c r="A7"/>
      <c r="B7" s="225" t="s">
        <v>967</v>
      </c>
      <c r="C7" s="222"/>
      <c r="D7" s="223"/>
      <c r="E7" s="223"/>
      <c r="F7" s="223"/>
      <c r="G7" s="222"/>
      <c r="H7" s="224"/>
      <c r="I7" s="222"/>
      <c r="J7" s="232"/>
      <c r="K7" s="222"/>
      <c r="L7" s="2"/>
    </row>
    <row r="8" spans="1:12" ht="15">
      <c r="A8"/>
      <c r="B8" s="528" t="s">
        <v>1986</v>
      </c>
      <c r="C8" s="222"/>
      <c r="D8" s="223"/>
      <c r="E8" s="223"/>
      <c r="F8" s="223"/>
      <c r="G8" s="222"/>
      <c r="H8" s="224"/>
      <c r="I8" s="222"/>
      <c r="J8" s="232"/>
      <c r="K8" s="222"/>
      <c r="L8" s="2"/>
    </row>
    <row r="9" spans="1:12" ht="15.75">
      <c r="A9"/>
      <c r="B9" s="226" t="s">
        <v>1828</v>
      </c>
      <c r="C9" s="222"/>
      <c r="D9" s="227"/>
      <c r="E9" s="223"/>
      <c r="F9" s="223"/>
      <c r="G9" s="222"/>
      <c r="H9" s="224"/>
      <c r="I9" s="222"/>
      <c r="J9" s="232"/>
      <c r="K9" s="222"/>
      <c r="L9" s="2"/>
    </row>
    <row r="10" spans="1:12" ht="15.75">
      <c r="A10"/>
      <c r="B10" s="226" t="s">
        <v>1681</v>
      </c>
      <c r="C10" s="222"/>
      <c r="D10" s="227"/>
      <c r="E10" s="223"/>
      <c r="F10" s="223"/>
      <c r="G10" s="222"/>
      <c r="H10" s="224"/>
      <c r="I10" s="222"/>
      <c r="J10" s="232"/>
      <c r="K10" s="222"/>
      <c r="L10" s="2"/>
    </row>
    <row r="11" spans="1:12" ht="15">
      <c r="A11"/>
      <c r="B11" s="222" t="s">
        <v>1684</v>
      </c>
      <c r="C11" s="222"/>
      <c r="D11" s="222"/>
      <c r="E11" s="222"/>
      <c r="F11" s="222"/>
      <c r="G11" s="222"/>
      <c r="H11" s="224"/>
      <c r="I11" s="222"/>
      <c r="J11" s="232"/>
      <c r="K11" s="222"/>
      <c r="L11" s="2"/>
    </row>
    <row r="12" spans="1:12" ht="15.75">
      <c r="A12"/>
      <c r="B12" s="228"/>
      <c r="C12" s="229"/>
      <c r="D12" s="227"/>
      <c r="E12" s="227"/>
      <c r="F12" s="227"/>
      <c r="G12" s="227"/>
      <c r="H12" s="222"/>
      <c r="I12" s="222"/>
      <c r="J12" s="232"/>
      <c r="K12" s="222"/>
      <c r="L12" s="2"/>
    </row>
    <row r="13" spans="1:12" ht="15.75">
      <c r="A13"/>
      <c r="B13" s="228" t="s">
        <v>1032</v>
      </c>
      <c r="C13" s="225" t="s">
        <v>1033</v>
      </c>
      <c r="D13" s="227"/>
      <c r="E13" s="227"/>
      <c r="F13" s="227"/>
      <c r="G13" s="227"/>
      <c r="H13" s="222"/>
      <c r="I13" s="222"/>
      <c r="J13" s="232"/>
      <c r="K13" s="222"/>
      <c r="L13" s="2"/>
    </row>
    <row r="14" spans="1:12" ht="15" thickBot="1">
      <c r="A14" s="31"/>
      <c r="B14" s="88"/>
      <c r="C14" s="149"/>
      <c r="D14" s="31"/>
      <c r="E14" s="31"/>
      <c r="F14" s="31"/>
      <c r="G14" s="31"/>
      <c r="H14" s="31"/>
      <c r="I14" s="31"/>
      <c r="J14" s="88"/>
      <c r="K14"/>
      <c r="L14" s="2"/>
    </row>
    <row r="15" spans="1:15" ht="52.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1401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3.5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43.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ht="29.25">
      <c r="A18" s="287" t="s">
        <v>11</v>
      </c>
      <c r="B18" s="61" t="s">
        <v>851</v>
      </c>
      <c r="C18" s="61" t="s">
        <v>852</v>
      </c>
      <c r="D18" s="56"/>
      <c r="E18" s="56"/>
      <c r="F18" s="56" t="s">
        <v>243</v>
      </c>
      <c r="G18" s="56" t="s">
        <v>853</v>
      </c>
      <c r="H18" s="385" t="s">
        <v>854</v>
      </c>
      <c r="I18" s="56">
        <v>39849</v>
      </c>
      <c r="J18" s="4" t="s">
        <v>16</v>
      </c>
      <c r="K18" s="81">
        <v>2.7</v>
      </c>
      <c r="L18" s="97"/>
      <c r="M18" s="13">
        <f>6129-5337</f>
        <v>792</v>
      </c>
      <c r="N18" s="13">
        <f>24727-21735</f>
        <v>2992</v>
      </c>
      <c r="O18" s="13">
        <f aca="true" t="shared" si="0" ref="O18:O81">SUM(M18:N18)</f>
        <v>3784</v>
      </c>
    </row>
    <row r="19" spans="1:15" ht="29.25">
      <c r="A19" s="287" t="s">
        <v>11</v>
      </c>
      <c r="B19" s="61" t="s">
        <v>851</v>
      </c>
      <c r="C19" s="61" t="s">
        <v>855</v>
      </c>
      <c r="D19" s="56"/>
      <c r="E19" s="56" t="s">
        <v>146</v>
      </c>
      <c r="F19" s="56" t="s">
        <v>243</v>
      </c>
      <c r="G19" s="56" t="s">
        <v>853</v>
      </c>
      <c r="H19" s="385" t="s">
        <v>856</v>
      </c>
      <c r="I19" s="56">
        <v>41486</v>
      </c>
      <c r="J19" s="4" t="s">
        <v>16</v>
      </c>
      <c r="K19" s="81">
        <v>1.1</v>
      </c>
      <c r="L19" s="97"/>
      <c r="M19" s="13">
        <f>2486-2117</f>
        <v>369</v>
      </c>
      <c r="N19" s="13">
        <f>7684-6648</f>
        <v>1036</v>
      </c>
      <c r="O19" s="13">
        <f t="shared" si="0"/>
        <v>1405</v>
      </c>
    </row>
    <row r="20" spans="1:15" ht="29.25">
      <c r="A20" s="287" t="s">
        <v>11</v>
      </c>
      <c r="B20" s="61" t="s">
        <v>851</v>
      </c>
      <c r="C20" s="61" t="s">
        <v>855</v>
      </c>
      <c r="D20" s="56"/>
      <c r="E20" s="56" t="s">
        <v>686</v>
      </c>
      <c r="F20" s="56" t="s">
        <v>243</v>
      </c>
      <c r="G20" s="56" t="s">
        <v>853</v>
      </c>
      <c r="H20" s="385" t="s">
        <v>857</v>
      </c>
      <c r="I20" s="56">
        <v>41487</v>
      </c>
      <c r="J20" s="4" t="s">
        <v>16</v>
      </c>
      <c r="K20" s="81">
        <v>1.2</v>
      </c>
      <c r="L20" s="97"/>
      <c r="M20" s="13">
        <f>5081-4287</f>
        <v>794</v>
      </c>
      <c r="N20" s="13">
        <f>15742-13554</f>
        <v>2188</v>
      </c>
      <c r="O20" s="13">
        <f t="shared" si="0"/>
        <v>2982</v>
      </c>
    </row>
    <row r="21" spans="1:15" ht="29.25">
      <c r="A21" s="287" t="s">
        <v>11</v>
      </c>
      <c r="B21" s="61" t="s">
        <v>851</v>
      </c>
      <c r="C21" s="61" t="s">
        <v>858</v>
      </c>
      <c r="D21" s="56"/>
      <c r="E21" s="56" t="s">
        <v>686</v>
      </c>
      <c r="F21" s="56" t="s">
        <v>243</v>
      </c>
      <c r="G21" s="56" t="s">
        <v>853</v>
      </c>
      <c r="H21" s="385" t="s">
        <v>859</v>
      </c>
      <c r="I21" s="56">
        <v>39848</v>
      </c>
      <c r="J21" s="4" t="s">
        <v>16</v>
      </c>
      <c r="K21" s="81">
        <v>1.7</v>
      </c>
      <c r="L21" s="97"/>
      <c r="M21" s="13">
        <f>4895-4072</f>
        <v>823</v>
      </c>
      <c r="N21" s="13">
        <f>20133-16815</f>
        <v>3318</v>
      </c>
      <c r="O21" s="13">
        <f t="shared" si="0"/>
        <v>4141</v>
      </c>
    </row>
    <row r="22" spans="1:15" ht="29.25">
      <c r="A22" s="287" t="s">
        <v>11</v>
      </c>
      <c r="B22" s="61" t="s">
        <v>851</v>
      </c>
      <c r="C22" s="61" t="s">
        <v>858</v>
      </c>
      <c r="D22" s="56"/>
      <c r="E22" s="56" t="s">
        <v>878</v>
      </c>
      <c r="F22" s="56" t="s">
        <v>243</v>
      </c>
      <c r="G22" s="56" t="s">
        <v>853</v>
      </c>
      <c r="H22" s="385" t="s">
        <v>860</v>
      </c>
      <c r="I22" s="56">
        <v>41484</v>
      </c>
      <c r="J22" s="4" t="s">
        <v>16</v>
      </c>
      <c r="K22" s="81">
        <v>1.4</v>
      </c>
      <c r="L22" s="97"/>
      <c r="M22" s="13">
        <f>5952-4839</f>
        <v>1113</v>
      </c>
      <c r="N22" s="13">
        <f>18141-15111</f>
        <v>3030</v>
      </c>
      <c r="O22" s="13">
        <f t="shared" si="0"/>
        <v>4143</v>
      </c>
    </row>
    <row r="23" spans="1:15" ht="29.25">
      <c r="A23" s="287" t="s">
        <v>11</v>
      </c>
      <c r="B23" s="61" t="s">
        <v>851</v>
      </c>
      <c r="C23" s="61" t="s">
        <v>858</v>
      </c>
      <c r="D23" s="56"/>
      <c r="E23" s="56" t="s">
        <v>319</v>
      </c>
      <c r="F23" s="56" t="s">
        <v>243</v>
      </c>
      <c r="G23" s="56" t="s">
        <v>853</v>
      </c>
      <c r="H23" s="385" t="s">
        <v>861</v>
      </c>
      <c r="I23" s="56">
        <v>41929</v>
      </c>
      <c r="J23" s="4" t="s">
        <v>16</v>
      </c>
      <c r="K23" s="81">
        <v>1</v>
      </c>
      <c r="L23" s="97"/>
      <c r="M23" s="13">
        <f>4140-3332</f>
        <v>808</v>
      </c>
      <c r="N23" s="13">
        <f>12802-10652</f>
        <v>2150</v>
      </c>
      <c r="O23" s="13">
        <f t="shared" si="0"/>
        <v>2958</v>
      </c>
    </row>
    <row r="24" spans="1:15" ht="29.25">
      <c r="A24" s="287" t="s">
        <v>11</v>
      </c>
      <c r="B24" s="61" t="s">
        <v>851</v>
      </c>
      <c r="C24" s="61" t="s">
        <v>862</v>
      </c>
      <c r="D24" s="56"/>
      <c r="E24" s="56">
        <v>1</v>
      </c>
      <c r="F24" s="56" t="s">
        <v>243</v>
      </c>
      <c r="G24" s="56" t="s">
        <v>853</v>
      </c>
      <c r="H24" s="385" t="s">
        <v>863</v>
      </c>
      <c r="I24" s="56">
        <v>70526313</v>
      </c>
      <c r="J24" s="4" t="s">
        <v>16</v>
      </c>
      <c r="K24" s="81">
        <v>0.7</v>
      </c>
      <c r="L24" s="97"/>
      <c r="M24" s="13">
        <f>4931-4282</f>
        <v>649</v>
      </c>
      <c r="N24" s="13">
        <f>22672-19719</f>
        <v>2953</v>
      </c>
      <c r="O24" s="13">
        <f t="shared" si="0"/>
        <v>3602</v>
      </c>
    </row>
    <row r="25" spans="1:15" ht="29.25">
      <c r="A25" s="287" t="s">
        <v>11</v>
      </c>
      <c r="B25" s="61" t="s">
        <v>851</v>
      </c>
      <c r="C25" s="61" t="s">
        <v>1737</v>
      </c>
      <c r="D25" s="56"/>
      <c r="E25" s="56"/>
      <c r="F25" s="56" t="s">
        <v>243</v>
      </c>
      <c r="G25" s="56" t="s">
        <v>853</v>
      </c>
      <c r="H25" s="385" t="s">
        <v>864</v>
      </c>
      <c r="I25" s="56">
        <v>41710</v>
      </c>
      <c r="J25" s="4" t="s">
        <v>16</v>
      </c>
      <c r="K25" s="81">
        <v>2.2</v>
      </c>
      <c r="L25" s="97"/>
      <c r="M25" s="13">
        <f>5937-4929</f>
        <v>1008</v>
      </c>
      <c r="N25" s="13">
        <f>17563-14753</f>
        <v>2810</v>
      </c>
      <c r="O25" s="13">
        <f t="shared" si="0"/>
        <v>3818</v>
      </c>
    </row>
    <row r="26" spans="1:15" ht="29.25">
      <c r="A26" s="287" t="s">
        <v>11</v>
      </c>
      <c r="B26" s="61" t="s">
        <v>851</v>
      </c>
      <c r="C26" s="61" t="s">
        <v>865</v>
      </c>
      <c r="D26" s="56"/>
      <c r="E26" s="56" t="s">
        <v>146</v>
      </c>
      <c r="F26" s="56" t="s">
        <v>243</v>
      </c>
      <c r="G26" s="56" t="s">
        <v>853</v>
      </c>
      <c r="H26" s="385" t="s">
        <v>866</v>
      </c>
      <c r="I26" s="56">
        <v>41711</v>
      </c>
      <c r="J26" s="4" t="s">
        <v>16</v>
      </c>
      <c r="K26" s="81">
        <v>2.2</v>
      </c>
      <c r="L26" s="97"/>
      <c r="M26" s="13">
        <f>3684-2997</f>
        <v>687</v>
      </c>
      <c r="N26" s="13">
        <f>11733-9785</f>
        <v>1948</v>
      </c>
      <c r="O26" s="13">
        <f t="shared" si="0"/>
        <v>2635</v>
      </c>
    </row>
    <row r="27" spans="1:15" ht="29.25">
      <c r="A27" s="287" t="s">
        <v>11</v>
      </c>
      <c r="B27" s="61" t="s">
        <v>851</v>
      </c>
      <c r="C27" s="61" t="s">
        <v>867</v>
      </c>
      <c r="D27" s="56"/>
      <c r="E27" s="56"/>
      <c r="F27" s="56" t="s">
        <v>243</v>
      </c>
      <c r="G27" s="56" t="s">
        <v>853</v>
      </c>
      <c r="H27" s="385" t="s">
        <v>868</v>
      </c>
      <c r="I27" s="56">
        <v>41705</v>
      </c>
      <c r="J27" s="4" t="s">
        <v>16</v>
      </c>
      <c r="K27" s="81">
        <v>2.2</v>
      </c>
      <c r="L27" s="97"/>
      <c r="M27" s="13">
        <f>3234-2692</f>
        <v>542</v>
      </c>
      <c r="N27" s="13">
        <f>9895-8444</f>
        <v>1451</v>
      </c>
      <c r="O27" s="13">
        <f t="shared" si="0"/>
        <v>1993</v>
      </c>
    </row>
    <row r="28" spans="1:15" ht="29.25">
      <c r="A28" s="287" t="s">
        <v>11</v>
      </c>
      <c r="B28" s="61" t="s">
        <v>851</v>
      </c>
      <c r="C28" s="61" t="s">
        <v>869</v>
      </c>
      <c r="D28" s="56"/>
      <c r="E28" s="56"/>
      <c r="F28" s="56" t="s">
        <v>243</v>
      </c>
      <c r="G28" s="56" t="s">
        <v>853</v>
      </c>
      <c r="H28" s="385" t="s">
        <v>870</v>
      </c>
      <c r="I28" s="56">
        <v>70526245</v>
      </c>
      <c r="J28" s="4" t="s">
        <v>16</v>
      </c>
      <c r="K28" s="81">
        <v>1</v>
      </c>
      <c r="L28" s="97"/>
      <c r="M28" s="13">
        <f>4091-3338</f>
        <v>753</v>
      </c>
      <c r="N28" s="13">
        <f>17760-14520</f>
        <v>3240</v>
      </c>
      <c r="O28" s="13">
        <f t="shared" si="0"/>
        <v>3993</v>
      </c>
    </row>
    <row r="29" spans="1:15" ht="29.25">
      <c r="A29" s="287" t="s">
        <v>11</v>
      </c>
      <c r="B29" s="61" t="s">
        <v>851</v>
      </c>
      <c r="C29" s="61" t="s">
        <v>1738</v>
      </c>
      <c r="D29" s="56"/>
      <c r="E29" s="56" t="s">
        <v>146</v>
      </c>
      <c r="F29" s="56" t="s">
        <v>243</v>
      </c>
      <c r="G29" s="56" t="s">
        <v>853</v>
      </c>
      <c r="H29" s="385" t="s">
        <v>871</v>
      </c>
      <c r="I29" s="56">
        <v>41709</v>
      </c>
      <c r="J29" s="4" t="s">
        <v>16</v>
      </c>
      <c r="K29" s="81">
        <v>2.2</v>
      </c>
      <c r="L29" s="97"/>
      <c r="M29" s="13">
        <f>8992-7681</f>
        <v>1311</v>
      </c>
      <c r="N29" s="13">
        <f>28234-24584</f>
        <v>3650</v>
      </c>
      <c r="O29" s="13">
        <f t="shared" si="0"/>
        <v>4961</v>
      </c>
    </row>
    <row r="30" spans="1:15" ht="29.25">
      <c r="A30" s="287" t="s">
        <v>11</v>
      </c>
      <c r="B30" s="61" t="s">
        <v>851</v>
      </c>
      <c r="C30" s="61" t="s">
        <v>1738</v>
      </c>
      <c r="D30" s="56"/>
      <c r="E30" s="56" t="s">
        <v>686</v>
      </c>
      <c r="F30" s="56" t="s">
        <v>243</v>
      </c>
      <c r="G30" s="56" t="s">
        <v>853</v>
      </c>
      <c r="H30" s="385" t="s">
        <v>872</v>
      </c>
      <c r="I30" s="56">
        <v>41702</v>
      </c>
      <c r="J30" s="4" t="s">
        <v>16</v>
      </c>
      <c r="K30" s="81">
        <v>3</v>
      </c>
      <c r="L30" s="97"/>
      <c r="M30" s="13">
        <f>2529-2174</f>
        <v>355</v>
      </c>
      <c r="N30" s="13">
        <f>8556-7527</f>
        <v>1029</v>
      </c>
      <c r="O30" s="13">
        <f t="shared" si="0"/>
        <v>1384</v>
      </c>
    </row>
    <row r="31" spans="1:15" ht="29.25">
      <c r="A31" s="287" t="s">
        <v>11</v>
      </c>
      <c r="B31" s="61" t="s">
        <v>851</v>
      </c>
      <c r="C31" s="61" t="s">
        <v>873</v>
      </c>
      <c r="D31" s="56"/>
      <c r="E31" s="56" t="s">
        <v>686</v>
      </c>
      <c r="F31" s="56" t="s">
        <v>243</v>
      </c>
      <c r="G31" s="56" t="s">
        <v>853</v>
      </c>
      <c r="H31" s="385" t="s">
        <v>874</v>
      </c>
      <c r="I31" s="56">
        <v>41930</v>
      </c>
      <c r="J31" s="4" t="s">
        <v>16</v>
      </c>
      <c r="K31" s="81">
        <v>0.6</v>
      </c>
      <c r="L31" s="97"/>
      <c r="M31" s="13">
        <f>6850-5546</f>
        <v>1304</v>
      </c>
      <c r="N31" s="13">
        <f>21849-18250</f>
        <v>3599</v>
      </c>
      <c r="O31" s="13">
        <f t="shared" si="0"/>
        <v>4903</v>
      </c>
    </row>
    <row r="32" spans="1:15" ht="29.25">
      <c r="A32" s="287" t="s">
        <v>11</v>
      </c>
      <c r="B32" s="61" t="s">
        <v>851</v>
      </c>
      <c r="C32" s="61" t="s">
        <v>875</v>
      </c>
      <c r="D32" s="56"/>
      <c r="E32" s="56" t="s">
        <v>146</v>
      </c>
      <c r="F32" s="56" t="s">
        <v>243</v>
      </c>
      <c r="G32" s="56" t="s">
        <v>853</v>
      </c>
      <c r="H32" s="385" t="s">
        <v>876</v>
      </c>
      <c r="I32" s="56">
        <v>41953</v>
      </c>
      <c r="J32" s="4" t="s">
        <v>16</v>
      </c>
      <c r="K32" s="81">
        <v>1.2</v>
      </c>
      <c r="L32" s="97"/>
      <c r="M32" s="13">
        <f>7294-6043</f>
        <v>1251</v>
      </c>
      <c r="N32" s="13">
        <f>21431-18006</f>
        <v>3425</v>
      </c>
      <c r="O32" s="13">
        <f t="shared" si="0"/>
        <v>4676</v>
      </c>
    </row>
    <row r="33" spans="1:15" ht="29.25">
      <c r="A33" s="287" t="s">
        <v>11</v>
      </c>
      <c r="B33" s="61" t="s">
        <v>851</v>
      </c>
      <c r="C33" s="61" t="s">
        <v>875</v>
      </c>
      <c r="D33" s="56"/>
      <c r="E33" s="56" t="s">
        <v>686</v>
      </c>
      <c r="F33" s="56" t="s">
        <v>243</v>
      </c>
      <c r="G33" s="56" t="s">
        <v>853</v>
      </c>
      <c r="H33" s="385" t="s">
        <v>877</v>
      </c>
      <c r="I33" s="56">
        <v>41926</v>
      </c>
      <c r="J33" s="4" t="s">
        <v>16</v>
      </c>
      <c r="K33" s="81">
        <v>2.2</v>
      </c>
      <c r="L33" s="97"/>
      <c r="M33" s="13">
        <f>6344-5174</f>
        <v>1170</v>
      </c>
      <c r="N33" s="13">
        <f>19503-16221</f>
        <v>3282</v>
      </c>
      <c r="O33" s="13">
        <f t="shared" si="0"/>
        <v>4452</v>
      </c>
    </row>
    <row r="34" spans="1:15" ht="29.25">
      <c r="A34" s="287" t="s">
        <v>11</v>
      </c>
      <c r="B34" s="61" t="s">
        <v>851</v>
      </c>
      <c r="C34" s="61" t="s">
        <v>875</v>
      </c>
      <c r="D34" s="56"/>
      <c r="E34" s="56" t="s">
        <v>878</v>
      </c>
      <c r="F34" s="56" t="s">
        <v>243</v>
      </c>
      <c r="G34" s="56" t="s">
        <v>853</v>
      </c>
      <c r="H34" s="385" t="s">
        <v>879</v>
      </c>
      <c r="I34" s="56">
        <v>41900</v>
      </c>
      <c r="J34" s="4" t="s">
        <v>16</v>
      </c>
      <c r="K34" s="81">
        <v>2.2</v>
      </c>
      <c r="L34" s="97"/>
      <c r="M34" s="13">
        <f>3919-3266</f>
        <v>653</v>
      </c>
      <c r="N34" s="13">
        <f>11738-9989</f>
        <v>1749</v>
      </c>
      <c r="O34" s="13">
        <f t="shared" si="0"/>
        <v>2402</v>
      </c>
    </row>
    <row r="35" spans="1:15" ht="29.25">
      <c r="A35" s="287" t="s">
        <v>11</v>
      </c>
      <c r="B35" s="61" t="s">
        <v>851</v>
      </c>
      <c r="C35" s="61" t="s">
        <v>875</v>
      </c>
      <c r="D35" s="56"/>
      <c r="E35" s="56"/>
      <c r="F35" s="56" t="s">
        <v>243</v>
      </c>
      <c r="G35" s="56" t="s">
        <v>853</v>
      </c>
      <c r="H35" s="385" t="s">
        <v>880</v>
      </c>
      <c r="I35" s="56">
        <v>41488</v>
      </c>
      <c r="J35" s="4" t="s">
        <v>16</v>
      </c>
      <c r="K35" s="81">
        <v>0.8</v>
      </c>
      <c r="L35" s="97"/>
      <c r="M35" s="13">
        <f>3010-2488</f>
        <v>522</v>
      </c>
      <c r="N35" s="13">
        <f>9072-7634</f>
        <v>1438</v>
      </c>
      <c r="O35" s="13">
        <f t="shared" si="0"/>
        <v>1960</v>
      </c>
    </row>
    <row r="36" spans="1:15" ht="29.25">
      <c r="A36" s="287" t="s">
        <v>11</v>
      </c>
      <c r="B36" s="61" t="s">
        <v>851</v>
      </c>
      <c r="C36" s="61" t="s">
        <v>881</v>
      </c>
      <c r="D36" s="56"/>
      <c r="E36" s="56" t="s">
        <v>146</v>
      </c>
      <c r="F36" s="56" t="s">
        <v>243</v>
      </c>
      <c r="G36" s="56" t="s">
        <v>853</v>
      </c>
      <c r="H36" s="385" t="s">
        <v>882</v>
      </c>
      <c r="I36" s="56">
        <v>41708</v>
      </c>
      <c r="J36" s="4" t="s">
        <v>16</v>
      </c>
      <c r="K36" s="81">
        <v>2.2</v>
      </c>
      <c r="L36" s="97"/>
      <c r="M36" s="13">
        <f>4228-3433</f>
        <v>795</v>
      </c>
      <c r="N36" s="13">
        <f>12273-10362</f>
        <v>1911</v>
      </c>
      <c r="O36" s="13">
        <f t="shared" si="0"/>
        <v>2706</v>
      </c>
    </row>
    <row r="37" spans="1:15" ht="29.25">
      <c r="A37" s="287" t="s">
        <v>11</v>
      </c>
      <c r="B37" s="61" t="s">
        <v>851</v>
      </c>
      <c r="C37" s="61" t="s">
        <v>883</v>
      </c>
      <c r="D37" s="56"/>
      <c r="E37" s="56"/>
      <c r="F37" s="56" t="s">
        <v>243</v>
      </c>
      <c r="G37" s="56" t="s">
        <v>853</v>
      </c>
      <c r="H37" s="385" t="s">
        <v>884</v>
      </c>
      <c r="I37" s="56">
        <v>1001938</v>
      </c>
      <c r="J37" s="4" t="s">
        <v>16</v>
      </c>
      <c r="K37" s="81">
        <v>2.6</v>
      </c>
      <c r="L37" s="97"/>
      <c r="M37" s="13">
        <f>6764-5899</f>
        <v>865</v>
      </c>
      <c r="N37" s="13">
        <f>28023-24467</f>
        <v>3556</v>
      </c>
      <c r="O37" s="13">
        <f t="shared" si="0"/>
        <v>4421</v>
      </c>
    </row>
    <row r="38" spans="1:15" ht="29.25">
      <c r="A38" s="287" t="s">
        <v>11</v>
      </c>
      <c r="B38" s="61" t="s">
        <v>851</v>
      </c>
      <c r="C38" s="61" t="s">
        <v>885</v>
      </c>
      <c r="D38" s="56"/>
      <c r="E38" s="56" t="s">
        <v>686</v>
      </c>
      <c r="F38" s="56" t="s">
        <v>243</v>
      </c>
      <c r="G38" s="56" t="s">
        <v>853</v>
      </c>
      <c r="H38" s="385" t="s">
        <v>886</v>
      </c>
      <c r="I38" s="56">
        <v>41706</v>
      </c>
      <c r="J38" s="4" t="s">
        <v>16</v>
      </c>
      <c r="K38" s="81">
        <v>0.5</v>
      </c>
      <c r="L38" s="97"/>
      <c r="M38" s="13">
        <f>2909-2401</f>
        <v>508</v>
      </c>
      <c r="N38" s="13">
        <f>8633-7392</f>
        <v>1241</v>
      </c>
      <c r="O38" s="13">
        <f t="shared" si="0"/>
        <v>1749</v>
      </c>
    </row>
    <row r="39" spans="1:15" ht="29.25">
      <c r="A39" s="287" t="s">
        <v>11</v>
      </c>
      <c r="B39" s="61" t="s">
        <v>851</v>
      </c>
      <c r="C39" s="61" t="s">
        <v>885</v>
      </c>
      <c r="D39" s="56"/>
      <c r="E39" s="56" t="s">
        <v>146</v>
      </c>
      <c r="F39" s="56" t="s">
        <v>243</v>
      </c>
      <c r="G39" s="56" t="s">
        <v>853</v>
      </c>
      <c r="H39" s="385" t="s">
        <v>887</v>
      </c>
      <c r="I39" s="56">
        <v>41897</v>
      </c>
      <c r="J39" s="4" t="s">
        <v>16</v>
      </c>
      <c r="K39" s="81">
        <v>0.7</v>
      </c>
      <c r="L39" s="97"/>
      <c r="M39" s="13">
        <f>3108-2634</f>
        <v>474</v>
      </c>
      <c r="N39" s="13">
        <f>8407-7001</f>
        <v>1406</v>
      </c>
      <c r="O39" s="13">
        <f t="shared" si="0"/>
        <v>1880</v>
      </c>
    </row>
    <row r="40" spans="1:15" ht="29.25">
      <c r="A40" s="287" t="s">
        <v>11</v>
      </c>
      <c r="B40" s="61" t="s">
        <v>851</v>
      </c>
      <c r="C40" s="61" t="s">
        <v>853</v>
      </c>
      <c r="D40" s="56" t="s">
        <v>1403</v>
      </c>
      <c r="E40" s="56">
        <v>34</v>
      </c>
      <c r="F40" s="56" t="s">
        <v>243</v>
      </c>
      <c r="G40" s="56" t="s">
        <v>853</v>
      </c>
      <c r="H40" s="385" t="s">
        <v>888</v>
      </c>
      <c r="I40" s="56">
        <v>41898</v>
      </c>
      <c r="J40" s="4" t="s">
        <v>16</v>
      </c>
      <c r="K40" s="81">
        <v>0.7</v>
      </c>
      <c r="L40" s="97"/>
      <c r="M40" s="13">
        <f>854-713</f>
        <v>141</v>
      </c>
      <c r="N40" s="13">
        <f>2742-2365</f>
        <v>377</v>
      </c>
      <c r="O40" s="13">
        <f t="shared" si="0"/>
        <v>518</v>
      </c>
    </row>
    <row r="41" spans="1:15" ht="29.25">
      <c r="A41" s="287" t="s">
        <v>11</v>
      </c>
      <c r="B41" s="61" t="s">
        <v>851</v>
      </c>
      <c r="C41" s="61" t="s">
        <v>885</v>
      </c>
      <c r="D41" s="56"/>
      <c r="E41" s="56" t="s">
        <v>319</v>
      </c>
      <c r="F41" s="56" t="s">
        <v>243</v>
      </c>
      <c r="G41" s="56" t="s">
        <v>853</v>
      </c>
      <c r="H41" s="385" t="s">
        <v>889</v>
      </c>
      <c r="I41" s="56">
        <v>41952</v>
      </c>
      <c r="J41" s="4" t="s">
        <v>16</v>
      </c>
      <c r="K41" s="81">
        <v>1.7</v>
      </c>
      <c r="L41" s="97"/>
      <c r="M41" s="13">
        <f>4406-3641</f>
        <v>765</v>
      </c>
      <c r="N41" s="13">
        <f>13888-11857</f>
        <v>2031</v>
      </c>
      <c r="O41" s="13">
        <f t="shared" si="0"/>
        <v>2796</v>
      </c>
    </row>
    <row r="42" spans="1:15" ht="29.25">
      <c r="A42" s="287" t="s">
        <v>11</v>
      </c>
      <c r="B42" s="61" t="s">
        <v>851</v>
      </c>
      <c r="C42" s="61" t="s">
        <v>890</v>
      </c>
      <c r="D42" s="56"/>
      <c r="E42" s="56" t="s">
        <v>686</v>
      </c>
      <c r="F42" s="56" t="s">
        <v>243</v>
      </c>
      <c r="G42" s="56" t="s">
        <v>853</v>
      </c>
      <c r="H42" s="385" t="s">
        <v>891</v>
      </c>
      <c r="I42" s="56">
        <v>1499909</v>
      </c>
      <c r="J42" s="4" t="s">
        <v>16</v>
      </c>
      <c r="K42" s="81">
        <v>1.8</v>
      </c>
      <c r="L42" s="97"/>
      <c r="M42" s="13">
        <f>2381-1168</f>
        <v>1213</v>
      </c>
      <c r="N42" s="13">
        <f>10277-5246</f>
        <v>5031</v>
      </c>
      <c r="O42" s="13">
        <f t="shared" si="0"/>
        <v>6244</v>
      </c>
    </row>
    <row r="43" spans="1:15" ht="29.25">
      <c r="A43" s="287" t="s">
        <v>11</v>
      </c>
      <c r="B43" s="61" t="s">
        <v>851</v>
      </c>
      <c r="C43" s="61" t="s">
        <v>892</v>
      </c>
      <c r="D43" s="56"/>
      <c r="E43" s="56">
        <v>26</v>
      </c>
      <c r="F43" s="56" t="s">
        <v>243</v>
      </c>
      <c r="G43" s="56" t="s">
        <v>853</v>
      </c>
      <c r="H43" s="385" t="s">
        <v>893</v>
      </c>
      <c r="I43" s="56">
        <v>129228</v>
      </c>
      <c r="J43" s="4" t="s">
        <v>16</v>
      </c>
      <c r="K43" s="81">
        <v>2.7</v>
      </c>
      <c r="L43" s="97"/>
      <c r="M43" s="13">
        <f>3752-3107</f>
        <v>645</v>
      </c>
      <c r="N43" s="13">
        <f>15904-13012</f>
        <v>2892</v>
      </c>
      <c r="O43" s="13">
        <f t="shared" si="0"/>
        <v>3537</v>
      </c>
    </row>
    <row r="44" spans="1:15" ht="29.25">
      <c r="A44" s="287" t="s">
        <v>11</v>
      </c>
      <c r="B44" s="61" t="s">
        <v>851</v>
      </c>
      <c r="C44" s="61" t="s">
        <v>894</v>
      </c>
      <c r="D44" s="56"/>
      <c r="E44" s="56" t="s">
        <v>146</v>
      </c>
      <c r="F44" s="56" t="s">
        <v>243</v>
      </c>
      <c r="G44" s="56" t="s">
        <v>853</v>
      </c>
      <c r="H44" s="385" t="s">
        <v>895</v>
      </c>
      <c r="I44" s="56">
        <v>41485</v>
      </c>
      <c r="J44" s="4" t="s">
        <v>16</v>
      </c>
      <c r="K44" s="81">
        <v>3.2</v>
      </c>
      <c r="L44" s="97"/>
      <c r="M44" s="13">
        <f>11822-9775</f>
        <v>2047</v>
      </c>
      <c r="N44" s="13">
        <f>35882-30355</f>
        <v>5527</v>
      </c>
      <c r="O44" s="13">
        <f t="shared" si="0"/>
        <v>7574</v>
      </c>
    </row>
    <row r="45" spans="1:15" ht="29.25">
      <c r="A45" s="287" t="s">
        <v>11</v>
      </c>
      <c r="B45" s="61" t="s">
        <v>851</v>
      </c>
      <c r="C45" s="61" t="s">
        <v>894</v>
      </c>
      <c r="D45" s="56"/>
      <c r="E45" s="56" t="s">
        <v>686</v>
      </c>
      <c r="F45" s="56" t="s">
        <v>243</v>
      </c>
      <c r="G45" s="56" t="s">
        <v>853</v>
      </c>
      <c r="H45" s="385" t="s">
        <v>896</v>
      </c>
      <c r="I45" s="56">
        <v>41922</v>
      </c>
      <c r="J45" s="4" t="s">
        <v>16</v>
      </c>
      <c r="K45" s="81">
        <v>1</v>
      </c>
      <c r="L45" s="97"/>
      <c r="M45" s="13">
        <f>11070-9473</f>
        <v>1597</v>
      </c>
      <c r="N45" s="13">
        <f>33246-29131</f>
        <v>4115</v>
      </c>
      <c r="O45" s="13">
        <f t="shared" si="0"/>
        <v>5712</v>
      </c>
    </row>
    <row r="46" spans="1:15" ht="29.25">
      <c r="A46" s="287" t="s">
        <v>11</v>
      </c>
      <c r="B46" s="61" t="s">
        <v>851</v>
      </c>
      <c r="C46" s="61" t="s">
        <v>897</v>
      </c>
      <c r="D46" s="56"/>
      <c r="E46" s="56">
        <v>12</v>
      </c>
      <c r="F46" s="56" t="s">
        <v>243</v>
      </c>
      <c r="G46" s="56" t="s">
        <v>853</v>
      </c>
      <c r="H46" s="385" t="s">
        <v>898</v>
      </c>
      <c r="I46" s="56">
        <v>127316</v>
      </c>
      <c r="J46" s="4" t="s">
        <v>16</v>
      </c>
      <c r="K46" s="81">
        <v>1</v>
      </c>
      <c r="L46" s="97"/>
      <c r="M46" s="13">
        <f>1787-1203</f>
        <v>584</v>
      </c>
      <c r="N46" s="13">
        <f>4738-2405</f>
        <v>2333</v>
      </c>
      <c r="O46" s="13">
        <f t="shared" si="0"/>
        <v>2917</v>
      </c>
    </row>
    <row r="47" spans="1:15" ht="29.25">
      <c r="A47" s="287" t="s">
        <v>11</v>
      </c>
      <c r="B47" s="61" t="s">
        <v>851</v>
      </c>
      <c r="C47" s="61" t="s">
        <v>899</v>
      </c>
      <c r="D47" s="56"/>
      <c r="E47" s="56">
        <v>9</v>
      </c>
      <c r="F47" s="56" t="s">
        <v>243</v>
      </c>
      <c r="G47" s="56" t="s">
        <v>853</v>
      </c>
      <c r="H47" s="385" t="s">
        <v>900</v>
      </c>
      <c r="I47" s="56">
        <v>1503157</v>
      </c>
      <c r="J47" s="4" t="s">
        <v>16</v>
      </c>
      <c r="K47" s="81">
        <v>1</v>
      </c>
      <c r="L47" s="97"/>
      <c r="M47" s="13">
        <f>932-570</f>
        <v>362</v>
      </c>
      <c r="N47" s="13">
        <f>3140-1600</f>
        <v>1540</v>
      </c>
      <c r="O47" s="13">
        <f t="shared" si="0"/>
        <v>1902</v>
      </c>
    </row>
    <row r="48" spans="1:15" ht="29.25">
      <c r="A48" s="287" t="s">
        <v>11</v>
      </c>
      <c r="B48" s="61" t="s">
        <v>851</v>
      </c>
      <c r="C48" s="61" t="s">
        <v>1404</v>
      </c>
      <c r="D48" s="56"/>
      <c r="E48" s="56">
        <v>8</v>
      </c>
      <c r="F48" s="56" t="s">
        <v>243</v>
      </c>
      <c r="G48" s="56" t="s">
        <v>853</v>
      </c>
      <c r="H48" s="385" t="s">
        <v>901</v>
      </c>
      <c r="I48" s="56">
        <v>1440396</v>
      </c>
      <c r="J48" s="4" t="s">
        <v>16</v>
      </c>
      <c r="K48" s="81">
        <v>1</v>
      </c>
      <c r="L48" s="97"/>
      <c r="M48" s="13">
        <f>533-259</f>
        <v>274</v>
      </c>
      <c r="N48" s="13">
        <f>2080-1044</f>
        <v>1036</v>
      </c>
      <c r="O48" s="13">
        <f t="shared" si="0"/>
        <v>1310</v>
      </c>
    </row>
    <row r="49" spans="1:15" ht="29.25">
      <c r="A49" s="287" t="s">
        <v>11</v>
      </c>
      <c r="B49" s="61" t="s">
        <v>851</v>
      </c>
      <c r="C49" s="61" t="s">
        <v>897</v>
      </c>
      <c r="D49" s="56"/>
      <c r="E49" s="56">
        <v>3</v>
      </c>
      <c r="F49" s="56" t="s">
        <v>243</v>
      </c>
      <c r="G49" s="56" t="s">
        <v>853</v>
      </c>
      <c r="H49" s="385" t="s">
        <v>902</v>
      </c>
      <c r="I49" s="56">
        <v>106647</v>
      </c>
      <c r="J49" s="4" t="s">
        <v>16</v>
      </c>
      <c r="K49" s="81">
        <v>0.8</v>
      </c>
      <c r="L49" s="97"/>
      <c r="M49" s="13">
        <f>1178-949</f>
        <v>229</v>
      </c>
      <c r="N49" s="13">
        <f>2180-1173</f>
        <v>1007</v>
      </c>
      <c r="O49" s="13">
        <f t="shared" si="0"/>
        <v>1236</v>
      </c>
    </row>
    <row r="50" spans="1:15" ht="29.25">
      <c r="A50" s="287" t="s">
        <v>11</v>
      </c>
      <c r="B50" s="61" t="s">
        <v>851</v>
      </c>
      <c r="C50" s="61" t="s">
        <v>903</v>
      </c>
      <c r="D50" s="56"/>
      <c r="E50" s="56">
        <v>15</v>
      </c>
      <c r="F50" s="56" t="s">
        <v>243</v>
      </c>
      <c r="G50" s="56" t="s">
        <v>853</v>
      </c>
      <c r="H50" s="385" t="s">
        <v>904</v>
      </c>
      <c r="I50" s="56">
        <v>41892</v>
      </c>
      <c r="J50" s="4" t="s">
        <v>16</v>
      </c>
      <c r="K50" s="81">
        <v>0.5</v>
      </c>
      <c r="L50" s="97"/>
      <c r="M50" s="13">
        <f>10932-9338</f>
        <v>1594</v>
      </c>
      <c r="N50" s="13">
        <f>32778-28443</f>
        <v>4335</v>
      </c>
      <c r="O50" s="13">
        <f t="shared" si="0"/>
        <v>5929</v>
      </c>
    </row>
    <row r="51" spans="1:15" ht="29.25">
      <c r="A51" s="287" t="s">
        <v>11</v>
      </c>
      <c r="B51" s="61" t="s">
        <v>851</v>
      </c>
      <c r="C51" s="61" t="s">
        <v>903</v>
      </c>
      <c r="D51" s="56"/>
      <c r="E51" s="56" t="s">
        <v>146</v>
      </c>
      <c r="F51" s="56" t="s">
        <v>243</v>
      </c>
      <c r="G51" s="56" t="s">
        <v>853</v>
      </c>
      <c r="H51" s="385" t="s">
        <v>905</v>
      </c>
      <c r="I51" s="56">
        <v>41570</v>
      </c>
      <c r="J51" s="4" t="s">
        <v>16</v>
      </c>
      <c r="K51" s="81">
        <v>1.5</v>
      </c>
      <c r="L51" s="97"/>
      <c r="M51" s="13">
        <f>4203-3649</f>
        <v>554</v>
      </c>
      <c r="N51" s="13">
        <f>13304-11497</f>
        <v>1807</v>
      </c>
      <c r="O51" s="13">
        <f t="shared" si="0"/>
        <v>2361</v>
      </c>
    </row>
    <row r="52" spans="1:15" ht="29.25">
      <c r="A52" s="287" t="s">
        <v>11</v>
      </c>
      <c r="B52" s="61" t="s">
        <v>851</v>
      </c>
      <c r="C52" s="61" t="s">
        <v>903</v>
      </c>
      <c r="D52" s="56"/>
      <c r="E52" s="56" t="s">
        <v>686</v>
      </c>
      <c r="F52" s="56" t="s">
        <v>243</v>
      </c>
      <c r="G52" s="56" t="s">
        <v>853</v>
      </c>
      <c r="H52" s="385" t="s">
        <v>906</v>
      </c>
      <c r="I52" s="56">
        <v>41566</v>
      </c>
      <c r="J52" s="4" t="s">
        <v>16</v>
      </c>
      <c r="K52" s="81">
        <v>0.9</v>
      </c>
      <c r="L52" s="97"/>
      <c r="M52" s="13">
        <f>2081-1845</f>
        <v>236</v>
      </c>
      <c r="N52" s="13">
        <f>6304-5685</f>
        <v>619</v>
      </c>
      <c r="O52" s="13">
        <f t="shared" si="0"/>
        <v>855</v>
      </c>
    </row>
    <row r="53" spans="1:15" ht="29.25">
      <c r="A53" s="287" t="s">
        <v>11</v>
      </c>
      <c r="B53" s="61" t="s">
        <v>851</v>
      </c>
      <c r="C53" s="61" t="s">
        <v>907</v>
      </c>
      <c r="D53" s="56"/>
      <c r="E53" s="56"/>
      <c r="F53" s="56" t="s">
        <v>243</v>
      </c>
      <c r="G53" s="56" t="s">
        <v>853</v>
      </c>
      <c r="H53" s="385" t="s">
        <v>908</v>
      </c>
      <c r="I53" s="56">
        <v>41666</v>
      </c>
      <c r="J53" s="4" t="s">
        <v>16</v>
      </c>
      <c r="K53" s="81">
        <v>2.7</v>
      </c>
      <c r="L53" s="97"/>
      <c r="M53" s="13">
        <f>9556-8296</f>
        <v>1260</v>
      </c>
      <c r="N53" s="13">
        <f>29345-25676</f>
        <v>3669</v>
      </c>
      <c r="O53" s="13">
        <f t="shared" si="0"/>
        <v>4929</v>
      </c>
    </row>
    <row r="54" spans="1:15" ht="29.25">
      <c r="A54" s="287" t="s">
        <v>11</v>
      </c>
      <c r="B54" s="61" t="s">
        <v>851</v>
      </c>
      <c r="C54" s="61" t="s">
        <v>909</v>
      </c>
      <c r="D54" s="56"/>
      <c r="E54" s="56">
        <v>5</v>
      </c>
      <c r="F54" s="56" t="s">
        <v>243</v>
      </c>
      <c r="G54" s="56" t="s">
        <v>853</v>
      </c>
      <c r="H54" s="385" t="s">
        <v>910</v>
      </c>
      <c r="I54" s="56">
        <v>41563</v>
      </c>
      <c r="J54" s="4" t="s">
        <v>16</v>
      </c>
      <c r="K54" s="81">
        <v>1.2</v>
      </c>
      <c r="L54" s="97"/>
      <c r="M54" s="13">
        <f>3630-3032</f>
        <v>598</v>
      </c>
      <c r="N54" s="13">
        <f>11056-9428</f>
        <v>1628</v>
      </c>
      <c r="O54" s="13">
        <f t="shared" si="0"/>
        <v>2226</v>
      </c>
    </row>
    <row r="55" spans="1:15" ht="29.25">
      <c r="A55" s="287" t="s">
        <v>11</v>
      </c>
      <c r="B55" s="61" t="s">
        <v>851</v>
      </c>
      <c r="C55" s="61" t="s">
        <v>911</v>
      </c>
      <c r="D55" s="56"/>
      <c r="E55" s="56"/>
      <c r="F55" s="56" t="s">
        <v>243</v>
      </c>
      <c r="G55" s="56" t="s">
        <v>853</v>
      </c>
      <c r="H55" s="385" t="s">
        <v>912</v>
      </c>
      <c r="I55" s="56">
        <v>41928</v>
      </c>
      <c r="J55" s="4" t="s">
        <v>16</v>
      </c>
      <c r="K55" s="81">
        <v>1.8</v>
      </c>
      <c r="L55" s="97"/>
      <c r="M55" s="13">
        <f>7930-6225</f>
        <v>1705</v>
      </c>
      <c r="N55" s="13">
        <f>25205-20436</f>
        <v>4769</v>
      </c>
      <c r="O55" s="13">
        <f t="shared" si="0"/>
        <v>6474</v>
      </c>
    </row>
    <row r="56" spans="1:15" ht="29.25">
      <c r="A56" s="287" t="s">
        <v>11</v>
      </c>
      <c r="B56" s="61" t="s">
        <v>851</v>
      </c>
      <c r="C56" s="61" t="s">
        <v>1405</v>
      </c>
      <c r="D56" s="56"/>
      <c r="E56" s="56">
        <v>1</v>
      </c>
      <c r="F56" s="56" t="s">
        <v>243</v>
      </c>
      <c r="G56" s="56" t="s">
        <v>853</v>
      </c>
      <c r="H56" s="385" t="s">
        <v>913</v>
      </c>
      <c r="I56" s="56">
        <v>41704</v>
      </c>
      <c r="J56" s="4" t="s">
        <v>16</v>
      </c>
      <c r="K56" s="81">
        <v>0.6</v>
      </c>
      <c r="L56" s="97"/>
      <c r="M56" s="13">
        <f>3893-3407</f>
        <v>486</v>
      </c>
      <c r="N56" s="13">
        <f>12346-10931</f>
        <v>1415</v>
      </c>
      <c r="O56" s="13">
        <f t="shared" si="0"/>
        <v>1901</v>
      </c>
    </row>
    <row r="57" spans="1:15" ht="29.25">
      <c r="A57" s="287" t="s">
        <v>11</v>
      </c>
      <c r="B57" s="61" t="s">
        <v>851</v>
      </c>
      <c r="C57" s="61" t="s">
        <v>1405</v>
      </c>
      <c r="D57" s="56"/>
      <c r="E57" s="56">
        <v>4</v>
      </c>
      <c r="F57" s="56" t="s">
        <v>243</v>
      </c>
      <c r="G57" s="56" t="s">
        <v>853</v>
      </c>
      <c r="H57" s="385" t="s">
        <v>914</v>
      </c>
      <c r="I57" s="56">
        <v>41893</v>
      </c>
      <c r="J57" s="4" t="s">
        <v>16</v>
      </c>
      <c r="K57" s="81">
        <v>1.5</v>
      </c>
      <c r="L57" s="97"/>
      <c r="M57" s="13">
        <f>3669-3230</f>
        <v>439</v>
      </c>
      <c r="N57" s="13">
        <f>11234-10098</f>
        <v>1136</v>
      </c>
      <c r="O57" s="13">
        <f t="shared" si="0"/>
        <v>1575</v>
      </c>
    </row>
    <row r="58" spans="1:15" ht="29.25">
      <c r="A58" s="287" t="s">
        <v>11</v>
      </c>
      <c r="B58" s="61" t="s">
        <v>851</v>
      </c>
      <c r="C58" s="61" t="s">
        <v>1405</v>
      </c>
      <c r="D58" s="56"/>
      <c r="E58" s="56"/>
      <c r="F58" s="56" t="s">
        <v>243</v>
      </c>
      <c r="G58" s="56" t="s">
        <v>853</v>
      </c>
      <c r="H58" s="385" t="s">
        <v>915</v>
      </c>
      <c r="I58" s="56">
        <v>41896</v>
      </c>
      <c r="J58" s="4" t="s">
        <v>16</v>
      </c>
      <c r="K58" s="81">
        <v>0.7</v>
      </c>
      <c r="L58" s="97"/>
      <c r="M58" s="13">
        <f>3520-3145</f>
        <v>375</v>
      </c>
      <c r="N58" s="13">
        <f>10371-9419</f>
        <v>952</v>
      </c>
      <c r="O58" s="13">
        <f t="shared" si="0"/>
        <v>1327</v>
      </c>
    </row>
    <row r="59" spans="1:15" ht="29.25">
      <c r="A59" s="287" t="s">
        <v>11</v>
      </c>
      <c r="B59" s="61" t="s">
        <v>851</v>
      </c>
      <c r="C59" s="61" t="s">
        <v>1405</v>
      </c>
      <c r="D59" s="56"/>
      <c r="E59" s="56">
        <v>3</v>
      </c>
      <c r="F59" s="56" t="s">
        <v>243</v>
      </c>
      <c r="G59" s="56" t="s">
        <v>853</v>
      </c>
      <c r="H59" s="385" t="s">
        <v>916</v>
      </c>
      <c r="I59" s="56">
        <v>41927</v>
      </c>
      <c r="J59" s="4" t="s">
        <v>16</v>
      </c>
      <c r="K59" s="81">
        <v>0.8</v>
      </c>
      <c r="L59" s="97"/>
      <c r="M59" s="13">
        <f>10733-9150</f>
        <v>1583</v>
      </c>
      <c r="N59" s="13">
        <f>32676-28480</f>
        <v>4196</v>
      </c>
      <c r="O59" s="13">
        <f t="shared" si="0"/>
        <v>5779</v>
      </c>
    </row>
    <row r="60" spans="1:15" ht="29.25">
      <c r="A60" s="287" t="s">
        <v>11</v>
      </c>
      <c r="B60" s="61" t="s">
        <v>851</v>
      </c>
      <c r="C60" s="61" t="s">
        <v>917</v>
      </c>
      <c r="D60" s="56"/>
      <c r="E60" s="56">
        <v>34</v>
      </c>
      <c r="F60" s="56" t="s">
        <v>243</v>
      </c>
      <c r="G60" s="56" t="s">
        <v>853</v>
      </c>
      <c r="H60" s="385" t="s">
        <v>918</v>
      </c>
      <c r="I60" s="56">
        <v>41490</v>
      </c>
      <c r="J60" s="4" t="s">
        <v>16</v>
      </c>
      <c r="K60" s="81">
        <v>2</v>
      </c>
      <c r="L60" s="97"/>
      <c r="M60" s="13">
        <f>7474-6113</f>
        <v>1361</v>
      </c>
      <c r="N60" s="13">
        <f>23176-19480</f>
        <v>3696</v>
      </c>
      <c r="O60" s="13">
        <f t="shared" si="0"/>
        <v>5057</v>
      </c>
    </row>
    <row r="61" spans="1:15" ht="29.25">
      <c r="A61" s="287" t="s">
        <v>11</v>
      </c>
      <c r="B61" s="61" t="s">
        <v>851</v>
      </c>
      <c r="C61" s="61" t="s">
        <v>917</v>
      </c>
      <c r="D61" s="56"/>
      <c r="E61" s="56" t="s">
        <v>686</v>
      </c>
      <c r="F61" s="56" t="s">
        <v>243</v>
      </c>
      <c r="G61" s="56" t="s">
        <v>853</v>
      </c>
      <c r="H61" s="385" t="s">
        <v>919</v>
      </c>
      <c r="I61" s="56">
        <v>41923</v>
      </c>
      <c r="J61" s="4" t="s">
        <v>16</v>
      </c>
      <c r="K61" s="81">
        <v>1</v>
      </c>
      <c r="L61" s="97"/>
      <c r="M61" s="13">
        <f>2856-2480</f>
        <v>376</v>
      </c>
      <c r="N61" s="13">
        <f>9137-8080</f>
        <v>1057</v>
      </c>
      <c r="O61" s="13">
        <f t="shared" si="0"/>
        <v>1433</v>
      </c>
    </row>
    <row r="62" spans="1:15" ht="29.25">
      <c r="A62" s="287" t="s">
        <v>11</v>
      </c>
      <c r="B62" s="61" t="s">
        <v>851</v>
      </c>
      <c r="C62" s="61" t="s">
        <v>920</v>
      </c>
      <c r="D62" s="56"/>
      <c r="E62" s="56"/>
      <c r="F62" s="56" t="s">
        <v>243</v>
      </c>
      <c r="G62" s="56" t="s">
        <v>853</v>
      </c>
      <c r="H62" s="385" t="s">
        <v>921</v>
      </c>
      <c r="I62" s="56">
        <v>41931</v>
      </c>
      <c r="J62" s="4" t="s">
        <v>16</v>
      </c>
      <c r="K62" s="81">
        <v>0.8</v>
      </c>
      <c r="L62" s="97"/>
      <c r="M62" s="13">
        <f>5357-4684</f>
        <v>673</v>
      </c>
      <c r="N62" s="13">
        <f>18337-16767</f>
        <v>1570</v>
      </c>
      <c r="O62" s="13">
        <f t="shared" si="0"/>
        <v>2243</v>
      </c>
    </row>
    <row r="63" spans="1:15" ht="29.25">
      <c r="A63" s="287" t="s">
        <v>11</v>
      </c>
      <c r="B63" s="61" t="s">
        <v>851</v>
      </c>
      <c r="C63" s="61" t="s">
        <v>922</v>
      </c>
      <c r="D63" s="56"/>
      <c r="E63" s="56" t="s">
        <v>146</v>
      </c>
      <c r="F63" s="56" t="s">
        <v>243</v>
      </c>
      <c r="G63" s="56" t="s">
        <v>853</v>
      </c>
      <c r="H63" s="385" t="s">
        <v>923</v>
      </c>
      <c r="I63" s="56">
        <v>41150</v>
      </c>
      <c r="J63" s="4" t="s">
        <v>16</v>
      </c>
      <c r="K63" s="81">
        <v>0.9</v>
      </c>
      <c r="L63" s="97"/>
      <c r="M63" s="13">
        <f>2720-2254</f>
        <v>466</v>
      </c>
      <c r="N63" s="13">
        <f>8170-6932</f>
        <v>1238</v>
      </c>
      <c r="O63" s="13">
        <f>SUM(M63:N63)</f>
        <v>1704</v>
      </c>
    </row>
    <row r="64" spans="1:15" ht="29.25">
      <c r="A64" s="287" t="s">
        <v>11</v>
      </c>
      <c r="B64" s="61" t="s">
        <v>851</v>
      </c>
      <c r="C64" s="61" t="s">
        <v>922</v>
      </c>
      <c r="D64" s="56"/>
      <c r="E64" s="56" t="s">
        <v>686</v>
      </c>
      <c r="F64" s="56" t="s">
        <v>243</v>
      </c>
      <c r="G64" s="56" t="s">
        <v>853</v>
      </c>
      <c r="H64" s="385" t="s">
        <v>924</v>
      </c>
      <c r="I64" s="56">
        <v>41482</v>
      </c>
      <c r="J64" s="4" t="s">
        <v>16</v>
      </c>
      <c r="K64" s="81">
        <v>1.3</v>
      </c>
      <c r="L64" s="97"/>
      <c r="M64" s="13">
        <f>8288-6740</f>
        <v>1548</v>
      </c>
      <c r="N64" s="13">
        <f>25193-21112</f>
        <v>4081</v>
      </c>
      <c r="O64" s="13">
        <f t="shared" si="0"/>
        <v>5629</v>
      </c>
    </row>
    <row r="65" spans="1:15" ht="29.25">
      <c r="A65" s="287" t="s">
        <v>11</v>
      </c>
      <c r="B65" s="61" t="s">
        <v>851</v>
      </c>
      <c r="C65" s="61" t="s">
        <v>922</v>
      </c>
      <c r="D65" s="56"/>
      <c r="E65" s="56" t="s">
        <v>878</v>
      </c>
      <c r="F65" s="56" t="s">
        <v>243</v>
      </c>
      <c r="G65" s="56" t="s">
        <v>853</v>
      </c>
      <c r="H65" s="385" t="s">
        <v>925</v>
      </c>
      <c r="I65" s="56">
        <v>41483</v>
      </c>
      <c r="J65" s="4" t="s">
        <v>16</v>
      </c>
      <c r="K65" s="81">
        <v>1.2</v>
      </c>
      <c r="L65" s="97"/>
      <c r="M65" s="13">
        <f>5127-4204</f>
        <v>923</v>
      </c>
      <c r="N65" s="13">
        <f>16040-13497</f>
        <v>2543</v>
      </c>
      <c r="O65" s="13">
        <f t="shared" si="0"/>
        <v>3466</v>
      </c>
    </row>
    <row r="66" spans="1:15" ht="29.25">
      <c r="A66" s="287" t="s">
        <v>11</v>
      </c>
      <c r="B66" s="61" t="s">
        <v>851</v>
      </c>
      <c r="C66" s="61" t="s">
        <v>926</v>
      </c>
      <c r="D66" s="56"/>
      <c r="E66" s="56"/>
      <c r="F66" s="56" t="s">
        <v>243</v>
      </c>
      <c r="G66" s="56" t="s">
        <v>853</v>
      </c>
      <c r="H66" s="385" t="s">
        <v>927</v>
      </c>
      <c r="I66" s="56">
        <v>41571</v>
      </c>
      <c r="J66" s="4" t="s">
        <v>16</v>
      </c>
      <c r="K66" s="81">
        <v>1.2</v>
      </c>
      <c r="L66" s="97"/>
      <c r="M66" s="13">
        <f>7489-6096</f>
        <v>1393</v>
      </c>
      <c r="N66" s="13">
        <f>22756-19012</f>
        <v>3744</v>
      </c>
      <c r="O66" s="13">
        <f t="shared" si="0"/>
        <v>5137</v>
      </c>
    </row>
    <row r="67" spans="1:15" ht="29.25">
      <c r="A67" s="287" t="s">
        <v>11</v>
      </c>
      <c r="B67" s="61" t="s">
        <v>851</v>
      </c>
      <c r="C67" s="61" t="s">
        <v>853</v>
      </c>
      <c r="D67" s="56" t="s">
        <v>232</v>
      </c>
      <c r="E67" s="56">
        <v>20</v>
      </c>
      <c r="F67" s="56" t="s">
        <v>243</v>
      </c>
      <c r="G67" s="56" t="s">
        <v>853</v>
      </c>
      <c r="H67" s="385" t="s">
        <v>928</v>
      </c>
      <c r="I67" s="56">
        <v>38195</v>
      </c>
      <c r="J67" s="4" t="s">
        <v>16</v>
      </c>
      <c r="K67" s="81">
        <v>5.5</v>
      </c>
      <c r="L67" s="97"/>
      <c r="M67" s="13">
        <f>24049-20609</f>
        <v>3440</v>
      </c>
      <c r="N67" s="13">
        <f>100958-86808</f>
        <v>14150</v>
      </c>
      <c r="O67" s="13">
        <f t="shared" si="0"/>
        <v>17590</v>
      </c>
    </row>
    <row r="68" spans="1:15" ht="29.25">
      <c r="A68" s="287" t="s">
        <v>11</v>
      </c>
      <c r="B68" s="61" t="s">
        <v>851</v>
      </c>
      <c r="C68" s="61" t="s">
        <v>853</v>
      </c>
      <c r="D68" s="56" t="s">
        <v>383</v>
      </c>
      <c r="E68" s="56">
        <v>3</v>
      </c>
      <c r="F68" s="56" t="s">
        <v>243</v>
      </c>
      <c r="G68" s="56" t="s">
        <v>853</v>
      </c>
      <c r="H68" s="385" t="s">
        <v>929</v>
      </c>
      <c r="I68" s="56">
        <v>38194</v>
      </c>
      <c r="J68" s="4" t="s">
        <v>16</v>
      </c>
      <c r="K68" s="81">
        <v>3.3</v>
      </c>
      <c r="L68" s="97"/>
      <c r="M68" s="13">
        <f>9048-8311</f>
        <v>737</v>
      </c>
      <c r="N68" s="13">
        <f>40690-37581</f>
        <v>3109</v>
      </c>
      <c r="O68" s="13">
        <f t="shared" si="0"/>
        <v>3846</v>
      </c>
    </row>
    <row r="69" spans="1:15" ht="29.25">
      <c r="A69" s="287" t="s">
        <v>11</v>
      </c>
      <c r="B69" s="61" t="s">
        <v>851</v>
      </c>
      <c r="C69" s="61" t="s">
        <v>853</v>
      </c>
      <c r="D69" s="56" t="s">
        <v>1402</v>
      </c>
      <c r="E69" s="56">
        <v>8</v>
      </c>
      <c r="F69" s="56" t="s">
        <v>243</v>
      </c>
      <c r="G69" s="56" t="s">
        <v>853</v>
      </c>
      <c r="H69" s="385" t="s">
        <v>930</v>
      </c>
      <c r="I69" s="56">
        <v>41489</v>
      </c>
      <c r="J69" s="4" t="s">
        <v>16</v>
      </c>
      <c r="K69" s="81">
        <v>0.5</v>
      </c>
      <c r="L69" s="97"/>
      <c r="M69" s="13">
        <f>2911-2538</f>
        <v>373</v>
      </c>
      <c r="N69" s="13">
        <f>9601-8491</f>
        <v>1110</v>
      </c>
      <c r="O69" s="13">
        <f t="shared" si="0"/>
        <v>1483</v>
      </c>
    </row>
    <row r="70" spans="1:15" ht="29.25">
      <c r="A70" s="287" t="s">
        <v>11</v>
      </c>
      <c r="B70" s="61" t="s">
        <v>851</v>
      </c>
      <c r="C70" s="61" t="s">
        <v>853</v>
      </c>
      <c r="D70" s="56"/>
      <c r="E70" s="56"/>
      <c r="F70" s="56" t="s">
        <v>243</v>
      </c>
      <c r="G70" s="56" t="s">
        <v>853</v>
      </c>
      <c r="H70" s="385" t="s">
        <v>931</v>
      </c>
      <c r="I70" s="56">
        <v>38201</v>
      </c>
      <c r="J70" s="4" t="s">
        <v>16</v>
      </c>
      <c r="K70" s="81">
        <v>4.9</v>
      </c>
      <c r="L70" s="97"/>
      <c r="M70" s="13">
        <f>31231-26111</f>
        <v>5120</v>
      </c>
      <c r="N70" s="13">
        <f>132038-110896</f>
        <v>21142</v>
      </c>
      <c r="O70" s="13">
        <f t="shared" si="0"/>
        <v>26262</v>
      </c>
    </row>
    <row r="71" spans="1:15" ht="29.25">
      <c r="A71" s="287" t="s">
        <v>11</v>
      </c>
      <c r="B71" s="61" t="s">
        <v>851</v>
      </c>
      <c r="C71" s="61" t="s">
        <v>853</v>
      </c>
      <c r="D71" s="56"/>
      <c r="E71" s="56" t="s">
        <v>686</v>
      </c>
      <c r="F71" s="56" t="s">
        <v>243</v>
      </c>
      <c r="G71" s="56" t="s">
        <v>853</v>
      </c>
      <c r="H71" s="385" t="s">
        <v>932</v>
      </c>
      <c r="I71" s="56">
        <v>41925</v>
      </c>
      <c r="J71" s="4" t="s">
        <v>16</v>
      </c>
      <c r="K71" s="81">
        <v>1</v>
      </c>
      <c r="L71" s="97"/>
      <c r="M71" s="13">
        <f>6177-5532</f>
        <v>645</v>
      </c>
      <c r="N71" s="13">
        <f>19029-17310</f>
        <v>1719</v>
      </c>
      <c r="O71" s="13">
        <f t="shared" si="0"/>
        <v>2364</v>
      </c>
    </row>
    <row r="72" spans="1:16" ht="29.25">
      <c r="A72" s="287" t="s">
        <v>11</v>
      </c>
      <c r="B72" s="61" t="s">
        <v>851</v>
      </c>
      <c r="C72" s="61" t="s">
        <v>853</v>
      </c>
      <c r="D72" s="56" t="s">
        <v>1739</v>
      </c>
      <c r="E72" s="56"/>
      <c r="F72" s="56" t="s">
        <v>243</v>
      </c>
      <c r="G72" s="56" t="s">
        <v>853</v>
      </c>
      <c r="H72" s="385" t="s">
        <v>933</v>
      </c>
      <c r="I72" s="56">
        <v>4137349</v>
      </c>
      <c r="J72" s="4" t="s">
        <v>16</v>
      </c>
      <c r="K72" s="81">
        <v>2.5</v>
      </c>
      <c r="L72" s="97"/>
      <c r="M72" s="13">
        <f>68*12</f>
        <v>816</v>
      </c>
      <c r="N72" s="13">
        <f>612*12</f>
        <v>7344</v>
      </c>
      <c r="O72" s="13">
        <f t="shared" si="0"/>
        <v>8160</v>
      </c>
      <c r="P72" s="51"/>
    </row>
    <row r="73" spans="1:15" ht="29.25">
      <c r="A73" s="287" t="s">
        <v>11</v>
      </c>
      <c r="B73" s="61" t="s">
        <v>851</v>
      </c>
      <c r="C73" s="61" t="s">
        <v>853</v>
      </c>
      <c r="D73" s="56" t="s">
        <v>1093</v>
      </c>
      <c r="E73" s="56"/>
      <c r="F73" s="56" t="s">
        <v>243</v>
      </c>
      <c r="G73" s="56" t="s">
        <v>853</v>
      </c>
      <c r="H73" s="385" t="s">
        <v>934</v>
      </c>
      <c r="I73" s="56">
        <v>39847</v>
      </c>
      <c r="J73" s="4" t="s">
        <v>16</v>
      </c>
      <c r="K73" s="81">
        <v>4.7</v>
      </c>
      <c r="L73" s="97"/>
      <c r="M73" s="13">
        <f>8399-7590</f>
        <v>809</v>
      </c>
      <c r="N73" s="13">
        <f>36312-33283</f>
        <v>3029</v>
      </c>
      <c r="O73" s="13">
        <f t="shared" si="0"/>
        <v>3838</v>
      </c>
    </row>
    <row r="74" spans="1:15" ht="29.25">
      <c r="A74" s="287" t="s">
        <v>11</v>
      </c>
      <c r="B74" s="61" t="s">
        <v>851</v>
      </c>
      <c r="C74" s="61" t="s">
        <v>853</v>
      </c>
      <c r="D74" s="56" t="s">
        <v>935</v>
      </c>
      <c r="E74" s="56"/>
      <c r="F74" s="56" t="s">
        <v>243</v>
      </c>
      <c r="G74" s="56" t="s">
        <v>853</v>
      </c>
      <c r="H74" s="385" t="s">
        <v>1325</v>
      </c>
      <c r="I74" s="56">
        <v>41899</v>
      </c>
      <c r="J74" s="4" t="s">
        <v>16</v>
      </c>
      <c r="K74" s="81">
        <v>0.9</v>
      </c>
      <c r="L74" s="97"/>
      <c r="M74" s="13">
        <f>3371-2678</f>
        <v>693</v>
      </c>
      <c r="N74" s="13">
        <f>9914-8014</f>
        <v>1900</v>
      </c>
      <c r="O74" s="13">
        <f t="shared" si="0"/>
        <v>2593</v>
      </c>
    </row>
    <row r="75" spans="1:15" ht="29.25">
      <c r="A75" s="287" t="s">
        <v>11</v>
      </c>
      <c r="B75" s="61" t="s">
        <v>851</v>
      </c>
      <c r="C75" s="61" t="s">
        <v>853</v>
      </c>
      <c r="D75" s="56" t="s">
        <v>936</v>
      </c>
      <c r="E75" s="56"/>
      <c r="F75" s="56" t="s">
        <v>243</v>
      </c>
      <c r="G75" s="56" t="s">
        <v>853</v>
      </c>
      <c r="H75" s="385" t="s">
        <v>937</v>
      </c>
      <c r="I75" s="56">
        <v>38200</v>
      </c>
      <c r="J75" s="4" t="s">
        <v>16</v>
      </c>
      <c r="K75" s="81">
        <v>5</v>
      </c>
      <c r="L75" s="97"/>
      <c r="M75" s="13">
        <f>15144-13565</f>
        <v>1579</v>
      </c>
      <c r="N75" s="13">
        <f>62242-55928</f>
        <v>6314</v>
      </c>
      <c r="O75" s="13">
        <f t="shared" si="0"/>
        <v>7893</v>
      </c>
    </row>
    <row r="76" spans="1:15" ht="29.25">
      <c r="A76" s="287" t="s">
        <v>11</v>
      </c>
      <c r="B76" s="61" t="s">
        <v>851</v>
      </c>
      <c r="C76" s="61" t="s">
        <v>853</v>
      </c>
      <c r="D76" s="56"/>
      <c r="E76" s="56"/>
      <c r="F76" s="56" t="s">
        <v>243</v>
      </c>
      <c r="G76" s="56" t="s">
        <v>853</v>
      </c>
      <c r="H76" s="385" t="s">
        <v>938</v>
      </c>
      <c r="I76" s="56">
        <v>41148</v>
      </c>
      <c r="J76" s="4" t="s">
        <v>16</v>
      </c>
      <c r="K76" s="81">
        <v>1</v>
      </c>
      <c r="L76" s="97"/>
      <c r="M76" s="13">
        <f>6251-5468</f>
        <v>783</v>
      </c>
      <c r="N76" s="13">
        <f>20129-17846</f>
        <v>2283</v>
      </c>
      <c r="O76" s="13">
        <f t="shared" si="0"/>
        <v>3066</v>
      </c>
    </row>
    <row r="77" spans="1:15" ht="29.25">
      <c r="A77" s="287" t="s">
        <v>11</v>
      </c>
      <c r="B77" s="61" t="s">
        <v>851</v>
      </c>
      <c r="C77" s="61" t="s">
        <v>862</v>
      </c>
      <c r="D77" s="56"/>
      <c r="E77" s="56"/>
      <c r="F77" s="56" t="s">
        <v>243</v>
      </c>
      <c r="G77" s="56" t="s">
        <v>853</v>
      </c>
      <c r="H77" s="385" t="s">
        <v>939</v>
      </c>
      <c r="I77" s="56">
        <v>41493</v>
      </c>
      <c r="J77" s="4" t="s">
        <v>16</v>
      </c>
      <c r="K77" s="81">
        <v>0.7</v>
      </c>
      <c r="L77" s="97"/>
      <c r="M77" s="13">
        <f>4987-4227</f>
        <v>760</v>
      </c>
      <c r="N77" s="13">
        <f>14544-12830</f>
        <v>1714</v>
      </c>
      <c r="O77" s="13">
        <f t="shared" si="0"/>
        <v>2474</v>
      </c>
    </row>
    <row r="78" spans="1:15" ht="29.25">
      <c r="A78" s="287" t="s">
        <v>11</v>
      </c>
      <c r="B78" s="61" t="s">
        <v>851</v>
      </c>
      <c r="C78" s="61" t="s">
        <v>940</v>
      </c>
      <c r="D78" s="56"/>
      <c r="E78" s="56"/>
      <c r="F78" s="56" t="s">
        <v>243</v>
      </c>
      <c r="G78" s="56" t="s">
        <v>853</v>
      </c>
      <c r="H78" s="385" t="s">
        <v>941</v>
      </c>
      <c r="I78" s="56">
        <v>41569</v>
      </c>
      <c r="J78" s="4" t="s">
        <v>16</v>
      </c>
      <c r="K78" s="81">
        <v>1.5</v>
      </c>
      <c r="L78" s="97"/>
      <c r="M78" s="13">
        <f>5106-4093</f>
        <v>1013</v>
      </c>
      <c r="N78" s="13">
        <f>14315-11679</f>
        <v>2636</v>
      </c>
      <c r="O78" s="13">
        <f t="shared" si="0"/>
        <v>3649</v>
      </c>
    </row>
    <row r="79" spans="1:15" ht="29.25">
      <c r="A79" s="287" t="s">
        <v>11</v>
      </c>
      <c r="B79" s="61" t="s">
        <v>851</v>
      </c>
      <c r="C79" s="61" t="s">
        <v>862</v>
      </c>
      <c r="D79" s="56"/>
      <c r="E79" s="56"/>
      <c r="F79" s="56" t="s">
        <v>243</v>
      </c>
      <c r="G79" s="56" t="s">
        <v>853</v>
      </c>
      <c r="H79" s="385" t="s">
        <v>942</v>
      </c>
      <c r="I79" s="56">
        <v>38197</v>
      </c>
      <c r="J79" s="4" t="s">
        <v>16</v>
      </c>
      <c r="K79" s="81">
        <v>0.6</v>
      </c>
      <c r="L79" s="97"/>
      <c r="M79" s="13">
        <f>2608-2173</f>
        <v>435</v>
      </c>
      <c r="N79" s="13">
        <f>10661-9085</f>
        <v>1576</v>
      </c>
      <c r="O79" s="13">
        <f t="shared" si="0"/>
        <v>2011</v>
      </c>
    </row>
    <row r="80" spans="1:15" ht="29.25">
      <c r="A80" s="287" t="s">
        <v>11</v>
      </c>
      <c r="B80" s="61" t="s">
        <v>851</v>
      </c>
      <c r="C80" s="61" t="s">
        <v>1736</v>
      </c>
      <c r="D80" s="56"/>
      <c r="E80" s="56"/>
      <c r="F80" s="56" t="s">
        <v>243</v>
      </c>
      <c r="G80" s="56" t="s">
        <v>853</v>
      </c>
      <c r="H80" s="385" t="s">
        <v>943</v>
      </c>
      <c r="I80" s="56">
        <v>24714689</v>
      </c>
      <c r="J80" s="4" t="s">
        <v>16</v>
      </c>
      <c r="K80" s="81">
        <v>3.2</v>
      </c>
      <c r="L80" s="97"/>
      <c r="M80" s="13">
        <f>6467-6197</f>
        <v>270</v>
      </c>
      <c r="N80" s="13">
        <f>92822-88579</f>
        <v>4243</v>
      </c>
      <c r="O80" s="13">
        <f t="shared" si="0"/>
        <v>4513</v>
      </c>
    </row>
    <row r="81" spans="1:15" ht="29.25">
      <c r="A81" s="287" t="s">
        <v>11</v>
      </c>
      <c r="B81" s="61" t="s">
        <v>851</v>
      </c>
      <c r="C81" s="61" t="s">
        <v>944</v>
      </c>
      <c r="D81" s="56"/>
      <c r="E81" s="56" t="s">
        <v>878</v>
      </c>
      <c r="F81" s="56" t="s">
        <v>243</v>
      </c>
      <c r="G81" s="56" t="s">
        <v>853</v>
      </c>
      <c r="H81" s="385" t="s">
        <v>945</v>
      </c>
      <c r="I81" s="56">
        <v>41924</v>
      </c>
      <c r="J81" s="4" t="s">
        <v>16</v>
      </c>
      <c r="K81" s="81">
        <v>1.5</v>
      </c>
      <c r="L81" s="97"/>
      <c r="M81" s="13">
        <f>10736-8751</f>
        <v>1985</v>
      </c>
      <c r="N81" s="13">
        <f>33486-27833</f>
        <v>5653</v>
      </c>
      <c r="O81" s="13">
        <f t="shared" si="0"/>
        <v>7638</v>
      </c>
    </row>
    <row r="82" spans="1:15" ht="29.25">
      <c r="A82" s="287" t="s">
        <v>11</v>
      </c>
      <c r="B82" s="61" t="s">
        <v>851</v>
      </c>
      <c r="C82" s="61" t="s">
        <v>944</v>
      </c>
      <c r="D82" s="56"/>
      <c r="E82" s="56" t="s">
        <v>319</v>
      </c>
      <c r="F82" s="56" t="s">
        <v>243</v>
      </c>
      <c r="G82" s="56" t="s">
        <v>853</v>
      </c>
      <c r="H82" s="385" t="s">
        <v>946</v>
      </c>
      <c r="I82" s="56">
        <v>41901</v>
      </c>
      <c r="J82" s="4" t="s">
        <v>16</v>
      </c>
      <c r="K82" s="81">
        <v>0.5</v>
      </c>
      <c r="L82" s="97"/>
      <c r="M82" s="13">
        <f>4247-3433</f>
        <v>814</v>
      </c>
      <c r="N82" s="13">
        <f>12792-10791</f>
        <v>2001</v>
      </c>
      <c r="O82" s="13">
        <f aca="true" t="shared" si="1" ref="O82:O94">SUM(M82:N82)</f>
        <v>2815</v>
      </c>
    </row>
    <row r="83" spans="1:15" ht="29.25">
      <c r="A83" s="287" t="s">
        <v>11</v>
      </c>
      <c r="B83" s="61" t="s">
        <v>851</v>
      </c>
      <c r="C83" s="61" t="s">
        <v>947</v>
      </c>
      <c r="D83" s="56"/>
      <c r="E83" s="56"/>
      <c r="F83" s="56" t="s">
        <v>243</v>
      </c>
      <c r="G83" s="56" t="s">
        <v>853</v>
      </c>
      <c r="H83" s="385" t="s">
        <v>948</v>
      </c>
      <c r="I83" s="56">
        <v>127137</v>
      </c>
      <c r="J83" s="4" t="s">
        <v>16</v>
      </c>
      <c r="K83" s="81">
        <v>2.2</v>
      </c>
      <c r="L83" s="97"/>
      <c r="M83" s="13">
        <f>2670-1914</f>
        <v>756</v>
      </c>
      <c r="N83" s="13">
        <f>10721-7543</f>
        <v>3178</v>
      </c>
      <c r="O83" s="13">
        <f t="shared" si="1"/>
        <v>3934</v>
      </c>
    </row>
    <row r="84" spans="1:15" ht="29.25">
      <c r="A84" s="287" t="s">
        <v>11</v>
      </c>
      <c r="B84" s="61" t="s">
        <v>851</v>
      </c>
      <c r="C84" s="61" t="s">
        <v>949</v>
      </c>
      <c r="D84" s="56"/>
      <c r="E84" s="56" t="s">
        <v>686</v>
      </c>
      <c r="F84" s="56" t="s">
        <v>243</v>
      </c>
      <c r="G84" s="56" t="s">
        <v>853</v>
      </c>
      <c r="H84" s="385" t="s">
        <v>950</v>
      </c>
      <c r="I84" s="56">
        <v>41565</v>
      </c>
      <c r="J84" s="4" t="s">
        <v>16</v>
      </c>
      <c r="K84" s="81">
        <v>2.2</v>
      </c>
      <c r="L84" s="97"/>
      <c r="M84" s="13">
        <f>4753-3918</f>
        <v>835</v>
      </c>
      <c r="N84" s="13">
        <f>14264-11996</f>
        <v>2268</v>
      </c>
      <c r="O84" s="13">
        <f t="shared" si="1"/>
        <v>3103</v>
      </c>
    </row>
    <row r="85" spans="1:15" ht="29.25">
      <c r="A85" s="287" t="s">
        <v>11</v>
      </c>
      <c r="B85" s="61" t="s">
        <v>851</v>
      </c>
      <c r="C85" s="61" t="s">
        <v>949</v>
      </c>
      <c r="D85" s="56"/>
      <c r="E85" s="56" t="s">
        <v>319</v>
      </c>
      <c r="F85" s="56" t="s">
        <v>243</v>
      </c>
      <c r="G85" s="56" t="s">
        <v>853</v>
      </c>
      <c r="H85" s="385" t="s">
        <v>951</v>
      </c>
      <c r="I85" s="56">
        <v>110529</v>
      </c>
      <c r="J85" s="4" t="s">
        <v>16</v>
      </c>
      <c r="K85" s="81">
        <v>2.2</v>
      </c>
      <c r="L85" s="97"/>
      <c r="M85" s="13">
        <f>2379-1780</f>
        <v>599</v>
      </c>
      <c r="N85" s="13">
        <f>9907-7357</f>
        <v>2550</v>
      </c>
      <c r="O85" s="13">
        <f t="shared" si="1"/>
        <v>3149</v>
      </c>
    </row>
    <row r="86" spans="1:15" ht="29.25">
      <c r="A86" s="287" t="s">
        <v>11</v>
      </c>
      <c r="B86" s="61" t="s">
        <v>851</v>
      </c>
      <c r="C86" s="61" t="s">
        <v>952</v>
      </c>
      <c r="D86" s="56"/>
      <c r="E86" s="56">
        <v>3</v>
      </c>
      <c r="F86" s="56" t="s">
        <v>243</v>
      </c>
      <c r="G86" s="56" t="s">
        <v>853</v>
      </c>
      <c r="H86" s="385" t="s">
        <v>953</v>
      </c>
      <c r="I86" s="56">
        <v>39844</v>
      </c>
      <c r="J86" s="4" t="s">
        <v>16</v>
      </c>
      <c r="K86" s="81">
        <v>3.2</v>
      </c>
      <c r="L86" s="97"/>
      <c r="M86" s="13">
        <f>9096-8084</f>
        <v>1012</v>
      </c>
      <c r="N86" s="13">
        <f>37598-33552</f>
        <v>4046</v>
      </c>
      <c r="O86" s="13">
        <f t="shared" si="1"/>
        <v>5058</v>
      </c>
    </row>
    <row r="87" spans="1:15" ht="29.25">
      <c r="A87" s="287" t="s">
        <v>11</v>
      </c>
      <c r="B87" s="61" t="s">
        <v>851</v>
      </c>
      <c r="C87" s="61" t="s">
        <v>952</v>
      </c>
      <c r="D87" s="56"/>
      <c r="E87" s="56"/>
      <c r="F87" s="56" t="s">
        <v>243</v>
      </c>
      <c r="G87" s="56" t="s">
        <v>853</v>
      </c>
      <c r="H87" s="385" t="s">
        <v>954</v>
      </c>
      <c r="I87" s="56">
        <v>39845</v>
      </c>
      <c r="J87" s="4" t="s">
        <v>16</v>
      </c>
      <c r="K87" s="81">
        <v>6.6</v>
      </c>
      <c r="L87" s="97"/>
      <c r="M87" s="13">
        <f>6262-5363</f>
        <v>899</v>
      </c>
      <c r="N87" s="13">
        <f>25536-22093</f>
        <v>3443</v>
      </c>
      <c r="O87" s="13">
        <f t="shared" si="1"/>
        <v>4342</v>
      </c>
    </row>
    <row r="88" spans="1:15" ht="29.25">
      <c r="A88" s="287" t="s">
        <v>11</v>
      </c>
      <c r="B88" s="61" t="s">
        <v>851</v>
      </c>
      <c r="C88" s="61" t="s">
        <v>955</v>
      </c>
      <c r="D88" s="56"/>
      <c r="E88" s="56"/>
      <c r="F88" s="56" t="s">
        <v>243</v>
      </c>
      <c r="G88" s="56" t="s">
        <v>853</v>
      </c>
      <c r="H88" s="385" t="s">
        <v>956</v>
      </c>
      <c r="I88" s="56">
        <v>109316</v>
      </c>
      <c r="J88" s="4" t="s">
        <v>16</v>
      </c>
      <c r="K88" s="81">
        <v>2.2</v>
      </c>
      <c r="L88" s="97"/>
      <c r="M88" s="13">
        <f>1826-1019</f>
        <v>807</v>
      </c>
      <c r="N88" s="13">
        <f>8098-4451</f>
        <v>3647</v>
      </c>
      <c r="O88" s="13">
        <f t="shared" si="1"/>
        <v>4454</v>
      </c>
    </row>
    <row r="89" spans="1:15" ht="29.25">
      <c r="A89" s="287" t="s">
        <v>11</v>
      </c>
      <c r="B89" s="61" t="s">
        <v>851</v>
      </c>
      <c r="C89" s="61" t="s">
        <v>957</v>
      </c>
      <c r="D89" s="56"/>
      <c r="E89" s="56"/>
      <c r="F89" s="56" t="s">
        <v>243</v>
      </c>
      <c r="G89" s="56" t="s">
        <v>853</v>
      </c>
      <c r="H89" s="385" t="s">
        <v>958</v>
      </c>
      <c r="I89" s="56">
        <v>41331</v>
      </c>
      <c r="J89" s="4" t="s">
        <v>16</v>
      </c>
      <c r="K89" s="81">
        <v>2.2</v>
      </c>
      <c r="L89" s="97"/>
      <c r="M89" s="13">
        <f>4331-3745</f>
        <v>586</v>
      </c>
      <c r="N89" s="13">
        <f>6550-4544</f>
        <v>2006</v>
      </c>
      <c r="O89" s="13">
        <f t="shared" si="1"/>
        <v>2592</v>
      </c>
    </row>
    <row r="90" spans="1:15" ht="29.25">
      <c r="A90" s="287" t="s">
        <v>11</v>
      </c>
      <c r="B90" s="61" t="s">
        <v>851</v>
      </c>
      <c r="C90" s="61" t="s">
        <v>959</v>
      </c>
      <c r="D90" s="56" t="s">
        <v>421</v>
      </c>
      <c r="E90" s="56"/>
      <c r="F90" s="56" t="s">
        <v>243</v>
      </c>
      <c r="G90" s="56" t="s">
        <v>853</v>
      </c>
      <c r="H90" s="385" t="s">
        <v>960</v>
      </c>
      <c r="I90" s="56">
        <v>43074</v>
      </c>
      <c r="J90" s="4" t="s">
        <v>16</v>
      </c>
      <c r="K90" s="81">
        <v>0.3</v>
      </c>
      <c r="L90" s="97"/>
      <c r="M90" s="13">
        <f>940-764</f>
        <v>176</v>
      </c>
      <c r="N90" s="13">
        <f>3007-2433</f>
        <v>574</v>
      </c>
      <c r="O90" s="13">
        <f t="shared" si="1"/>
        <v>750</v>
      </c>
    </row>
    <row r="91" spans="1:15" s="21" customFormat="1" ht="29.25">
      <c r="A91" s="287" t="s">
        <v>11</v>
      </c>
      <c r="B91" s="32" t="s">
        <v>851</v>
      </c>
      <c r="C91" s="32" t="s">
        <v>853</v>
      </c>
      <c r="D91" s="50" t="s">
        <v>961</v>
      </c>
      <c r="E91" s="50"/>
      <c r="F91" s="50" t="s">
        <v>243</v>
      </c>
      <c r="G91" s="50" t="s">
        <v>853</v>
      </c>
      <c r="H91" s="386" t="s">
        <v>1324</v>
      </c>
      <c r="I91" s="50">
        <v>103119</v>
      </c>
      <c r="J91" s="380" t="s">
        <v>16</v>
      </c>
      <c r="K91" s="381">
        <v>0.7</v>
      </c>
      <c r="L91" s="97"/>
      <c r="M91" s="164">
        <f>6908-6574</f>
        <v>334</v>
      </c>
      <c r="N91" s="164">
        <f>5007-3636</f>
        <v>1371</v>
      </c>
      <c r="O91" s="13">
        <f t="shared" si="1"/>
        <v>1705</v>
      </c>
    </row>
    <row r="92" spans="1:15" s="21" customFormat="1" ht="29.25">
      <c r="A92" s="287" t="s">
        <v>11</v>
      </c>
      <c r="B92" s="61" t="s">
        <v>851</v>
      </c>
      <c r="C92" s="27" t="s">
        <v>911</v>
      </c>
      <c r="D92" s="47"/>
      <c r="E92" s="47"/>
      <c r="F92" s="56" t="s">
        <v>243</v>
      </c>
      <c r="G92" s="56" t="s">
        <v>853</v>
      </c>
      <c r="H92" s="386" t="s">
        <v>1767</v>
      </c>
      <c r="I92" s="47">
        <v>103719</v>
      </c>
      <c r="J92" s="4" t="s">
        <v>16</v>
      </c>
      <c r="K92" s="108">
        <v>0.5</v>
      </c>
      <c r="L92" s="97"/>
      <c r="M92" s="30">
        <f>434-329</f>
        <v>105</v>
      </c>
      <c r="N92" s="30">
        <f>903-443</f>
        <v>460</v>
      </c>
      <c r="O92" s="13">
        <f t="shared" si="1"/>
        <v>565</v>
      </c>
    </row>
    <row r="93" spans="1:15" s="21" customFormat="1" ht="29.25">
      <c r="A93" s="287" t="s">
        <v>11</v>
      </c>
      <c r="B93" s="32" t="s">
        <v>851</v>
      </c>
      <c r="C93" s="32" t="s">
        <v>1768</v>
      </c>
      <c r="D93" s="50"/>
      <c r="E93" s="47"/>
      <c r="F93" s="47" t="s">
        <v>243</v>
      </c>
      <c r="G93" s="47" t="s">
        <v>853</v>
      </c>
      <c r="H93" s="385" t="s">
        <v>1769</v>
      </c>
      <c r="I93" s="47">
        <v>45865</v>
      </c>
      <c r="J93" s="74" t="s">
        <v>16</v>
      </c>
      <c r="K93" s="108">
        <v>0.1</v>
      </c>
      <c r="L93" s="97"/>
      <c r="M93" s="30">
        <f>2779-2705</f>
        <v>74</v>
      </c>
      <c r="N93" s="30">
        <f>1451-1191</f>
        <v>260</v>
      </c>
      <c r="O93" s="13">
        <f t="shared" si="1"/>
        <v>334</v>
      </c>
    </row>
    <row r="94" spans="1:15" s="21" customFormat="1" ht="30" thickBot="1">
      <c r="A94" s="287" t="s">
        <v>11</v>
      </c>
      <c r="B94" s="32" t="s">
        <v>851</v>
      </c>
      <c r="C94" s="32" t="s">
        <v>883</v>
      </c>
      <c r="D94" s="50"/>
      <c r="E94" s="47"/>
      <c r="F94" s="50" t="s">
        <v>243</v>
      </c>
      <c r="G94" s="50" t="s">
        <v>853</v>
      </c>
      <c r="H94" s="386" t="s">
        <v>1771</v>
      </c>
      <c r="I94" s="47">
        <v>1494754</v>
      </c>
      <c r="J94" s="74" t="s">
        <v>16</v>
      </c>
      <c r="K94" s="108">
        <v>1</v>
      </c>
      <c r="L94" s="46"/>
      <c r="M94" s="30">
        <v>500</v>
      </c>
      <c r="N94" s="30">
        <v>1000</v>
      </c>
      <c r="O94" s="472">
        <f t="shared" si="1"/>
        <v>1500</v>
      </c>
    </row>
    <row r="95" spans="2:15" ht="24.75" customHeight="1">
      <c r="B95" s="570" t="s">
        <v>155</v>
      </c>
      <c r="C95" s="298" t="s">
        <v>1406</v>
      </c>
      <c r="D95" s="67"/>
      <c r="F95" s="611" t="s">
        <v>1998</v>
      </c>
      <c r="G95" s="612" t="s">
        <v>2007</v>
      </c>
      <c r="H95" s="502"/>
      <c r="N95" s="54" t="s">
        <v>156</v>
      </c>
      <c r="O95" s="358">
        <f>SUM(O18:O94)</f>
        <v>294400</v>
      </c>
    </row>
    <row r="96" spans="2:8" ht="15">
      <c r="B96" s="282"/>
      <c r="C96" s="77" t="s">
        <v>1407</v>
      </c>
      <c r="D96" s="70"/>
      <c r="F96" s="37"/>
      <c r="G96" s="613" t="s">
        <v>1407</v>
      </c>
      <c r="H96" s="493"/>
    </row>
    <row r="97" spans="2:15" ht="15.75" thickBot="1">
      <c r="B97" s="282"/>
      <c r="C97" s="311" t="s">
        <v>962</v>
      </c>
      <c r="D97" s="70"/>
      <c r="F97" s="40"/>
      <c r="G97" s="662" t="s">
        <v>962</v>
      </c>
      <c r="H97" s="494"/>
      <c r="I97" s="31"/>
      <c r="J97" s="88"/>
      <c r="K97" s="265"/>
      <c r="L97" s="31"/>
      <c r="M97" s="156"/>
      <c r="N97" s="156"/>
      <c r="O97" s="156"/>
    </row>
    <row r="98" spans="2:15" ht="15">
      <c r="B98" s="282" t="s">
        <v>1689</v>
      </c>
      <c r="C98" s="588" t="s">
        <v>2014</v>
      </c>
      <c r="D98" s="70"/>
      <c r="I98" s="31"/>
      <c r="J98" s="88"/>
      <c r="K98" s="265"/>
      <c r="L98" s="241" t="s">
        <v>160</v>
      </c>
      <c r="M98" s="156">
        <f>O95</f>
        <v>294400</v>
      </c>
      <c r="N98" s="156"/>
      <c r="O98" s="156"/>
    </row>
    <row r="99" spans="2:15" ht="15.75" thickBot="1">
      <c r="B99" s="240" t="s">
        <v>1693</v>
      </c>
      <c r="C99" s="71" t="s">
        <v>1735</v>
      </c>
      <c r="D99" s="214"/>
      <c r="I99" s="31"/>
      <c r="J99" s="88"/>
      <c r="K99" s="265"/>
      <c r="L99" s="31"/>
      <c r="M99" s="156"/>
      <c r="N99" s="156"/>
      <c r="O99" s="156"/>
    </row>
    <row r="100" spans="9:15" ht="44.25" customHeight="1">
      <c r="I100" s="31"/>
      <c r="J100" s="88"/>
      <c r="K100" s="737" t="s">
        <v>157</v>
      </c>
      <c r="L100" s="702" t="s">
        <v>1034</v>
      </c>
      <c r="M100" s="703"/>
      <c r="N100" s="704"/>
      <c r="O100" s="713" t="s">
        <v>158</v>
      </c>
    </row>
    <row r="101" spans="9:15" ht="21.75" customHeight="1" thickBot="1">
      <c r="I101" s="31"/>
      <c r="J101" s="88"/>
      <c r="K101" s="738"/>
      <c r="L101" s="130" t="s">
        <v>159</v>
      </c>
      <c r="M101" s="130" t="s">
        <v>1035</v>
      </c>
      <c r="N101" s="130" t="s">
        <v>1036</v>
      </c>
      <c r="O101" s="714"/>
    </row>
    <row r="102" spans="9:15" ht="15" thickBot="1">
      <c r="I102" s="31"/>
      <c r="J102" s="88"/>
      <c r="K102" s="56" t="s">
        <v>16</v>
      </c>
      <c r="L102" s="58"/>
      <c r="M102" s="14">
        <f>SUM(M18:M94)</f>
        <v>67928</v>
      </c>
      <c r="N102" s="14">
        <f>SUM(N18:N94)</f>
        <v>226472</v>
      </c>
      <c r="O102" s="14">
        <v>77</v>
      </c>
    </row>
    <row r="103" spans="9:15" ht="15" thickBot="1">
      <c r="I103" s="31"/>
      <c r="J103" s="88"/>
      <c r="K103" s="348" t="s">
        <v>160</v>
      </c>
      <c r="L103" s="135">
        <f>SUM(L102:L102)</f>
        <v>0</v>
      </c>
      <c r="M103" s="18">
        <f>SUM(M102:M102)</f>
        <v>67928</v>
      </c>
      <c r="N103" s="15">
        <f>SUM(N102:N102)</f>
        <v>226472</v>
      </c>
      <c r="O103" s="439">
        <f>SUM(O102:O102)</f>
        <v>77</v>
      </c>
    </row>
    <row r="104" spans="9:13" ht="18.75" thickBot="1">
      <c r="I104" s="31"/>
      <c r="J104" s="31"/>
      <c r="K104"/>
      <c r="L104" s="20" t="s">
        <v>161</v>
      </c>
      <c r="M104" s="346">
        <f>SUM(L103:N103)</f>
        <v>294400</v>
      </c>
    </row>
    <row r="105" spans="9:15" ht="14.25">
      <c r="I105" s="31"/>
      <c r="J105" s="31"/>
      <c r="K105" s="265"/>
      <c r="L105" s="31"/>
      <c r="M105" s="156"/>
      <c r="N105" s="156"/>
      <c r="O105" s="156"/>
    </row>
    <row r="106" spans="9:15" ht="14.25">
      <c r="I106" s="31"/>
      <c r="J106" s="31"/>
      <c r="K106" s="265"/>
      <c r="L106" s="31"/>
      <c r="M106" s="156"/>
      <c r="N106" s="156"/>
      <c r="O106" s="156"/>
    </row>
    <row r="107" ht="14.25">
      <c r="J107"/>
    </row>
    <row r="108" ht="14.25">
      <c r="J108"/>
    </row>
  </sheetData>
  <sheetProtection/>
  <mergeCells count="19">
    <mergeCell ref="B3:I3"/>
    <mergeCell ref="B5:I5"/>
    <mergeCell ref="L16:O16"/>
    <mergeCell ref="H15:H17"/>
    <mergeCell ref="B1:K1"/>
    <mergeCell ref="O100:O101"/>
    <mergeCell ref="J15:J17"/>
    <mergeCell ref="K15:K17"/>
    <mergeCell ref="L15:O15"/>
    <mergeCell ref="E15:E17"/>
    <mergeCell ref="I15:I17"/>
    <mergeCell ref="K100:K101"/>
    <mergeCell ref="L100:N100"/>
    <mergeCell ref="A15:A17"/>
    <mergeCell ref="B15:B17"/>
    <mergeCell ref="C15:C17"/>
    <mergeCell ref="D15:D17"/>
    <mergeCell ref="F15:F17"/>
    <mergeCell ref="G15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7"/>
  <sheetViews>
    <sheetView zoomScale="80" zoomScaleNormal="80" zoomScalePageLayoutView="0" workbookViewId="0" topLeftCell="A73">
      <selection activeCell="C92" sqref="C92"/>
    </sheetView>
  </sheetViews>
  <sheetFormatPr defaultColWidth="8.796875" defaultRowHeight="14.25"/>
  <cols>
    <col min="1" max="1" width="13.09765625" style="0" customWidth="1"/>
    <col min="2" max="2" width="14" style="0" customWidth="1"/>
    <col min="3" max="3" width="13.19921875" style="0" customWidth="1"/>
    <col min="7" max="7" width="11.59765625" style="0" customWidth="1"/>
    <col min="8" max="8" width="28.59765625" style="0" customWidth="1"/>
    <col min="9" max="9" width="17.19921875" style="0" customWidth="1"/>
    <col min="10" max="10" width="12.8984375" style="0" customWidth="1"/>
    <col min="11" max="11" width="14.5" style="0" customWidth="1"/>
    <col min="12" max="12" width="13.8984375" style="0" customWidth="1"/>
    <col min="13" max="13" width="14.3984375" style="0" customWidth="1"/>
    <col min="14" max="14" width="19.09765625" style="0" customWidth="1"/>
    <col min="15" max="15" width="16.3984375" style="0" customWidth="1"/>
    <col min="16" max="16" width="12.69921875" style="0" customWidth="1"/>
    <col min="17" max="17" width="14.5" style="0" customWidth="1"/>
    <col min="18" max="19" width="14" style="0" customWidth="1"/>
    <col min="20" max="21" width="22.19921875" style="0" customWidth="1"/>
  </cols>
  <sheetData>
    <row r="1" spans="2:11" ht="27" customHeight="1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1" ht="15">
      <c r="B2" s="222"/>
      <c r="C2" s="222"/>
      <c r="D2" s="222"/>
      <c r="E2" s="222"/>
      <c r="F2" s="222"/>
      <c r="G2" s="222"/>
      <c r="H2" s="224"/>
      <c r="I2" s="222"/>
      <c r="J2" s="222"/>
      <c r="K2" s="222"/>
    </row>
    <row r="3" spans="2:11" ht="27" customHeight="1">
      <c r="B3" s="715" t="s">
        <v>1048</v>
      </c>
      <c r="C3" s="716"/>
      <c r="D3" s="716"/>
      <c r="E3" s="716"/>
      <c r="F3" s="716"/>
      <c r="G3" s="716"/>
      <c r="H3" s="716"/>
      <c r="I3" s="717"/>
      <c r="J3" s="222"/>
      <c r="K3" s="222"/>
    </row>
    <row r="4" spans="2:11" ht="15">
      <c r="B4" s="223"/>
      <c r="C4" s="223"/>
      <c r="D4" s="223"/>
      <c r="E4" s="223"/>
      <c r="F4" s="223"/>
      <c r="G4" s="223"/>
      <c r="H4" s="224"/>
      <c r="I4" s="222"/>
      <c r="J4" s="222"/>
      <c r="K4" s="222"/>
    </row>
    <row r="5" spans="2:11" ht="15">
      <c r="B5" s="679" t="s">
        <v>1029</v>
      </c>
      <c r="C5" s="679"/>
      <c r="D5" s="679"/>
      <c r="E5" s="679"/>
      <c r="F5" s="679"/>
      <c r="G5" s="679"/>
      <c r="H5" s="679"/>
      <c r="I5" s="679"/>
      <c r="J5" s="222"/>
      <c r="K5" s="222"/>
    </row>
    <row r="6" spans="2:11" ht="15">
      <c r="B6" s="223"/>
      <c r="C6" s="223"/>
      <c r="D6" s="223"/>
      <c r="E6" s="223"/>
      <c r="F6" s="223"/>
      <c r="G6" s="223"/>
      <c r="H6" s="224"/>
      <c r="I6" s="222"/>
      <c r="J6" s="222"/>
      <c r="K6" s="222"/>
    </row>
    <row r="7" spans="2:11" ht="15.75">
      <c r="B7" s="225" t="s">
        <v>967</v>
      </c>
      <c r="C7" s="222"/>
      <c r="D7" s="223"/>
      <c r="E7" s="223"/>
      <c r="F7" s="223"/>
      <c r="G7" s="222"/>
      <c r="H7" s="224"/>
      <c r="I7" s="222"/>
      <c r="J7" s="222"/>
      <c r="K7" s="222"/>
    </row>
    <row r="8" spans="2:11" ht="15">
      <c r="B8" s="528" t="s">
        <v>1986</v>
      </c>
      <c r="C8" s="222"/>
      <c r="D8" s="223"/>
      <c r="E8" s="223"/>
      <c r="F8" s="223"/>
      <c r="G8" s="222"/>
      <c r="H8" s="224"/>
      <c r="I8" s="222"/>
      <c r="J8" s="222"/>
      <c r="K8" s="222"/>
    </row>
    <row r="9" spans="2:11" ht="15.75">
      <c r="B9" s="226" t="s">
        <v>1828</v>
      </c>
      <c r="C9" s="222"/>
      <c r="D9" s="227"/>
      <c r="E9" s="223"/>
      <c r="F9" s="223"/>
      <c r="G9" s="222"/>
      <c r="H9" s="224"/>
      <c r="I9" s="222"/>
      <c r="J9" s="222"/>
      <c r="K9" s="222"/>
    </row>
    <row r="10" spans="2:11" ht="15.75">
      <c r="B10" s="226" t="s">
        <v>1681</v>
      </c>
      <c r="C10" s="222"/>
      <c r="D10" s="227"/>
      <c r="E10" s="223"/>
      <c r="F10" s="223"/>
      <c r="G10" s="222"/>
      <c r="H10" s="224"/>
      <c r="I10" s="222"/>
      <c r="J10" s="222"/>
      <c r="K10" s="222"/>
    </row>
    <row r="11" spans="2:11" ht="15">
      <c r="B11" s="222" t="s">
        <v>1047</v>
      </c>
      <c r="C11" s="222"/>
      <c r="D11" s="222"/>
      <c r="E11" s="222"/>
      <c r="F11" s="222"/>
      <c r="G11" s="222"/>
      <c r="H11" s="224"/>
      <c r="I11" s="222"/>
      <c r="J11" s="222"/>
      <c r="K11" s="222"/>
    </row>
    <row r="12" spans="2:11" ht="15.75">
      <c r="B12" s="228" t="s">
        <v>1030</v>
      </c>
      <c r="C12" s="229" t="s">
        <v>1031</v>
      </c>
      <c r="D12" s="227"/>
      <c r="E12" s="227"/>
      <c r="F12" s="227"/>
      <c r="G12" s="227"/>
      <c r="H12" s="222"/>
      <c r="I12" s="222"/>
      <c r="J12" s="222"/>
      <c r="K12" s="222"/>
    </row>
    <row r="13" spans="2:11" ht="15.75">
      <c r="B13" s="228" t="s">
        <v>1032</v>
      </c>
      <c r="C13" s="225" t="s">
        <v>1033</v>
      </c>
      <c r="D13" s="227"/>
      <c r="E13" s="227"/>
      <c r="F13" s="227"/>
      <c r="G13" s="227"/>
      <c r="H13" s="222"/>
      <c r="I13" s="222"/>
      <c r="J13" s="222"/>
      <c r="K13" s="222"/>
    </row>
    <row r="14" spans="2:9" ht="21" thickBot="1">
      <c r="B14" s="128"/>
      <c r="C14" s="115"/>
      <c r="D14" s="31"/>
      <c r="E14" s="31"/>
      <c r="F14" s="31"/>
      <c r="G14" s="31"/>
      <c r="H14" s="116"/>
      <c r="I14" s="116"/>
    </row>
    <row r="15" spans="1:15" ht="51.7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9.5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30.7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526" t="s">
        <v>10</v>
      </c>
    </row>
    <row r="18" spans="1:17" ht="28.5">
      <c r="A18" s="277" t="s">
        <v>11</v>
      </c>
      <c r="B18" s="140" t="s">
        <v>12</v>
      </c>
      <c r="C18" s="141" t="s">
        <v>970</v>
      </c>
      <c r="D18" s="53"/>
      <c r="E18" s="142"/>
      <c r="F18" s="142" t="s">
        <v>969</v>
      </c>
      <c r="G18" s="142" t="s">
        <v>968</v>
      </c>
      <c r="H18" s="415" t="s">
        <v>1349</v>
      </c>
      <c r="I18" s="140">
        <v>1001372</v>
      </c>
      <c r="J18" s="142" t="s">
        <v>16</v>
      </c>
      <c r="K18" s="143">
        <v>0.5</v>
      </c>
      <c r="L18" s="440"/>
      <c r="M18" s="441">
        <f>2609-2101</f>
        <v>508</v>
      </c>
      <c r="N18" s="441">
        <f>10855-8833</f>
        <v>2022</v>
      </c>
      <c r="O18" s="120">
        <f>M18+N18</f>
        <v>2530</v>
      </c>
      <c r="P18" s="2"/>
      <c r="Q18" s="2"/>
    </row>
    <row r="19" spans="1:17" ht="28.5">
      <c r="A19" s="277" t="s">
        <v>11</v>
      </c>
      <c r="B19" s="61" t="s">
        <v>12</v>
      </c>
      <c r="C19" s="139" t="s">
        <v>970</v>
      </c>
      <c r="D19" s="56"/>
      <c r="E19" s="117"/>
      <c r="F19" s="117" t="s">
        <v>969</v>
      </c>
      <c r="G19" s="117" t="s">
        <v>968</v>
      </c>
      <c r="H19" s="416" t="s">
        <v>1350</v>
      </c>
      <c r="I19" s="61">
        <v>103006</v>
      </c>
      <c r="J19" s="117" t="s">
        <v>16</v>
      </c>
      <c r="K19" s="118">
        <v>0.7</v>
      </c>
      <c r="L19" s="119"/>
      <c r="M19" s="120">
        <f>2359-1795</f>
        <v>564</v>
      </c>
      <c r="N19" s="120">
        <f>10534-7940</f>
        <v>2594</v>
      </c>
      <c r="O19" s="120">
        <f aca="true" t="shared" si="0" ref="O19:O62">M19+N19</f>
        <v>3158</v>
      </c>
      <c r="P19" s="2"/>
      <c r="Q19" s="2"/>
    </row>
    <row r="20" spans="1:17" ht="28.5">
      <c r="A20" s="277" t="s">
        <v>11</v>
      </c>
      <c r="B20" s="61" t="s">
        <v>12</v>
      </c>
      <c r="C20" s="139" t="s">
        <v>971</v>
      </c>
      <c r="D20" s="56"/>
      <c r="E20" s="117"/>
      <c r="F20" s="117" t="s">
        <v>969</v>
      </c>
      <c r="G20" s="117" t="s">
        <v>968</v>
      </c>
      <c r="H20" s="415" t="s">
        <v>1351</v>
      </c>
      <c r="I20" s="61">
        <v>108448</v>
      </c>
      <c r="J20" s="117" t="s">
        <v>16</v>
      </c>
      <c r="K20" s="118">
        <v>0.7</v>
      </c>
      <c r="L20" s="144"/>
      <c r="M20" s="120">
        <f>2488-1860</f>
        <v>628</v>
      </c>
      <c r="N20" s="120">
        <f>9816-7317</f>
        <v>2499</v>
      </c>
      <c r="O20" s="120">
        <f t="shared" si="0"/>
        <v>3127</v>
      </c>
      <c r="P20" s="2"/>
      <c r="Q20" s="2"/>
    </row>
    <row r="21" spans="1:17" ht="28.5">
      <c r="A21" s="277" t="s">
        <v>11</v>
      </c>
      <c r="B21" s="61" t="s">
        <v>12</v>
      </c>
      <c r="C21" s="139" t="s">
        <v>971</v>
      </c>
      <c r="D21" s="56"/>
      <c r="E21" s="117"/>
      <c r="F21" s="117" t="s">
        <v>969</v>
      </c>
      <c r="G21" s="117" t="s">
        <v>968</v>
      </c>
      <c r="H21" s="416" t="s">
        <v>1352</v>
      </c>
      <c r="I21" s="61">
        <v>101527</v>
      </c>
      <c r="J21" s="117" t="s">
        <v>16</v>
      </c>
      <c r="K21" s="118">
        <v>0.7</v>
      </c>
      <c r="L21" s="119"/>
      <c r="M21" s="120">
        <f>2355-1723</f>
        <v>632</v>
      </c>
      <c r="N21" s="120">
        <f>10407-7816</f>
        <v>2591</v>
      </c>
      <c r="O21" s="120">
        <f t="shared" si="0"/>
        <v>3223</v>
      </c>
      <c r="P21" s="2"/>
      <c r="Q21" s="2"/>
    </row>
    <row r="22" spans="1:17" ht="28.5">
      <c r="A22" s="277" t="s">
        <v>11</v>
      </c>
      <c r="B22" s="61" t="s">
        <v>12</v>
      </c>
      <c r="C22" s="139" t="s">
        <v>972</v>
      </c>
      <c r="D22" s="56"/>
      <c r="E22" s="117"/>
      <c r="F22" s="117" t="s">
        <v>969</v>
      </c>
      <c r="G22" s="117" t="s">
        <v>968</v>
      </c>
      <c r="H22" s="415" t="s">
        <v>1353</v>
      </c>
      <c r="I22" s="61">
        <v>102566</v>
      </c>
      <c r="J22" s="117" t="s">
        <v>16</v>
      </c>
      <c r="K22" s="118">
        <v>1.3</v>
      </c>
      <c r="L22" s="144"/>
      <c r="M22" s="120">
        <f>6058-4519</f>
        <v>1539</v>
      </c>
      <c r="N22" s="120">
        <f>26197-19773</f>
        <v>6424</v>
      </c>
      <c r="O22" s="120">
        <f t="shared" si="0"/>
        <v>7963</v>
      </c>
      <c r="P22" s="2"/>
      <c r="Q22" s="2"/>
    </row>
    <row r="23" spans="1:17" ht="28.5">
      <c r="A23" s="277" t="s">
        <v>11</v>
      </c>
      <c r="B23" s="61" t="s">
        <v>12</v>
      </c>
      <c r="C23" s="139" t="s">
        <v>972</v>
      </c>
      <c r="D23" s="56"/>
      <c r="E23" s="117"/>
      <c r="F23" s="117" t="s">
        <v>969</v>
      </c>
      <c r="G23" s="117" t="s">
        <v>968</v>
      </c>
      <c r="H23" s="416" t="s">
        <v>1354</v>
      </c>
      <c r="I23" s="61">
        <v>41357</v>
      </c>
      <c r="J23" s="117" t="s">
        <v>16</v>
      </c>
      <c r="K23" s="118">
        <v>1.8</v>
      </c>
      <c r="L23" s="119"/>
      <c r="M23" s="120">
        <f>12294-10175</f>
        <v>2119</v>
      </c>
      <c r="N23" s="120">
        <f>36868-31053</f>
        <v>5815</v>
      </c>
      <c r="O23" s="120">
        <f t="shared" si="0"/>
        <v>7934</v>
      </c>
      <c r="P23" s="2"/>
      <c r="Q23" s="2"/>
    </row>
    <row r="24" spans="1:17" ht="28.5">
      <c r="A24" s="277" t="s">
        <v>11</v>
      </c>
      <c r="B24" s="61" t="s">
        <v>12</v>
      </c>
      <c r="C24" s="139" t="s">
        <v>973</v>
      </c>
      <c r="D24" s="56"/>
      <c r="E24" s="117"/>
      <c r="F24" s="117" t="s">
        <v>969</v>
      </c>
      <c r="G24" s="117" t="s">
        <v>968</v>
      </c>
      <c r="H24" s="415" t="s">
        <v>1355</v>
      </c>
      <c r="I24" s="61">
        <v>41354</v>
      </c>
      <c r="J24" s="117" t="s">
        <v>16</v>
      </c>
      <c r="K24" s="118">
        <v>1.3</v>
      </c>
      <c r="L24" s="144"/>
      <c r="M24" s="120">
        <f>8491-6953</f>
        <v>1538</v>
      </c>
      <c r="N24" s="120">
        <f>26267-21859</f>
        <v>4408</v>
      </c>
      <c r="O24" s="120">
        <f t="shared" si="0"/>
        <v>5946</v>
      </c>
      <c r="P24" s="2"/>
      <c r="Q24" s="2"/>
    </row>
    <row r="25" spans="1:17" ht="28.5">
      <c r="A25" s="277" t="s">
        <v>11</v>
      </c>
      <c r="B25" s="61" t="s">
        <v>12</v>
      </c>
      <c r="C25" s="139" t="s">
        <v>974</v>
      </c>
      <c r="D25" s="56"/>
      <c r="E25" s="117"/>
      <c r="F25" s="117" t="s">
        <v>969</v>
      </c>
      <c r="G25" s="117" t="s">
        <v>968</v>
      </c>
      <c r="H25" s="416" t="s">
        <v>1387</v>
      </c>
      <c r="I25" s="61">
        <v>101825</v>
      </c>
      <c r="J25" s="117" t="s">
        <v>16</v>
      </c>
      <c r="K25" s="118">
        <v>1.4</v>
      </c>
      <c r="L25" s="119"/>
      <c r="M25" s="120">
        <f>4366-3358</f>
        <v>1008</v>
      </c>
      <c r="N25" s="120">
        <f>19111-14778</f>
        <v>4333</v>
      </c>
      <c r="O25" s="120">
        <f t="shared" si="0"/>
        <v>5341</v>
      </c>
      <c r="P25" s="2"/>
      <c r="Q25" s="2"/>
    </row>
    <row r="26" spans="1:17" ht="28.5">
      <c r="A26" s="277" t="s">
        <v>11</v>
      </c>
      <c r="B26" s="61" t="s">
        <v>12</v>
      </c>
      <c r="C26" s="139" t="s">
        <v>974</v>
      </c>
      <c r="D26" s="56"/>
      <c r="E26" s="117" t="s">
        <v>878</v>
      </c>
      <c r="F26" s="117" t="s">
        <v>969</v>
      </c>
      <c r="G26" s="117" t="s">
        <v>968</v>
      </c>
      <c r="H26" s="415" t="s">
        <v>1388</v>
      </c>
      <c r="I26" s="61">
        <v>101524</v>
      </c>
      <c r="J26" s="117" t="s">
        <v>16</v>
      </c>
      <c r="K26" s="118">
        <v>1.3</v>
      </c>
      <c r="L26" s="144"/>
      <c r="M26" s="120">
        <f>4822-3688</f>
        <v>1134</v>
      </c>
      <c r="N26" s="120">
        <f>20372-15493</f>
        <v>4879</v>
      </c>
      <c r="O26" s="120">
        <f t="shared" si="0"/>
        <v>6013</v>
      </c>
      <c r="P26" s="2"/>
      <c r="Q26" s="2"/>
    </row>
    <row r="27" spans="1:17" ht="28.5">
      <c r="A27" s="277" t="s">
        <v>11</v>
      </c>
      <c r="B27" s="61" t="s">
        <v>12</v>
      </c>
      <c r="C27" s="139" t="s">
        <v>974</v>
      </c>
      <c r="D27" s="56"/>
      <c r="E27" s="117"/>
      <c r="F27" s="117" t="s">
        <v>969</v>
      </c>
      <c r="G27" s="117" t="s">
        <v>968</v>
      </c>
      <c r="H27" s="416" t="s">
        <v>1389</v>
      </c>
      <c r="I27" s="61">
        <v>103003</v>
      </c>
      <c r="J27" s="117" t="s">
        <v>16</v>
      </c>
      <c r="K27" s="118">
        <v>1</v>
      </c>
      <c r="L27" s="119"/>
      <c r="M27" s="120">
        <f>3241-2529</f>
        <v>712</v>
      </c>
      <c r="N27" s="120">
        <f>13660-10465</f>
        <v>3195</v>
      </c>
      <c r="O27" s="120">
        <f t="shared" si="0"/>
        <v>3907</v>
      </c>
      <c r="P27" s="2"/>
      <c r="Q27" s="2"/>
    </row>
    <row r="28" spans="1:17" ht="28.5">
      <c r="A28" s="277" t="s">
        <v>11</v>
      </c>
      <c r="B28" s="61" t="s">
        <v>12</v>
      </c>
      <c r="C28" s="139" t="s">
        <v>975</v>
      </c>
      <c r="D28" s="56"/>
      <c r="E28" s="117"/>
      <c r="F28" s="117" t="s">
        <v>969</v>
      </c>
      <c r="G28" s="117" t="s">
        <v>968</v>
      </c>
      <c r="H28" s="415" t="s">
        <v>1390</v>
      </c>
      <c r="I28" s="61">
        <v>103001</v>
      </c>
      <c r="J28" s="117" t="s">
        <v>16</v>
      </c>
      <c r="K28" s="118">
        <v>0.3</v>
      </c>
      <c r="L28" s="144"/>
      <c r="M28" s="120">
        <f>1272-960</f>
        <v>312</v>
      </c>
      <c r="N28" s="120">
        <f>5108-3974</f>
        <v>1134</v>
      </c>
      <c r="O28" s="120">
        <f t="shared" si="0"/>
        <v>1446</v>
      </c>
      <c r="P28" s="2"/>
      <c r="Q28" s="2"/>
    </row>
    <row r="29" spans="1:17" ht="28.5">
      <c r="A29" s="277" t="s">
        <v>11</v>
      </c>
      <c r="B29" s="61" t="s">
        <v>12</v>
      </c>
      <c r="C29" s="139" t="s">
        <v>976</v>
      </c>
      <c r="D29" s="56"/>
      <c r="E29" s="117"/>
      <c r="F29" s="117" t="s">
        <v>969</v>
      </c>
      <c r="G29" s="117" t="s">
        <v>968</v>
      </c>
      <c r="H29" s="416" t="s">
        <v>1391</v>
      </c>
      <c r="I29" s="61">
        <v>41670</v>
      </c>
      <c r="J29" s="117" t="s">
        <v>16</v>
      </c>
      <c r="K29" s="118">
        <v>0.4</v>
      </c>
      <c r="L29" s="119"/>
      <c r="M29" s="120">
        <f>3409-2844</f>
        <v>565</v>
      </c>
      <c r="N29" s="120">
        <f>10390-8596</f>
        <v>1794</v>
      </c>
      <c r="O29" s="120">
        <f t="shared" si="0"/>
        <v>2359</v>
      </c>
      <c r="P29" s="2"/>
      <c r="Q29" s="2"/>
    </row>
    <row r="30" spans="1:17" ht="28.5">
      <c r="A30" s="277" t="s">
        <v>11</v>
      </c>
      <c r="B30" s="61" t="s">
        <v>12</v>
      </c>
      <c r="C30" s="139" t="s">
        <v>384</v>
      </c>
      <c r="D30" s="56"/>
      <c r="E30" s="117"/>
      <c r="F30" s="117" t="s">
        <v>969</v>
      </c>
      <c r="G30" s="117" t="s">
        <v>968</v>
      </c>
      <c r="H30" s="415" t="s">
        <v>1392</v>
      </c>
      <c r="I30" s="61">
        <v>41358</v>
      </c>
      <c r="J30" s="117" t="s">
        <v>16</v>
      </c>
      <c r="K30" s="118">
        <v>0.5</v>
      </c>
      <c r="L30" s="144"/>
      <c r="M30" s="120">
        <f>3358-2778</f>
        <v>580</v>
      </c>
      <c r="N30" s="120">
        <f>10024-8439</f>
        <v>1585</v>
      </c>
      <c r="O30" s="120">
        <f t="shared" si="0"/>
        <v>2165</v>
      </c>
      <c r="P30" s="2"/>
      <c r="Q30" s="2"/>
    </row>
    <row r="31" spans="1:17" ht="28.5">
      <c r="A31" s="277" t="s">
        <v>11</v>
      </c>
      <c r="B31" s="61" t="s">
        <v>12</v>
      </c>
      <c r="C31" s="139" t="s">
        <v>977</v>
      </c>
      <c r="D31" s="56"/>
      <c r="E31" s="117"/>
      <c r="F31" s="117" t="s">
        <v>969</v>
      </c>
      <c r="G31" s="117" t="s">
        <v>968</v>
      </c>
      <c r="H31" s="416" t="s">
        <v>1393</v>
      </c>
      <c r="I31" s="61">
        <v>101822</v>
      </c>
      <c r="J31" s="117" t="s">
        <v>16</v>
      </c>
      <c r="K31" s="118">
        <v>0.4</v>
      </c>
      <c r="L31" s="119"/>
      <c r="M31" s="120">
        <f>3963-2828</f>
        <v>1135</v>
      </c>
      <c r="N31" s="120">
        <f>16786-12364</f>
        <v>4422</v>
      </c>
      <c r="O31" s="120">
        <f t="shared" si="0"/>
        <v>5557</v>
      </c>
      <c r="P31" s="2"/>
      <c r="Q31" s="2"/>
    </row>
    <row r="32" spans="1:17" ht="28.5">
      <c r="A32" s="277" t="s">
        <v>11</v>
      </c>
      <c r="B32" s="61" t="s">
        <v>12</v>
      </c>
      <c r="C32" s="139" t="s">
        <v>976</v>
      </c>
      <c r="D32" s="56"/>
      <c r="E32" s="117"/>
      <c r="F32" s="117" t="s">
        <v>969</v>
      </c>
      <c r="G32" s="117" t="s">
        <v>968</v>
      </c>
      <c r="H32" s="415" t="s">
        <v>1394</v>
      </c>
      <c r="I32" s="61">
        <v>41360</v>
      </c>
      <c r="J32" s="117" t="s">
        <v>16</v>
      </c>
      <c r="K32" s="118">
        <v>0.2</v>
      </c>
      <c r="L32" s="144"/>
      <c r="M32" s="120">
        <f>1084-903</f>
        <v>181</v>
      </c>
      <c r="N32" s="120">
        <f>3384-2875</f>
        <v>509</v>
      </c>
      <c r="O32" s="120">
        <f t="shared" si="0"/>
        <v>690</v>
      </c>
      <c r="P32" s="2"/>
      <c r="Q32" s="2"/>
    </row>
    <row r="33" spans="1:17" ht="28.5">
      <c r="A33" s="277" t="s">
        <v>11</v>
      </c>
      <c r="B33" s="61" t="s">
        <v>12</v>
      </c>
      <c r="C33" s="139" t="s">
        <v>978</v>
      </c>
      <c r="D33" s="56"/>
      <c r="E33" s="117"/>
      <c r="F33" s="117" t="s">
        <v>969</v>
      </c>
      <c r="G33" s="117" t="s">
        <v>968</v>
      </c>
      <c r="H33" s="416" t="s">
        <v>1395</v>
      </c>
      <c r="I33" s="61">
        <v>101826</v>
      </c>
      <c r="J33" s="117" t="s">
        <v>16</v>
      </c>
      <c r="K33" s="118">
        <v>1</v>
      </c>
      <c r="L33" s="119"/>
      <c r="M33" s="120">
        <f>4370-3347</f>
        <v>1023</v>
      </c>
      <c r="N33" s="120">
        <f>18256-13642</f>
        <v>4614</v>
      </c>
      <c r="O33" s="120">
        <f t="shared" si="0"/>
        <v>5637</v>
      </c>
      <c r="P33" s="2"/>
      <c r="Q33" s="2"/>
    </row>
    <row r="34" spans="1:17" ht="28.5">
      <c r="A34" s="277" t="s">
        <v>11</v>
      </c>
      <c r="B34" s="61" t="s">
        <v>12</v>
      </c>
      <c r="C34" s="139" t="s">
        <v>979</v>
      </c>
      <c r="D34" s="56"/>
      <c r="E34" s="117"/>
      <c r="F34" s="117" t="s">
        <v>969</v>
      </c>
      <c r="G34" s="117" t="s">
        <v>968</v>
      </c>
      <c r="H34" s="415" t="s">
        <v>1396</v>
      </c>
      <c r="I34" s="61">
        <v>103000</v>
      </c>
      <c r="J34" s="117" t="s">
        <v>16</v>
      </c>
      <c r="K34" s="118">
        <v>0.9</v>
      </c>
      <c r="L34" s="144"/>
      <c r="M34" s="120">
        <f>4990-3778</f>
        <v>1212</v>
      </c>
      <c r="N34" s="120">
        <f>20891-15981</f>
        <v>4910</v>
      </c>
      <c r="O34" s="120">
        <f t="shared" si="0"/>
        <v>6122</v>
      </c>
      <c r="P34" s="2"/>
      <c r="Q34" s="2"/>
    </row>
    <row r="35" spans="1:17" ht="28.5">
      <c r="A35" s="277" t="s">
        <v>11</v>
      </c>
      <c r="B35" s="61" t="s">
        <v>12</v>
      </c>
      <c r="C35" s="139" t="s">
        <v>979</v>
      </c>
      <c r="D35" s="56"/>
      <c r="E35" s="117"/>
      <c r="F35" s="117" t="s">
        <v>969</v>
      </c>
      <c r="G35" s="117" t="s">
        <v>968</v>
      </c>
      <c r="H35" s="416" t="s">
        <v>1397</v>
      </c>
      <c r="I35" s="61">
        <v>103009</v>
      </c>
      <c r="J35" s="117" t="s">
        <v>16</v>
      </c>
      <c r="K35" s="118">
        <v>0.8</v>
      </c>
      <c r="L35" s="119"/>
      <c r="M35" s="120">
        <f>2603-1989</f>
        <v>614</v>
      </c>
      <c r="N35" s="120">
        <f>11142-8528</f>
        <v>2614</v>
      </c>
      <c r="O35" s="120">
        <f t="shared" si="0"/>
        <v>3228</v>
      </c>
      <c r="P35" s="2"/>
      <c r="Q35" s="2"/>
    </row>
    <row r="36" spans="1:17" ht="28.5">
      <c r="A36" s="277" t="s">
        <v>11</v>
      </c>
      <c r="B36" s="61" t="s">
        <v>12</v>
      </c>
      <c r="C36" s="139" t="s">
        <v>980</v>
      </c>
      <c r="D36" s="56"/>
      <c r="E36" s="117"/>
      <c r="F36" s="117" t="s">
        <v>969</v>
      </c>
      <c r="G36" s="117" t="s">
        <v>968</v>
      </c>
      <c r="H36" s="415" t="s">
        <v>1398</v>
      </c>
      <c r="I36" s="61">
        <v>102377</v>
      </c>
      <c r="J36" s="117" t="s">
        <v>16</v>
      </c>
      <c r="K36" s="118">
        <v>1</v>
      </c>
      <c r="L36" s="144"/>
      <c r="M36" s="120">
        <f>3034-2693</f>
        <v>341</v>
      </c>
      <c r="N36" s="120">
        <f>12494-10980</f>
        <v>1514</v>
      </c>
      <c r="O36" s="120">
        <f t="shared" si="0"/>
        <v>1855</v>
      </c>
      <c r="P36" s="2"/>
      <c r="Q36" s="2"/>
    </row>
    <row r="37" spans="1:17" ht="28.5">
      <c r="A37" s="277" t="s">
        <v>11</v>
      </c>
      <c r="B37" s="61" t="s">
        <v>12</v>
      </c>
      <c r="C37" s="139" t="s">
        <v>981</v>
      </c>
      <c r="D37" s="56"/>
      <c r="E37" s="117"/>
      <c r="F37" s="117" t="s">
        <v>969</v>
      </c>
      <c r="G37" s="117" t="s">
        <v>968</v>
      </c>
      <c r="H37" s="416" t="s">
        <v>1399</v>
      </c>
      <c r="I37" s="61">
        <v>101821</v>
      </c>
      <c r="J37" s="117" t="s">
        <v>16</v>
      </c>
      <c r="K37" s="118">
        <v>1.3</v>
      </c>
      <c r="L37" s="119"/>
      <c r="M37" s="120">
        <f>4684-3558</f>
        <v>1126</v>
      </c>
      <c r="N37" s="120">
        <f>19756-15182</f>
        <v>4574</v>
      </c>
      <c r="O37" s="120">
        <f t="shared" si="0"/>
        <v>5700</v>
      </c>
      <c r="P37" s="2"/>
      <c r="Q37" s="2"/>
    </row>
    <row r="38" spans="1:17" ht="28.5">
      <c r="A38" s="277" t="s">
        <v>11</v>
      </c>
      <c r="B38" s="61" t="s">
        <v>12</v>
      </c>
      <c r="C38" s="139" t="s">
        <v>981</v>
      </c>
      <c r="D38" s="56"/>
      <c r="E38" s="117"/>
      <c r="F38" s="117" t="s">
        <v>969</v>
      </c>
      <c r="G38" s="117" t="s">
        <v>968</v>
      </c>
      <c r="H38" s="415" t="s">
        <v>1400</v>
      </c>
      <c r="I38" s="61">
        <v>101827</v>
      </c>
      <c r="J38" s="117" t="s">
        <v>16</v>
      </c>
      <c r="K38" s="118">
        <v>0.9</v>
      </c>
      <c r="L38" s="144"/>
      <c r="M38" s="120">
        <f>2040-1553</f>
        <v>487</v>
      </c>
      <c r="N38" s="120">
        <f>9028-7139</f>
        <v>1889</v>
      </c>
      <c r="O38" s="120">
        <f t="shared" si="0"/>
        <v>2376</v>
      </c>
      <c r="P38" s="2"/>
      <c r="Q38" s="2"/>
    </row>
    <row r="39" spans="1:17" ht="28.5">
      <c r="A39" s="277" t="s">
        <v>11</v>
      </c>
      <c r="B39" s="61" t="s">
        <v>12</v>
      </c>
      <c r="C39" s="139" t="s">
        <v>968</v>
      </c>
      <c r="D39" s="56"/>
      <c r="E39" s="117"/>
      <c r="F39" s="117" t="s">
        <v>969</v>
      </c>
      <c r="G39" s="117" t="s">
        <v>968</v>
      </c>
      <c r="H39" s="416" t="s">
        <v>1347</v>
      </c>
      <c r="I39" s="61">
        <v>907703</v>
      </c>
      <c r="J39" s="117" t="s">
        <v>16</v>
      </c>
      <c r="K39" s="118">
        <v>3.7</v>
      </c>
      <c r="L39" s="119"/>
      <c r="M39" s="120">
        <f>16460-12420</f>
        <v>4040</v>
      </c>
      <c r="N39" s="120">
        <f>74430-56062</f>
        <v>18368</v>
      </c>
      <c r="O39" s="120">
        <f t="shared" si="0"/>
        <v>22408</v>
      </c>
      <c r="P39" s="2"/>
      <c r="Q39" s="2"/>
    </row>
    <row r="40" spans="1:17" ht="28.5">
      <c r="A40" s="277" t="s">
        <v>11</v>
      </c>
      <c r="B40" s="61" t="s">
        <v>12</v>
      </c>
      <c r="C40" s="139" t="s">
        <v>968</v>
      </c>
      <c r="D40" s="56"/>
      <c r="E40" s="117"/>
      <c r="F40" s="117" t="s">
        <v>969</v>
      </c>
      <c r="G40" s="117" t="s">
        <v>968</v>
      </c>
      <c r="H40" s="415" t="s">
        <v>1377</v>
      </c>
      <c r="I40" s="61">
        <v>101525</v>
      </c>
      <c r="J40" s="117" t="s">
        <v>16</v>
      </c>
      <c r="K40" s="118">
        <v>3</v>
      </c>
      <c r="L40" s="144"/>
      <c r="M40" s="120">
        <f>6098-4573</f>
        <v>1525</v>
      </c>
      <c r="N40" s="120">
        <f>25632-19351</f>
        <v>6281</v>
      </c>
      <c r="O40" s="120">
        <f t="shared" si="0"/>
        <v>7806</v>
      </c>
      <c r="P40" s="2"/>
      <c r="Q40" s="2"/>
    </row>
    <row r="41" spans="1:17" ht="28.5">
      <c r="A41" s="277" t="s">
        <v>11</v>
      </c>
      <c r="B41" s="61" t="s">
        <v>12</v>
      </c>
      <c r="C41" s="139" t="s">
        <v>649</v>
      </c>
      <c r="D41" s="56"/>
      <c r="E41" s="117">
        <v>30</v>
      </c>
      <c r="F41" s="117" t="s">
        <v>969</v>
      </c>
      <c r="G41" s="117" t="s">
        <v>968</v>
      </c>
      <c r="H41" s="416" t="s">
        <v>1378</v>
      </c>
      <c r="I41" s="61">
        <v>102376</v>
      </c>
      <c r="J41" s="117" t="s">
        <v>16</v>
      </c>
      <c r="K41" s="118">
        <v>1</v>
      </c>
      <c r="L41" s="119"/>
      <c r="M41" s="120">
        <f>3458-2623</f>
        <v>835</v>
      </c>
      <c r="N41" s="120">
        <f>13832-10441</f>
        <v>3391</v>
      </c>
      <c r="O41" s="120">
        <f t="shared" si="0"/>
        <v>4226</v>
      </c>
      <c r="P41" s="2"/>
      <c r="Q41" s="2"/>
    </row>
    <row r="42" spans="1:17" ht="28.5">
      <c r="A42" s="277" t="s">
        <v>11</v>
      </c>
      <c r="B42" s="61" t="s">
        <v>12</v>
      </c>
      <c r="C42" s="139" t="s">
        <v>649</v>
      </c>
      <c r="D42" s="56"/>
      <c r="E42" s="117"/>
      <c r="F42" s="117" t="s">
        <v>969</v>
      </c>
      <c r="G42" s="117" t="s">
        <v>968</v>
      </c>
      <c r="H42" s="415" t="s">
        <v>1379</v>
      </c>
      <c r="I42" s="61">
        <v>102374</v>
      </c>
      <c r="J42" s="117" t="s">
        <v>16</v>
      </c>
      <c r="K42" s="118">
        <v>0.8</v>
      </c>
      <c r="L42" s="144"/>
      <c r="M42" s="120">
        <f>3361-2579</f>
        <v>782</v>
      </c>
      <c r="N42" s="120">
        <f>12198-9278</f>
        <v>2920</v>
      </c>
      <c r="O42" s="120">
        <f t="shared" si="0"/>
        <v>3702</v>
      </c>
      <c r="P42" s="2"/>
      <c r="Q42" s="2"/>
    </row>
    <row r="43" spans="1:17" ht="28.5">
      <c r="A43" s="277" t="s">
        <v>11</v>
      </c>
      <c r="B43" s="61" t="s">
        <v>12</v>
      </c>
      <c r="C43" s="139" t="s">
        <v>982</v>
      </c>
      <c r="D43" s="56"/>
      <c r="E43" s="117"/>
      <c r="F43" s="117" t="s">
        <v>969</v>
      </c>
      <c r="G43" s="117" t="s">
        <v>968</v>
      </c>
      <c r="H43" s="416" t="s">
        <v>1380</v>
      </c>
      <c r="I43" s="61">
        <v>101823</v>
      </c>
      <c r="J43" s="117" t="s">
        <v>16</v>
      </c>
      <c r="K43" s="118">
        <v>1.2</v>
      </c>
      <c r="L43" s="119"/>
      <c r="M43" s="120">
        <f>3711-2806</f>
        <v>905</v>
      </c>
      <c r="N43" s="120">
        <f>16426-12385</f>
        <v>4041</v>
      </c>
      <c r="O43" s="120">
        <f t="shared" si="0"/>
        <v>4946</v>
      </c>
      <c r="P43" s="2"/>
      <c r="Q43" s="2"/>
    </row>
    <row r="44" spans="1:17" ht="28.5">
      <c r="A44" s="277" t="s">
        <v>11</v>
      </c>
      <c r="B44" s="61" t="s">
        <v>12</v>
      </c>
      <c r="C44" s="139" t="s">
        <v>982</v>
      </c>
      <c r="D44" s="56"/>
      <c r="E44" s="117"/>
      <c r="F44" s="117" t="s">
        <v>969</v>
      </c>
      <c r="G44" s="117" t="s">
        <v>968</v>
      </c>
      <c r="H44" s="415" t="s">
        <v>1381</v>
      </c>
      <c r="I44" s="61">
        <v>103004</v>
      </c>
      <c r="J44" s="117" t="s">
        <v>16</v>
      </c>
      <c r="K44" s="118">
        <v>0.8</v>
      </c>
      <c r="L44" s="144"/>
      <c r="M44" s="120">
        <f>3154-2348</f>
        <v>806</v>
      </c>
      <c r="N44" s="120">
        <f>12880-9681</f>
        <v>3199</v>
      </c>
      <c r="O44" s="120">
        <f t="shared" si="0"/>
        <v>4005</v>
      </c>
      <c r="P44" s="2"/>
      <c r="Q44" s="2"/>
    </row>
    <row r="45" spans="1:17" ht="28.5">
      <c r="A45" s="277" t="s">
        <v>11</v>
      </c>
      <c r="B45" s="61" t="s">
        <v>12</v>
      </c>
      <c r="C45" s="139" t="s">
        <v>983</v>
      </c>
      <c r="D45" s="56"/>
      <c r="E45" s="117" t="s">
        <v>146</v>
      </c>
      <c r="F45" s="117" t="s">
        <v>969</v>
      </c>
      <c r="G45" s="117" t="s">
        <v>968</v>
      </c>
      <c r="H45" s="416" t="s">
        <v>1348</v>
      </c>
      <c r="I45" s="61">
        <v>907822</v>
      </c>
      <c r="J45" s="117" t="s">
        <v>16</v>
      </c>
      <c r="K45" s="118">
        <v>1.3</v>
      </c>
      <c r="L45" s="119"/>
      <c r="M45" s="120">
        <f>5613-4305</f>
        <v>1308</v>
      </c>
      <c r="N45" s="120">
        <f>25778-19708</f>
        <v>6070</v>
      </c>
      <c r="O45" s="120">
        <f t="shared" si="0"/>
        <v>7378</v>
      </c>
      <c r="P45" s="2"/>
      <c r="Q45" s="2"/>
    </row>
    <row r="46" spans="1:17" ht="28.5">
      <c r="A46" s="277" t="s">
        <v>11</v>
      </c>
      <c r="B46" s="61" t="s">
        <v>12</v>
      </c>
      <c r="C46" s="139" t="s">
        <v>983</v>
      </c>
      <c r="D46" s="56"/>
      <c r="E46" s="117">
        <v>50</v>
      </c>
      <c r="F46" s="117" t="s">
        <v>969</v>
      </c>
      <c r="G46" s="117" t="s">
        <v>968</v>
      </c>
      <c r="H46" s="415" t="s">
        <v>1382</v>
      </c>
      <c r="I46" s="61">
        <v>101523</v>
      </c>
      <c r="J46" s="117" t="s">
        <v>16</v>
      </c>
      <c r="K46" s="118">
        <v>1</v>
      </c>
      <c r="L46" s="144"/>
      <c r="M46" s="120">
        <f>2589-1846</f>
        <v>743</v>
      </c>
      <c r="N46" s="120">
        <f>11147-8027</f>
        <v>3120</v>
      </c>
      <c r="O46" s="120">
        <f t="shared" si="0"/>
        <v>3863</v>
      </c>
      <c r="P46" s="2"/>
      <c r="Q46" s="2"/>
    </row>
    <row r="47" spans="1:17" ht="28.5">
      <c r="A47" s="277" t="s">
        <v>11</v>
      </c>
      <c r="B47" s="61" t="s">
        <v>12</v>
      </c>
      <c r="C47" s="139" t="s">
        <v>984</v>
      </c>
      <c r="D47" s="56"/>
      <c r="E47" s="117" t="s">
        <v>146</v>
      </c>
      <c r="F47" s="117" t="s">
        <v>969</v>
      </c>
      <c r="G47" s="117" t="s">
        <v>968</v>
      </c>
      <c r="H47" s="416" t="s">
        <v>1383</v>
      </c>
      <c r="I47" s="61">
        <v>70938024</v>
      </c>
      <c r="J47" s="117" t="s">
        <v>16</v>
      </c>
      <c r="K47" s="118">
        <v>1.1</v>
      </c>
      <c r="L47" s="119"/>
      <c r="M47" s="120">
        <f>3550-2675</f>
        <v>875</v>
      </c>
      <c r="N47" s="120">
        <f>15649-11499</f>
        <v>4150</v>
      </c>
      <c r="O47" s="120">
        <f t="shared" si="0"/>
        <v>5025</v>
      </c>
      <c r="P47" s="2"/>
      <c r="Q47" s="2"/>
    </row>
    <row r="48" spans="1:17" ht="28.5">
      <c r="A48" s="277" t="s">
        <v>11</v>
      </c>
      <c r="B48" s="61" t="s">
        <v>12</v>
      </c>
      <c r="C48" s="139" t="s">
        <v>985</v>
      </c>
      <c r="D48" s="56"/>
      <c r="E48" s="117">
        <v>2</v>
      </c>
      <c r="F48" s="117" t="s">
        <v>969</v>
      </c>
      <c r="G48" s="117" t="s">
        <v>968</v>
      </c>
      <c r="H48" s="415" t="s">
        <v>1384</v>
      </c>
      <c r="I48" s="61">
        <v>101529</v>
      </c>
      <c r="J48" s="117" t="s">
        <v>16</v>
      </c>
      <c r="K48" s="118">
        <v>0.7</v>
      </c>
      <c r="L48" s="144"/>
      <c r="M48" s="120">
        <f>2862-1639</f>
        <v>1223</v>
      </c>
      <c r="N48" s="120">
        <f>11883-6988</f>
        <v>4895</v>
      </c>
      <c r="O48" s="120">
        <f t="shared" si="0"/>
        <v>6118</v>
      </c>
      <c r="P48" s="2"/>
      <c r="Q48" s="2"/>
    </row>
    <row r="49" spans="1:17" ht="28.5">
      <c r="A49" s="277" t="s">
        <v>11</v>
      </c>
      <c r="B49" s="61" t="s">
        <v>12</v>
      </c>
      <c r="C49" s="139" t="s">
        <v>940</v>
      </c>
      <c r="D49" s="56"/>
      <c r="E49" s="117"/>
      <c r="F49" s="117" t="s">
        <v>969</v>
      </c>
      <c r="G49" s="117" t="s">
        <v>968</v>
      </c>
      <c r="H49" s="416" t="s">
        <v>1385</v>
      </c>
      <c r="I49" s="61">
        <v>103005</v>
      </c>
      <c r="J49" s="117" t="s">
        <v>16</v>
      </c>
      <c r="K49" s="118">
        <v>0.7</v>
      </c>
      <c r="L49" s="119"/>
      <c r="M49" s="120">
        <f>2770-2105</f>
        <v>665</v>
      </c>
      <c r="N49" s="120">
        <f>11639-8899</f>
        <v>2740</v>
      </c>
      <c r="O49" s="120">
        <f t="shared" si="0"/>
        <v>3405</v>
      </c>
      <c r="P49" s="2"/>
      <c r="Q49" s="2"/>
    </row>
    <row r="50" spans="1:17" ht="28.5">
      <c r="A50" s="277" t="s">
        <v>11</v>
      </c>
      <c r="B50" s="61" t="s">
        <v>12</v>
      </c>
      <c r="C50" s="139" t="s">
        <v>974</v>
      </c>
      <c r="D50" s="56"/>
      <c r="E50" s="117"/>
      <c r="F50" s="117" t="s">
        <v>969</v>
      </c>
      <c r="G50" s="117" t="s">
        <v>968</v>
      </c>
      <c r="H50" s="415" t="s">
        <v>1386</v>
      </c>
      <c r="I50" s="61">
        <v>102371</v>
      </c>
      <c r="J50" s="117" t="s">
        <v>16</v>
      </c>
      <c r="K50" s="118">
        <v>0.7</v>
      </c>
      <c r="L50" s="144"/>
      <c r="M50" s="120">
        <f>2596-1916</f>
        <v>680</v>
      </c>
      <c r="N50" s="120">
        <f>10881-8183</f>
        <v>2698</v>
      </c>
      <c r="O50" s="120">
        <f t="shared" si="0"/>
        <v>3378</v>
      </c>
      <c r="P50" s="2"/>
      <c r="Q50" s="2"/>
    </row>
    <row r="51" spans="1:17" ht="28.5">
      <c r="A51" s="277" t="s">
        <v>11</v>
      </c>
      <c r="B51" s="61" t="s">
        <v>12</v>
      </c>
      <c r="C51" s="139" t="s">
        <v>986</v>
      </c>
      <c r="D51" s="56"/>
      <c r="E51" s="117"/>
      <c r="F51" s="117" t="s">
        <v>969</v>
      </c>
      <c r="G51" s="117" t="s">
        <v>968</v>
      </c>
      <c r="H51" s="416" t="s">
        <v>1366</v>
      </c>
      <c r="I51" s="61">
        <v>103008</v>
      </c>
      <c r="J51" s="117" t="s">
        <v>16</v>
      </c>
      <c r="K51" s="118">
        <v>1.1</v>
      </c>
      <c r="L51" s="119"/>
      <c r="M51" s="120">
        <f>4582-3484</f>
        <v>1098</v>
      </c>
      <c r="N51" s="120">
        <f>18503-14186</f>
        <v>4317</v>
      </c>
      <c r="O51" s="120">
        <f t="shared" si="0"/>
        <v>5415</v>
      </c>
      <c r="P51" s="2"/>
      <c r="Q51" s="2"/>
    </row>
    <row r="52" spans="1:17" ht="28.5">
      <c r="A52" s="277" t="s">
        <v>11</v>
      </c>
      <c r="B52" s="61" t="s">
        <v>12</v>
      </c>
      <c r="C52" s="139" t="s">
        <v>987</v>
      </c>
      <c r="D52" s="56"/>
      <c r="E52" s="117"/>
      <c r="F52" s="117" t="s">
        <v>969</v>
      </c>
      <c r="G52" s="117" t="s">
        <v>968</v>
      </c>
      <c r="H52" s="415" t="s">
        <v>1368</v>
      </c>
      <c r="I52" s="61">
        <v>41359</v>
      </c>
      <c r="J52" s="117" t="s">
        <v>16</v>
      </c>
      <c r="K52" s="118">
        <v>0.9</v>
      </c>
      <c r="L52" s="144"/>
      <c r="M52" s="120">
        <f>5498-4514</f>
        <v>984</v>
      </c>
      <c r="N52" s="120">
        <f>17604-14633</f>
        <v>2971</v>
      </c>
      <c r="O52" s="120">
        <f t="shared" si="0"/>
        <v>3955</v>
      </c>
      <c r="P52" s="2"/>
      <c r="Q52" s="2"/>
    </row>
    <row r="53" spans="1:17" ht="28.5">
      <c r="A53" s="277" t="s">
        <v>11</v>
      </c>
      <c r="B53" s="61" t="s">
        <v>12</v>
      </c>
      <c r="C53" s="139" t="s">
        <v>988</v>
      </c>
      <c r="D53" s="56"/>
      <c r="E53" s="117"/>
      <c r="F53" s="117" t="s">
        <v>969</v>
      </c>
      <c r="G53" s="117" t="s">
        <v>968</v>
      </c>
      <c r="H53" s="416" t="s">
        <v>1369</v>
      </c>
      <c r="I53" s="61">
        <v>103002</v>
      </c>
      <c r="J53" s="117" t="s">
        <v>16</v>
      </c>
      <c r="K53" s="118">
        <v>1.3</v>
      </c>
      <c r="L53" s="119"/>
      <c r="M53" s="120">
        <f>4832-3504</f>
        <v>1328</v>
      </c>
      <c r="N53" s="120">
        <f>20142-14676</f>
        <v>5466</v>
      </c>
      <c r="O53" s="120">
        <f t="shared" si="0"/>
        <v>6794</v>
      </c>
      <c r="P53" s="2"/>
      <c r="Q53" s="2"/>
    </row>
    <row r="54" spans="1:17" ht="28.5">
      <c r="A54" s="277" t="s">
        <v>11</v>
      </c>
      <c r="B54" s="61" t="s">
        <v>12</v>
      </c>
      <c r="C54" s="139" t="s">
        <v>988</v>
      </c>
      <c r="D54" s="56"/>
      <c r="E54" s="117"/>
      <c r="F54" s="117" t="s">
        <v>969</v>
      </c>
      <c r="G54" s="117" t="s">
        <v>968</v>
      </c>
      <c r="H54" s="415" t="s">
        <v>1370</v>
      </c>
      <c r="I54" s="61">
        <v>104771</v>
      </c>
      <c r="J54" s="117" t="s">
        <v>16</v>
      </c>
      <c r="K54" s="118">
        <v>1</v>
      </c>
      <c r="L54" s="144"/>
      <c r="M54" s="120">
        <f>3360-2580</f>
        <v>780</v>
      </c>
      <c r="N54" s="120">
        <f>15655-11972</f>
        <v>3683</v>
      </c>
      <c r="O54" s="120">
        <f t="shared" si="0"/>
        <v>4463</v>
      </c>
      <c r="P54" s="2"/>
      <c r="Q54" s="2"/>
    </row>
    <row r="55" spans="1:17" ht="28.5">
      <c r="A55" s="277" t="s">
        <v>11</v>
      </c>
      <c r="B55" s="61" t="s">
        <v>12</v>
      </c>
      <c r="C55" s="139" t="s">
        <v>985</v>
      </c>
      <c r="D55" s="56"/>
      <c r="E55" s="117">
        <v>1</v>
      </c>
      <c r="F55" s="117" t="s">
        <v>969</v>
      </c>
      <c r="G55" s="117" t="s">
        <v>968</v>
      </c>
      <c r="H55" s="416" t="s">
        <v>1371</v>
      </c>
      <c r="I55" s="61">
        <v>12291</v>
      </c>
      <c r="J55" s="117" t="s">
        <v>16</v>
      </c>
      <c r="K55" s="118">
        <v>1.4</v>
      </c>
      <c r="L55" s="119"/>
      <c r="M55" s="120">
        <f>12645-11425</f>
        <v>1220</v>
      </c>
      <c r="N55" s="120">
        <f>24598-18899</f>
        <v>5699</v>
      </c>
      <c r="O55" s="120">
        <f t="shared" si="0"/>
        <v>6919</v>
      </c>
      <c r="P55" s="2"/>
      <c r="Q55" s="2"/>
    </row>
    <row r="56" spans="1:17" ht="28.5">
      <c r="A56" s="277" t="s">
        <v>11</v>
      </c>
      <c r="B56" s="61" t="s">
        <v>12</v>
      </c>
      <c r="C56" s="139" t="s">
        <v>984</v>
      </c>
      <c r="D56" s="56"/>
      <c r="E56" s="117">
        <v>2</v>
      </c>
      <c r="F56" s="117" t="s">
        <v>969</v>
      </c>
      <c r="G56" s="117" t="s">
        <v>968</v>
      </c>
      <c r="H56" s="415" t="s">
        <v>1346</v>
      </c>
      <c r="I56" s="61">
        <v>907707</v>
      </c>
      <c r="J56" s="117" t="s">
        <v>16</v>
      </c>
      <c r="K56" s="118">
        <v>0.9</v>
      </c>
      <c r="L56" s="144"/>
      <c r="M56" s="120">
        <f>2802-2088</f>
        <v>714</v>
      </c>
      <c r="N56" s="120">
        <f>12352-9155</f>
        <v>3197</v>
      </c>
      <c r="O56" s="120">
        <f t="shared" si="0"/>
        <v>3911</v>
      </c>
      <c r="P56" s="2"/>
      <c r="Q56" s="2"/>
    </row>
    <row r="57" spans="1:17" ht="28.5">
      <c r="A57" s="277" t="s">
        <v>11</v>
      </c>
      <c r="B57" s="61" t="s">
        <v>12</v>
      </c>
      <c r="C57" s="139" t="s">
        <v>989</v>
      </c>
      <c r="D57" s="56"/>
      <c r="E57" s="117">
        <v>4</v>
      </c>
      <c r="F57" s="117" t="s">
        <v>969</v>
      </c>
      <c r="G57" s="117" t="s">
        <v>968</v>
      </c>
      <c r="H57" s="416" t="s">
        <v>1372</v>
      </c>
      <c r="I57" s="61">
        <v>101828</v>
      </c>
      <c r="J57" s="117" t="s">
        <v>16</v>
      </c>
      <c r="K57" s="118">
        <v>0.7</v>
      </c>
      <c r="L57" s="119"/>
      <c r="M57" s="120">
        <f>2728-2021</f>
        <v>707</v>
      </c>
      <c r="N57" s="120">
        <f>10656-8018</f>
        <v>2638</v>
      </c>
      <c r="O57" s="120">
        <f t="shared" si="0"/>
        <v>3345</v>
      </c>
      <c r="P57" s="2"/>
      <c r="Q57" s="2"/>
    </row>
    <row r="58" spans="1:17" ht="28.5">
      <c r="A58" s="277" t="s">
        <v>11</v>
      </c>
      <c r="B58" s="61" t="s">
        <v>12</v>
      </c>
      <c r="C58" s="139" t="s">
        <v>989</v>
      </c>
      <c r="D58" s="56"/>
      <c r="E58" s="117"/>
      <c r="F58" s="117" t="s">
        <v>969</v>
      </c>
      <c r="G58" s="117" t="s">
        <v>968</v>
      </c>
      <c r="H58" s="415" t="s">
        <v>1373</v>
      </c>
      <c r="I58" s="61">
        <v>101829</v>
      </c>
      <c r="J58" s="117" t="s">
        <v>16</v>
      </c>
      <c r="K58" s="118">
        <v>0.9</v>
      </c>
      <c r="L58" s="144"/>
      <c r="M58" s="120">
        <f>2842-2132</f>
        <v>710</v>
      </c>
      <c r="N58" s="120">
        <f>11952-9115</f>
        <v>2837</v>
      </c>
      <c r="O58" s="120">
        <f t="shared" si="0"/>
        <v>3547</v>
      </c>
      <c r="P58" s="2"/>
      <c r="Q58" s="2"/>
    </row>
    <row r="59" spans="1:17" ht="28.5">
      <c r="A59" s="277" t="s">
        <v>11</v>
      </c>
      <c r="B59" s="61" t="s">
        <v>12</v>
      </c>
      <c r="C59" s="139" t="s">
        <v>981</v>
      </c>
      <c r="D59" s="56"/>
      <c r="E59" s="117"/>
      <c r="F59" s="117" t="s">
        <v>969</v>
      </c>
      <c r="G59" s="117" t="s">
        <v>968</v>
      </c>
      <c r="H59" s="416" t="s">
        <v>1374</v>
      </c>
      <c r="I59" s="61">
        <v>104770</v>
      </c>
      <c r="J59" s="117" t="s">
        <v>16</v>
      </c>
      <c r="K59" s="118">
        <v>0.5</v>
      </c>
      <c r="L59" s="119"/>
      <c r="M59" s="120">
        <f>1506-1161</f>
        <v>345</v>
      </c>
      <c r="N59" s="120">
        <f>7480-5743</f>
        <v>1737</v>
      </c>
      <c r="O59" s="120">
        <f t="shared" si="0"/>
        <v>2082</v>
      </c>
      <c r="P59" s="2"/>
      <c r="Q59" s="2"/>
    </row>
    <row r="60" spans="1:17" ht="28.5">
      <c r="A60" s="277" t="s">
        <v>11</v>
      </c>
      <c r="B60" s="61" t="s">
        <v>12</v>
      </c>
      <c r="C60" s="139" t="s">
        <v>968</v>
      </c>
      <c r="D60" s="56"/>
      <c r="E60" s="117"/>
      <c r="F60" s="117" t="s">
        <v>969</v>
      </c>
      <c r="G60" s="117" t="s">
        <v>968</v>
      </c>
      <c r="H60" s="415" t="s">
        <v>1376</v>
      </c>
      <c r="I60" s="61">
        <v>101824</v>
      </c>
      <c r="J60" s="117" t="s">
        <v>16</v>
      </c>
      <c r="K60" s="118">
        <v>0.9</v>
      </c>
      <c r="L60" s="144"/>
      <c r="M60" s="120">
        <f>3436-2239</f>
        <v>1197</v>
      </c>
      <c r="N60" s="120">
        <f>16236-10533</f>
        <v>5703</v>
      </c>
      <c r="O60" s="120">
        <f t="shared" si="0"/>
        <v>6900</v>
      </c>
      <c r="P60" s="2"/>
      <c r="Q60" s="2"/>
    </row>
    <row r="61" spans="1:17" ht="28.5">
      <c r="A61" s="277" t="s">
        <v>11</v>
      </c>
      <c r="B61" s="61" t="s">
        <v>12</v>
      </c>
      <c r="C61" s="139" t="s">
        <v>972</v>
      </c>
      <c r="D61" s="56"/>
      <c r="E61" s="117">
        <v>5</v>
      </c>
      <c r="F61" s="117" t="s">
        <v>969</v>
      </c>
      <c r="G61" s="117" t="s">
        <v>968</v>
      </c>
      <c r="H61" s="416" t="s">
        <v>1356</v>
      </c>
      <c r="I61" s="61">
        <v>102370</v>
      </c>
      <c r="J61" s="117" t="s">
        <v>16</v>
      </c>
      <c r="K61" s="118">
        <v>0.9</v>
      </c>
      <c r="L61" s="119"/>
      <c r="M61" s="120">
        <f>4030-3000</f>
        <v>1030</v>
      </c>
      <c r="N61" s="120">
        <f>16824-12577</f>
        <v>4247</v>
      </c>
      <c r="O61" s="120">
        <f t="shared" si="0"/>
        <v>5277</v>
      </c>
      <c r="P61" s="2"/>
      <c r="Q61" s="2"/>
    </row>
    <row r="62" spans="1:17" ht="28.5">
      <c r="A62" s="277" t="s">
        <v>11</v>
      </c>
      <c r="B62" s="61" t="s">
        <v>12</v>
      </c>
      <c r="C62" s="139" t="s">
        <v>972</v>
      </c>
      <c r="D62" s="56"/>
      <c r="E62" s="117">
        <v>38</v>
      </c>
      <c r="F62" s="117" t="s">
        <v>969</v>
      </c>
      <c r="G62" s="117" t="s">
        <v>968</v>
      </c>
      <c r="H62" s="415" t="s">
        <v>1358</v>
      </c>
      <c r="I62" s="61">
        <v>102375</v>
      </c>
      <c r="J62" s="117" t="s">
        <v>16</v>
      </c>
      <c r="K62" s="118">
        <v>1.8</v>
      </c>
      <c r="L62" s="144"/>
      <c r="M62" s="120">
        <f>6443-4835</f>
        <v>1608</v>
      </c>
      <c r="N62" s="120">
        <f>27913-20789</f>
        <v>7124</v>
      </c>
      <c r="O62" s="120">
        <f t="shared" si="0"/>
        <v>8732</v>
      </c>
      <c r="P62" s="2"/>
      <c r="Q62" s="2"/>
    </row>
    <row r="63" spans="1:17" ht="28.5">
      <c r="A63" s="277" t="s">
        <v>11</v>
      </c>
      <c r="B63" s="61" t="s">
        <v>12</v>
      </c>
      <c r="C63" s="139" t="s">
        <v>384</v>
      </c>
      <c r="D63" s="56"/>
      <c r="E63" s="117"/>
      <c r="F63" s="117" t="s">
        <v>969</v>
      </c>
      <c r="G63" s="117" t="s">
        <v>968</v>
      </c>
      <c r="H63" s="416" t="s">
        <v>1359</v>
      </c>
      <c r="I63" s="61">
        <v>83247331</v>
      </c>
      <c r="J63" s="139" t="s">
        <v>154</v>
      </c>
      <c r="K63" s="118">
        <v>0.9</v>
      </c>
      <c r="L63" s="417">
        <f>5845-649</f>
        <v>5196</v>
      </c>
      <c r="M63" s="29"/>
      <c r="N63" s="29"/>
      <c r="O63" s="145">
        <f>L63</f>
        <v>5196</v>
      </c>
      <c r="P63" s="2"/>
      <c r="Q63" s="2"/>
    </row>
    <row r="64" spans="1:17" ht="28.5">
      <c r="A64" s="277" t="s">
        <v>11</v>
      </c>
      <c r="B64" s="61" t="s">
        <v>12</v>
      </c>
      <c r="C64" s="139" t="s">
        <v>972</v>
      </c>
      <c r="D64" s="56"/>
      <c r="E64" s="117"/>
      <c r="F64" s="117" t="s">
        <v>969</v>
      </c>
      <c r="G64" s="117" t="s">
        <v>968</v>
      </c>
      <c r="H64" s="415" t="s">
        <v>1360</v>
      </c>
      <c r="I64" s="61">
        <v>41355</v>
      </c>
      <c r="J64" s="117" t="s">
        <v>16</v>
      </c>
      <c r="K64" s="118">
        <v>10</v>
      </c>
      <c r="L64" s="144"/>
      <c r="M64" s="120">
        <f>1399-1088</f>
        <v>311</v>
      </c>
      <c r="N64" s="120">
        <f>4471-3755</f>
        <v>716</v>
      </c>
      <c r="O64" s="145">
        <f>M64+N64</f>
        <v>1027</v>
      </c>
      <c r="P64" s="2"/>
      <c r="Q64" s="2"/>
    </row>
    <row r="65" spans="1:17" ht="28.5">
      <c r="A65" s="277" t="s">
        <v>11</v>
      </c>
      <c r="B65" s="61" t="s">
        <v>12</v>
      </c>
      <c r="C65" s="139" t="s">
        <v>990</v>
      </c>
      <c r="D65" s="56"/>
      <c r="E65" s="117" t="s">
        <v>146</v>
      </c>
      <c r="F65" s="117" t="s">
        <v>969</v>
      </c>
      <c r="G65" s="117" t="s">
        <v>968</v>
      </c>
      <c r="H65" s="416" t="s">
        <v>1361</v>
      </c>
      <c r="I65" s="61">
        <v>102378</v>
      </c>
      <c r="J65" s="117" t="s">
        <v>16</v>
      </c>
      <c r="K65" s="118">
        <v>0.6</v>
      </c>
      <c r="L65" s="119"/>
      <c r="M65" s="120">
        <f>2310-1735</f>
        <v>575</v>
      </c>
      <c r="N65" s="120">
        <f>9753-7317</f>
        <v>2436</v>
      </c>
      <c r="O65" s="145">
        <f aca="true" t="shared" si="1" ref="O65:O71">M65+N65</f>
        <v>3011</v>
      </c>
      <c r="P65" s="2"/>
      <c r="Q65" s="2"/>
    </row>
    <row r="66" spans="1:17" ht="28.5">
      <c r="A66" s="277" t="s">
        <v>11</v>
      </c>
      <c r="B66" s="61" t="s">
        <v>12</v>
      </c>
      <c r="C66" s="139" t="s">
        <v>990</v>
      </c>
      <c r="D66" s="56"/>
      <c r="E66" s="117" t="s">
        <v>686</v>
      </c>
      <c r="F66" s="117" t="s">
        <v>969</v>
      </c>
      <c r="G66" s="117" t="s">
        <v>968</v>
      </c>
      <c r="H66" s="415" t="s">
        <v>1362</v>
      </c>
      <c r="I66" s="61">
        <v>104773</v>
      </c>
      <c r="J66" s="117" t="s">
        <v>16</v>
      </c>
      <c r="K66" s="118">
        <v>1</v>
      </c>
      <c r="L66" s="144"/>
      <c r="M66" s="120">
        <f>3574-2660</f>
        <v>914</v>
      </c>
      <c r="N66" s="120">
        <f>15636-11469</f>
        <v>4167</v>
      </c>
      <c r="O66" s="145">
        <f t="shared" si="1"/>
        <v>5081</v>
      </c>
      <c r="P66" s="2"/>
      <c r="Q66" s="2"/>
    </row>
    <row r="67" spans="1:17" ht="28.5">
      <c r="A67" s="277" t="s">
        <v>11</v>
      </c>
      <c r="B67" s="61" t="s">
        <v>12</v>
      </c>
      <c r="C67" s="139" t="s">
        <v>991</v>
      </c>
      <c r="D67" s="56"/>
      <c r="E67" s="117"/>
      <c r="F67" s="117" t="s">
        <v>969</v>
      </c>
      <c r="G67" s="117" t="s">
        <v>968</v>
      </c>
      <c r="H67" s="416" t="s">
        <v>1363</v>
      </c>
      <c r="I67" s="61">
        <v>102373</v>
      </c>
      <c r="J67" s="117" t="s">
        <v>16</v>
      </c>
      <c r="K67" s="118">
        <v>1.2</v>
      </c>
      <c r="L67" s="119"/>
      <c r="M67" s="120">
        <f>3987-3099</f>
        <v>888</v>
      </c>
      <c r="N67" s="120">
        <f>17122-12544</f>
        <v>4578</v>
      </c>
      <c r="O67" s="145">
        <f t="shared" si="1"/>
        <v>5466</v>
      </c>
      <c r="P67" s="2"/>
      <c r="Q67" s="2"/>
    </row>
    <row r="68" spans="1:17" ht="28.5">
      <c r="A68" s="277" t="s">
        <v>11</v>
      </c>
      <c r="B68" s="61" t="s">
        <v>12</v>
      </c>
      <c r="C68" s="139" t="s">
        <v>988</v>
      </c>
      <c r="D68" s="56"/>
      <c r="E68" s="117"/>
      <c r="F68" s="117" t="s">
        <v>969</v>
      </c>
      <c r="G68" s="117" t="s">
        <v>968</v>
      </c>
      <c r="H68" s="415" t="s">
        <v>1364</v>
      </c>
      <c r="I68" s="61">
        <v>102379</v>
      </c>
      <c r="J68" s="117" t="s">
        <v>16</v>
      </c>
      <c r="K68" s="118">
        <v>1.2</v>
      </c>
      <c r="L68" s="144"/>
      <c r="M68" s="120">
        <f>4254-3107</f>
        <v>1147</v>
      </c>
      <c r="N68" s="120">
        <f>18317-13311</f>
        <v>5006</v>
      </c>
      <c r="O68" s="145">
        <f t="shared" si="1"/>
        <v>6153</v>
      </c>
      <c r="P68" s="2"/>
      <c r="Q68" s="2"/>
    </row>
    <row r="69" spans="1:17" ht="28.5">
      <c r="A69" s="277" t="s">
        <v>11</v>
      </c>
      <c r="B69" s="61" t="s">
        <v>12</v>
      </c>
      <c r="C69" s="139" t="s">
        <v>986</v>
      </c>
      <c r="D69" s="56"/>
      <c r="E69" s="117"/>
      <c r="F69" s="117" t="s">
        <v>969</v>
      </c>
      <c r="G69" s="117" t="s">
        <v>968</v>
      </c>
      <c r="H69" s="416" t="s">
        <v>1365</v>
      </c>
      <c r="I69" s="61">
        <v>103007</v>
      </c>
      <c r="J69" s="117" t="s">
        <v>16</v>
      </c>
      <c r="K69" s="118">
        <v>1</v>
      </c>
      <c r="L69" s="119"/>
      <c r="M69" s="120">
        <f>3255-2504</f>
        <v>751</v>
      </c>
      <c r="N69" s="120">
        <f>14527-11174</f>
        <v>3353</v>
      </c>
      <c r="O69" s="145">
        <f t="shared" si="1"/>
        <v>4104</v>
      </c>
      <c r="P69" s="2"/>
      <c r="Q69" s="2"/>
    </row>
    <row r="70" spans="1:17" ht="28.5">
      <c r="A70" s="277" t="s">
        <v>11</v>
      </c>
      <c r="B70" s="61" t="s">
        <v>12</v>
      </c>
      <c r="C70" s="139" t="s">
        <v>972</v>
      </c>
      <c r="D70" s="56"/>
      <c r="E70" s="117"/>
      <c r="F70" s="117" t="s">
        <v>969</v>
      </c>
      <c r="G70" s="117" t="s">
        <v>968</v>
      </c>
      <c r="H70" s="415" t="s">
        <v>1357</v>
      </c>
      <c r="I70" s="61">
        <v>44958</v>
      </c>
      <c r="J70" s="117" t="s">
        <v>16</v>
      </c>
      <c r="K70" s="118">
        <v>2.2</v>
      </c>
      <c r="L70" s="144"/>
      <c r="M70" s="120">
        <f>11597-9458</f>
        <v>2139</v>
      </c>
      <c r="N70" s="120">
        <f>30079-27778</f>
        <v>2301</v>
      </c>
      <c r="O70" s="145">
        <f t="shared" si="1"/>
        <v>4440</v>
      </c>
      <c r="P70" s="2"/>
      <c r="Q70" s="2"/>
    </row>
    <row r="71" spans="1:17" ht="28.5">
      <c r="A71" s="278" t="s">
        <v>11</v>
      </c>
      <c r="B71" s="61" t="s">
        <v>12</v>
      </c>
      <c r="C71" s="139" t="s">
        <v>988</v>
      </c>
      <c r="D71" s="56"/>
      <c r="E71" s="117"/>
      <c r="F71" s="117" t="s">
        <v>969</v>
      </c>
      <c r="G71" s="117" t="s">
        <v>968</v>
      </c>
      <c r="H71" s="416" t="s">
        <v>1367</v>
      </c>
      <c r="I71" s="61">
        <v>1001217</v>
      </c>
      <c r="J71" s="117" t="s">
        <v>16</v>
      </c>
      <c r="K71" s="118">
        <v>0.6</v>
      </c>
      <c r="L71" s="119"/>
      <c r="M71" s="120">
        <f>3630-2834</f>
        <v>796</v>
      </c>
      <c r="N71" s="120">
        <f>15226-11999</f>
        <v>3227</v>
      </c>
      <c r="O71" s="145">
        <f t="shared" si="1"/>
        <v>4023</v>
      </c>
      <c r="P71" s="2"/>
      <c r="Q71" s="2"/>
    </row>
    <row r="72" spans="1:15" ht="28.5">
      <c r="A72" s="278" t="s">
        <v>11</v>
      </c>
      <c r="B72" s="61" t="s">
        <v>12</v>
      </c>
      <c r="C72" s="56" t="s">
        <v>988</v>
      </c>
      <c r="D72" s="56"/>
      <c r="E72" s="56"/>
      <c r="F72" s="117" t="s">
        <v>969</v>
      </c>
      <c r="G72" s="142" t="s">
        <v>968</v>
      </c>
      <c r="H72" s="396" t="s">
        <v>1753</v>
      </c>
      <c r="I72" s="53">
        <v>129138</v>
      </c>
      <c r="J72" s="53" t="s">
        <v>152</v>
      </c>
      <c r="K72" s="213">
        <v>0.6</v>
      </c>
      <c r="L72" s="359">
        <f>11169-8199</f>
        <v>2970</v>
      </c>
      <c r="M72" s="46"/>
      <c r="N72" s="46"/>
      <c r="O72" s="360">
        <f>L72</f>
        <v>2970</v>
      </c>
    </row>
    <row r="73" spans="1:15" ht="28.5">
      <c r="A73" s="278" t="s">
        <v>11</v>
      </c>
      <c r="B73" s="65" t="s">
        <v>12</v>
      </c>
      <c r="C73" s="57" t="s">
        <v>1545</v>
      </c>
      <c r="D73" s="57"/>
      <c r="E73" s="56"/>
      <c r="F73" s="117" t="s">
        <v>969</v>
      </c>
      <c r="G73" s="117" t="s">
        <v>968</v>
      </c>
      <c r="H73" s="385" t="s">
        <v>1754</v>
      </c>
      <c r="I73" s="56">
        <v>31795</v>
      </c>
      <c r="J73" s="56" t="s">
        <v>152</v>
      </c>
      <c r="K73" s="350">
        <v>0.5</v>
      </c>
      <c r="L73" s="359">
        <f>5567-4395</f>
        <v>1172</v>
      </c>
      <c r="M73" s="46"/>
      <c r="N73" s="46"/>
      <c r="O73" s="360">
        <f>L73</f>
        <v>1172</v>
      </c>
    </row>
    <row r="74" spans="1:15" ht="29.25">
      <c r="A74" s="278" t="s">
        <v>11</v>
      </c>
      <c r="B74" s="61" t="s">
        <v>12</v>
      </c>
      <c r="C74" s="168" t="s">
        <v>981</v>
      </c>
      <c r="D74" s="168"/>
      <c r="E74" s="56"/>
      <c r="F74" s="56" t="s">
        <v>969</v>
      </c>
      <c r="G74" s="56" t="s">
        <v>968</v>
      </c>
      <c r="H74" s="416" t="s">
        <v>1808</v>
      </c>
      <c r="I74" s="540">
        <v>1503997</v>
      </c>
      <c r="J74" s="56" t="s">
        <v>152</v>
      </c>
      <c r="K74" s="350">
        <v>0.2</v>
      </c>
      <c r="L74" s="13">
        <f>2911-1769</f>
        <v>1142</v>
      </c>
      <c r="M74" s="46"/>
      <c r="N74" s="46"/>
      <c r="O74" s="13">
        <f>L74</f>
        <v>1142</v>
      </c>
    </row>
    <row r="75" spans="1:15" ht="30" thickBot="1">
      <c r="A75" s="277" t="s">
        <v>11</v>
      </c>
      <c r="B75" s="61" t="s">
        <v>12</v>
      </c>
      <c r="C75" s="93" t="s">
        <v>982</v>
      </c>
      <c r="D75" s="80"/>
      <c r="E75" s="80" t="s">
        <v>1856</v>
      </c>
      <c r="F75" s="80" t="s">
        <v>969</v>
      </c>
      <c r="G75" s="80" t="s">
        <v>968</v>
      </c>
      <c r="H75" s="416" t="s">
        <v>1855</v>
      </c>
      <c r="I75" s="80">
        <v>1399813</v>
      </c>
      <c r="J75" s="4" t="s">
        <v>16</v>
      </c>
      <c r="K75" s="541">
        <v>0.4</v>
      </c>
      <c r="L75" s="46"/>
      <c r="M75" s="13">
        <f>3856-3537</f>
        <v>319</v>
      </c>
      <c r="N75" s="13">
        <f>7562-6156</f>
        <v>1406</v>
      </c>
      <c r="O75" s="481">
        <f>SUM(M75:N75)</f>
        <v>1725</v>
      </c>
    </row>
    <row r="76" spans="2:15" ht="23.25" customHeight="1">
      <c r="B76" s="586" t="s">
        <v>155</v>
      </c>
      <c r="C76" s="614" t="s">
        <v>1375</v>
      </c>
      <c r="D76" s="615"/>
      <c r="E76" s="616"/>
      <c r="F76" s="616"/>
      <c r="H76" s="663" t="s">
        <v>1998</v>
      </c>
      <c r="I76" s="615" t="s">
        <v>1375</v>
      </c>
      <c r="K76" s="1"/>
      <c r="N76" s="54" t="s">
        <v>156</v>
      </c>
      <c r="O76" s="358">
        <f>SUM(O18:O75)</f>
        <v>269387</v>
      </c>
    </row>
    <row r="77" spans="2:11" ht="15">
      <c r="B77" s="37"/>
      <c r="C77" s="295" t="s">
        <v>1755</v>
      </c>
      <c r="D77" s="617"/>
      <c r="E77" s="616"/>
      <c r="F77" s="616"/>
      <c r="H77" s="618"/>
      <c r="I77" s="617" t="s">
        <v>1755</v>
      </c>
      <c r="K77" s="1"/>
    </row>
    <row r="78" spans="2:9" ht="15.75" thickBot="1">
      <c r="B78" s="37"/>
      <c r="C78" s="295" t="s">
        <v>1042</v>
      </c>
      <c r="D78" s="617"/>
      <c r="E78" s="616"/>
      <c r="F78" s="616"/>
      <c r="H78" s="619"/>
      <c r="I78" s="620" t="s">
        <v>1042</v>
      </c>
    </row>
    <row r="79" spans="2:8" ht="15">
      <c r="B79" s="282" t="s">
        <v>1689</v>
      </c>
      <c r="C79" s="295">
        <v>8222146582</v>
      </c>
      <c r="D79" s="621"/>
      <c r="E79" s="616"/>
      <c r="F79" s="616"/>
      <c r="G79" s="616"/>
      <c r="H79" s="616"/>
    </row>
    <row r="80" spans="2:8" ht="15.75" thickBot="1">
      <c r="B80" s="240" t="s">
        <v>1693</v>
      </c>
      <c r="C80" s="622" t="s">
        <v>1756</v>
      </c>
      <c r="D80" s="623"/>
      <c r="E80" s="616"/>
      <c r="F80" s="616"/>
      <c r="G80" s="616"/>
      <c r="H80" s="616"/>
    </row>
    <row r="81" spans="3:8" ht="15">
      <c r="C81" s="1"/>
      <c r="D81" s="1"/>
      <c r="E81" s="1"/>
      <c r="F81" s="1"/>
      <c r="H81" s="539"/>
    </row>
    <row r="82" ht="15" thickBot="1"/>
    <row r="83" spans="1:21" ht="51.75" customHeight="1">
      <c r="A83" s="718" t="s">
        <v>0</v>
      </c>
      <c r="B83" s="686" t="s">
        <v>1</v>
      </c>
      <c r="C83" s="686" t="s">
        <v>2</v>
      </c>
      <c r="D83" s="686" t="s">
        <v>3</v>
      </c>
      <c r="E83" s="686" t="s">
        <v>1335</v>
      </c>
      <c r="F83" s="686" t="s">
        <v>5</v>
      </c>
      <c r="G83" s="686" t="s">
        <v>6</v>
      </c>
      <c r="H83" s="695" t="s">
        <v>8</v>
      </c>
      <c r="I83" s="695" t="s">
        <v>753</v>
      </c>
      <c r="J83" s="695" t="s">
        <v>157</v>
      </c>
      <c r="K83" s="769" t="s">
        <v>9</v>
      </c>
      <c r="L83" s="762" t="s">
        <v>1043</v>
      </c>
      <c r="M83" s="763"/>
      <c r="N83" s="763"/>
      <c r="O83" s="764"/>
      <c r="P83" s="762" t="s">
        <v>1044</v>
      </c>
      <c r="Q83" s="763"/>
      <c r="R83" s="763"/>
      <c r="S83" s="764"/>
      <c r="T83" s="695" t="s">
        <v>1849</v>
      </c>
      <c r="U83" s="733" t="s">
        <v>1321</v>
      </c>
    </row>
    <row r="84" spans="1:21" ht="18.75" customHeight="1">
      <c r="A84" s="719"/>
      <c r="B84" s="687"/>
      <c r="C84" s="687"/>
      <c r="D84" s="687"/>
      <c r="E84" s="687"/>
      <c r="F84" s="687"/>
      <c r="G84" s="687"/>
      <c r="H84" s="696"/>
      <c r="I84" s="696"/>
      <c r="J84" s="696"/>
      <c r="K84" s="770"/>
      <c r="L84" s="765" t="s">
        <v>1041</v>
      </c>
      <c r="M84" s="767" t="s">
        <v>1035</v>
      </c>
      <c r="N84" s="767" t="s">
        <v>1036</v>
      </c>
      <c r="O84" s="760" t="s">
        <v>1046</v>
      </c>
      <c r="P84" s="765" t="s">
        <v>1041</v>
      </c>
      <c r="Q84" s="767" t="s">
        <v>1035</v>
      </c>
      <c r="R84" s="767" t="s">
        <v>1036</v>
      </c>
      <c r="S84" s="760" t="s">
        <v>1046</v>
      </c>
      <c r="T84" s="696"/>
      <c r="U84" s="734"/>
    </row>
    <row r="85" spans="1:21" ht="18.75" customHeight="1" thickBot="1">
      <c r="A85" s="720"/>
      <c r="B85" s="688"/>
      <c r="C85" s="688"/>
      <c r="D85" s="688"/>
      <c r="E85" s="688"/>
      <c r="F85" s="688"/>
      <c r="G85" s="688"/>
      <c r="H85" s="697"/>
      <c r="I85" s="697"/>
      <c r="J85" s="697"/>
      <c r="K85" s="771"/>
      <c r="L85" s="766"/>
      <c r="M85" s="768"/>
      <c r="N85" s="768"/>
      <c r="O85" s="761"/>
      <c r="P85" s="766"/>
      <c r="Q85" s="768"/>
      <c r="R85" s="768"/>
      <c r="S85" s="761"/>
      <c r="T85" s="696"/>
      <c r="U85" s="734"/>
    </row>
    <row r="86" spans="1:21" ht="68.25" customHeight="1" thickBot="1">
      <c r="A86" s="483" t="s">
        <v>754</v>
      </c>
      <c r="B86" s="117" t="s">
        <v>12</v>
      </c>
      <c r="C86" s="93" t="s">
        <v>982</v>
      </c>
      <c r="D86" s="80"/>
      <c r="E86" s="80" t="s">
        <v>1857</v>
      </c>
      <c r="F86" s="80" t="s">
        <v>969</v>
      </c>
      <c r="G86" s="80" t="s">
        <v>968</v>
      </c>
      <c r="H86" s="416">
        <v>53810149</v>
      </c>
      <c r="I86" s="484"/>
      <c r="J86" s="168" t="s">
        <v>16</v>
      </c>
      <c r="K86" s="63">
        <v>0.4</v>
      </c>
      <c r="L86" s="29"/>
      <c r="M86" s="120">
        <f>200</f>
        <v>200</v>
      </c>
      <c r="N86" s="120">
        <f>1000</f>
        <v>1000</v>
      </c>
      <c r="O86" s="120">
        <f>SUM(M86:N86)</f>
        <v>1200</v>
      </c>
      <c r="P86" s="482"/>
      <c r="Q86" s="120">
        <f>200</f>
        <v>200</v>
      </c>
      <c r="R86" s="120">
        <f>1000</f>
        <v>1000</v>
      </c>
      <c r="S86" s="145">
        <f>SUM(Q86:R86)</f>
        <v>1200</v>
      </c>
      <c r="T86" s="61" t="s">
        <v>1858</v>
      </c>
      <c r="U86" s="56" t="s">
        <v>1846</v>
      </c>
    </row>
    <row r="87" spans="2:19" ht="21.75" customHeight="1">
      <c r="B87" s="586" t="s">
        <v>155</v>
      </c>
      <c r="C87" s="614" t="s">
        <v>1375</v>
      </c>
      <c r="D87" s="615"/>
      <c r="H87" s="663" t="s">
        <v>1998</v>
      </c>
      <c r="I87" s="615" t="s">
        <v>1375</v>
      </c>
      <c r="L87" s="2"/>
      <c r="M87" s="2"/>
      <c r="N87" s="2"/>
      <c r="O87" s="2"/>
      <c r="P87" s="2"/>
      <c r="Q87" s="2"/>
      <c r="R87" s="54" t="s">
        <v>156</v>
      </c>
      <c r="S87" s="362">
        <f>SUM(S86)</f>
        <v>1200</v>
      </c>
    </row>
    <row r="88" spans="2:19" ht="15">
      <c r="B88" s="37"/>
      <c r="C88" s="295" t="s">
        <v>1755</v>
      </c>
      <c r="D88" s="617"/>
      <c r="H88" s="618"/>
      <c r="I88" s="617" t="s">
        <v>1755</v>
      </c>
      <c r="L88" s="2"/>
      <c r="M88" s="2"/>
      <c r="N88" s="2"/>
      <c r="O88" s="2"/>
      <c r="P88" s="2"/>
      <c r="Q88" s="2"/>
      <c r="R88" s="2"/>
      <c r="S88" s="2"/>
    </row>
    <row r="89" spans="2:14" ht="15.75" thickBot="1">
      <c r="B89" s="37"/>
      <c r="C89" s="295" t="s">
        <v>1042</v>
      </c>
      <c r="D89" s="617"/>
      <c r="H89" s="619"/>
      <c r="I89" s="620" t="s">
        <v>1042</v>
      </c>
      <c r="M89" s="59" t="s">
        <v>160</v>
      </c>
      <c r="N89" s="2">
        <f>O76+S87</f>
        <v>270587</v>
      </c>
    </row>
    <row r="90" spans="2:4" ht="15.75" thickBot="1">
      <c r="B90" s="240" t="s">
        <v>1689</v>
      </c>
      <c r="C90" s="622">
        <v>8222146582</v>
      </c>
      <c r="D90" s="623"/>
    </row>
    <row r="91" spans="11:15" ht="47.25" customHeight="1">
      <c r="K91" s="737" t="s">
        <v>157</v>
      </c>
      <c r="L91" s="702" t="s">
        <v>1034</v>
      </c>
      <c r="M91" s="703"/>
      <c r="N91" s="704"/>
      <c r="O91" s="713" t="s">
        <v>158</v>
      </c>
    </row>
    <row r="92" spans="11:15" ht="25.5" customHeight="1" thickBot="1">
      <c r="K92" s="738"/>
      <c r="L92" s="130" t="s">
        <v>159</v>
      </c>
      <c r="M92" s="130" t="s">
        <v>1035</v>
      </c>
      <c r="N92" s="130" t="s">
        <v>1036</v>
      </c>
      <c r="O92" s="714"/>
    </row>
    <row r="93" spans="11:15" ht="25.5" customHeight="1">
      <c r="K93" s="53" t="s">
        <v>152</v>
      </c>
      <c r="L93" s="26">
        <f>O72+O73+O74</f>
        <v>5284</v>
      </c>
      <c r="M93" s="55"/>
      <c r="N93" s="55"/>
      <c r="O93" s="54">
        <v>3</v>
      </c>
    </row>
    <row r="94" spans="11:15" ht="25.5" customHeight="1">
      <c r="K94" s="56" t="s">
        <v>154</v>
      </c>
      <c r="L94" s="13">
        <f>O63</f>
        <v>5196</v>
      </c>
      <c r="M94" s="97"/>
      <c r="N94" s="97"/>
      <c r="O94" s="56">
        <v>1</v>
      </c>
    </row>
    <row r="95" spans="11:15" ht="25.5" customHeight="1" thickBot="1">
      <c r="K95" s="56" t="s">
        <v>16</v>
      </c>
      <c r="L95" s="58"/>
      <c r="M95" s="14">
        <f>SUM(M18:M71,M75,M86)</f>
        <v>52106</v>
      </c>
      <c r="N95" s="14">
        <f>SUM(N18:N75,N86)</f>
        <v>208001</v>
      </c>
      <c r="O95" s="14">
        <v>55</v>
      </c>
    </row>
    <row r="96" spans="11:15" ht="25.5" customHeight="1" thickBot="1">
      <c r="K96" s="134" t="s">
        <v>160</v>
      </c>
      <c r="L96" s="135">
        <f>SUM(L93:L95)</f>
        <v>10480</v>
      </c>
      <c r="M96" s="18">
        <f>SUM(M93:M95)</f>
        <v>52106</v>
      </c>
      <c r="N96" s="15">
        <f>SUM(N93:N95)</f>
        <v>208001</v>
      </c>
      <c r="O96" s="354">
        <f>SUM(O93:O95)</f>
        <v>59</v>
      </c>
    </row>
    <row r="97" spans="12:15" ht="25.5" customHeight="1" thickBot="1">
      <c r="L97" s="20" t="s">
        <v>161</v>
      </c>
      <c r="M97" s="346">
        <f>SUM(L96:N96)</f>
        <v>270587</v>
      </c>
      <c r="N97" s="2"/>
      <c r="O97" s="2"/>
    </row>
  </sheetData>
  <sheetProtection/>
  <mergeCells count="42">
    <mergeCell ref="K91:K92"/>
    <mergeCell ref="L91:N91"/>
    <mergeCell ref="O91:O92"/>
    <mergeCell ref="K15:K17"/>
    <mergeCell ref="A15:A17"/>
    <mergeCell ref="B15:B17"/>
    <mergeCell ref="C15:C17"/>
    <mergeCell ref="D15:D17"/>
    <mergeCell ref="E15:E17"/>
    <mergeCell ref="I15:I17"/>
    <mergeCell ref="B3:I3"/>
    <mergeCell ref="B5:I5"/>
    <mergeCell ref="F15:F17"/>
    <mergeCell ref="G15:G17"/>
    <mergeCell ref="B1:K1"/>
    <mergeCell ref="L15:O15"/>
    <mergeCell ref="L16:O16"/>
    <mergeCell ref="H15:H17"/>
    <mergeCell ref="J15:J17"/>
    <mergeCell ref="A83:A85"/>
    <mergeCell ref="B83:B85"/>
    <mergeCell ref="C83:C85"/>
    <mergeCell ref="D83:D85"/>
    <mergeCell ref="E83:E85"/>
    <mergeCell ref="F83:F85"/>
    <mergeCell ref="R84:R85"/>
    <mergeCell ref="G83:G85"/>
    <mergeCell ref="H83:H85"/>
    <mergeCell ref="I83:I85"/>
    <mergeCell ref="J83:J85"/>
    <mergeCell ref="K83:K85"/>
    <mergeCell ref="L83:O83"/>
    <mergeCell ref="T83:T85"/>
    <mergeCell ref="U83:U85"/>
    <mergeCell ref="S84:S85"/>
    <mergeCell ref="P83:S83"/>
    <mergeCell ref="L84:L85"/>
    <mergeCell ref="M84:M85"/>
    <mergeCell ref="N84:N85"/>
    <mergeCell ref="O84:O85"/>
    <mergeCell ref="P84:P85"/>
    <mergeCell ref="Q84:Q85"/>
  </mergeCells>
  <printOptions/>
  <pageMargins left="0.7" right="0.7" top="0.75" bottom="0.75" header="0.3" footer="0.3"/>
  <pageSetup horizontalDpi="600" verticalDpi="600" orientation="portrait" paperSize="9" r:id="rId1"/>
  <ignoredErrors>
    <ignoredError sqref="O6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84"/>
  <sheetViews>
    <sheetView zoomScale="80" zoomScaleNormal="80" zoomScalePageLayoutView="0" workbookViewId="0" topLeftCell="A61">
      <selection activeCell="C81" sqref="C81"/>
    </sheetView>
  </sheetViews>
  <sheetFormatPr defaultColWidth="8.796875" defaultRowHeight="14.25"/>
  <cols>
    <col min="1" max="1" width="14.5" style="0" customWidth="1"/>
    <col min="2" max="2" width="14.09765625" style="0" customWidth="1"/>
    <col min="3" max="3" width="14" style="0" customWidth="1"/>
    <col min="4" max="4" width="14.09765625" style="0" customWidth="1"/>
    <col min="5" max="5" width="10.09765625" style="0" customWidth="1"/>
    <col min="6" max="6" width="10.3984375" style="0" customWidth="1"/>
    <col min="7" max="7" width="11.8984375" style="0" customWidth="1"/>
    <col min="8" max="8" width="15.19921875" style="0" customWidth="1"/>
    <col min="9" max="9" width="25.5" style="0" customWidth="1"/>
    <col min="10" max="10" width="12.19921875" style="0" customWidth="1"/>
    <col min="11" max="11" width="9.69921875" style="0" customWidth="1"/>
    <col min="12" max="12" width="15.19921875" style="0" customWidth="1"/>
    <col min="13" max="13" width="15" style="0" customWidth="1"/>
    <col min="14" max="14" width="17.09765625" style="0" customWidth="1"/>
    <col min="15" max="15" width="16.19921875" style="0" customWidth="1"/>
    <col min="16" max="19" width="18.8984375" style="0" customWidth="1"/>
    <col min="20" max="20" width="21.3984375" style="0" customWidth="1"/>
    <col min="21" max="21" width="18.8984375" style="0" customWidth="1"/>
  </cols>
  <sheetData>
    <row r="1" spans="2:11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0" ht="15">
      <c r="B2" s="222"/>
      <c r="C2" s="222"/>
      <c r="D2" s="222"/>
      <c r="E2" s="222"/>
      <c r="F2" s="222"/>
      <c r="G2" s="222"/>
      <c r="H2" s="223"/>
      <c r="I2" s="224"/>
      <c r="J2" s="222"/>
    </row>
    <row r="3" spans="2:10" ht="29.25" customHeight="1">
      <c r="B3" s="715" t="s">
        <v>1037</v>
      </c>
      <c r="C3" s="716"/>
      <c r="D3" s="716"/>
      <c r="E3" s="716"/>
      <c r="F3" s="716"/>
      <c r="G3" s="716"/>
      <c r="H3" s="716"/>
      <c r="I3" s="717"/>
      <c r="J3" s="222"/>
    </row>
    <row r="4" spans="2:10" ht="15">
      <c r="B4" s="223"/>
      <c r="C4" s="223"/>
      <c r="D4" s="223"/>
      <c r="E4" s="223"/>
      <c r="F4" s="223"/>
      <c r="G4" s="223"/>
      <c r="H4" s="223"/>
      <c r="I4" s="224"/>
      <c r="J4" s="222"/>
    </row>
    <row r="5" spans="2:10" ht="15">
      <c r="B5" s="679" t="s">
        <v>1029</v>
      </c>
      <c r="C5" s="679"/>
      <c r="D5" s="679"/>
      <c r="E5" s="679"/>
      <c r="F5" s="679"/>
      <c r="G5" s="679"/>
      <c r="H5" s="679"/>
      <c r="I5" s="679"/>
      <c r="J5" s="222"/>
    </row>
    <row r="6" spans="2:10" ht="15">
      <c r="B6" s="223"/>
      <c r="C6" s="223"/>
      <c r="D6" s="223"/>
      <c r="E6" s="223"/>
      <c r="F6" s="223"/>
      <c r="G6" s="223"/>
      <c r="H6" s="223"/>
      <c r="I6" s="224"/>
      <c r="J6" s="222"/>
    </row>
    <row r="7" spans="2:10" ht="15.75">
      <c r="B7" s="225" t="s">
        <v>967</v>
      </c>
      <c r="C7" s="222"/>
      <c r="D7" s="223"/>
      <c r="E7" s="223"/>
      <c r="F7" s="223"/>
      <c r="G7" s="222"/>
      <c r="H7" s="223"/>
      <c r="I7" s="224"/>
      <c r="J7" s="222"/>
    </row>
    <row r="8" spans="2:10" ht="15">
      <c r="B8" s="528" t="s">
        <v>1986</v>
      </c>
      <c r="C8" s="222"/>
      <c r="D8" s="223"/>
      <c r="E8" s="223"/>
      <c r="F8" s="223"/>
      <c r="G8" s="222"/>
      <c r="H8" s="223"/>
      <c r="I8" s="224"/>
      <c r="J8" s="222"/>
    </row>
    <row r="9" spans="2:10" ht="15.75">
      <c r="B9" s="226" t="s">
        <v>1828</v>
      </c>
      <c r="C9" s="222"/>
      <c r="D9" s="227"/>
      <c r="E9" s="223"/>
      <c r="F9" s="223"/>
      <c r="G9" s="222"/>
      <c r="H9" s="223"/>
      <c r="I9" s="224"/>
      <c r="J9" s="222"/>
    </row>
    <row r="10" spans="2:10" ht="15.75">
      <c r="B10" s="226" t="s">
        <v>1681</v>
      </c>
      <c r="C10" s="222"/>
      <c r="D10" s="227"/>
      <c r="E10" s="223"/>
      <c r="F10" s="223"/>
      <c r="G10" s="222"/>
      <c r="H10" s="223"/>
      <c r="I10" s="224"/>
      <c r="J10" s="222"/>
    </row>
    <row r="11" spans="2:10" ht="15">
      <c r="B11" s="222" t="s">
        <v>1047</v>
      </c>
      <c r="C11" s="222"/>
      <c r="D11" s="222"/>
      <c r="E11" s="222"/>
      <c r="F11" s="222"/>
      <c r="G11" s="222"/>
      <c r="H11" s="223"/>
      <c r="I11" s="224"/>
      <c r="J11" s="222"/>
    </row>
    <row r="12" spans="2:10" ht="15.75">
      <c r="B12" s="228" t="s">
        <v>1030</v>
      </c>
      <c r="C12" s="225" t="s">
        <v>1031</v>
      </c>
      <c r="D12" s="227"/>
      <c r="E12" s="227"/>
      <c r="F12" s="227"/>
      <c r="G12" s="227"/>
      <c r="H12" s="230"/>
      <c r="I12" s="222"/>
      <c r="J12" s="222"/>
    </row>
    <row r="13" spans="2:10" ht="15.75"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22"/>
    </row>
    <row r="14" ht="15" thickBot="1"/>
    <row r="15" spans="1:15" ht="4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753</v>
      </c>
      <c r="I15" s="686" t="s">
        <v>7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4.25" customHeight="1">
      <c r="A16" s="708"/>
      <c r="B16" s="677"/>
      <c r="C16" s="681"/>
      <c r="D16" s="681"/>
      <c r="E16" s="687"/>
      <c r="F16" s="687"/>
      <c r="G16" s="681"/>
      <c r="H16" s="687"/>
      <c r="I16" s="687"/>
      <c r="J16" s="687"/>
      <c r="K16" s="693"/>
      <c r="L16" s="689" t="s">
        <v>1040</v>
      </c>
      <c r="M16" s="690"/>
      <c r="N16" s="690"/>
      <c r="O16" s="691"/>
    </row>
    <row r="17" spans="1:15" ht="29.25" customHeight="1" thickBot="1">
      <c r="A17" s="709"/>
      <c r="B17" s="678"/>
      <c r="C17" s="682"/>
      <c r="D17" s="682"/>
      <c r="E17" s="688"/>
      <c r="F17" s="688"/>
      <c r="G17" s="682"/>
      <c r="H17" s="688"/>
      <c r="I17" s="688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ht="28.5">
      <c r="A18" s="277" t="s">
        <v>11</v>
      </c>
      <c r="B18" s="23" t="s">
        <v>12</v>
      </c>
      <c r="C18" s="23" t="s">
        <v>994</v>
      </c>
      <c r="D18" s="43" t="s">
        <v>996</v>
      </c>
      <c r="E18" s="43"/>
      <c r="F18" s="43" t="s">
        <v>995</v>
      </c>
      <c r="G18" s="43" t="s">
        <v>994</v>
      </c>
      <c r="H18" s="43">
        <v>838115</v>
      </c>
      <c r="I18" s="396" t="s">
        <v>1555</v>
      </c>
      <c r="J18" s="123" t="s">
        <v>16</v>
      </c>
      <c r="K18" s="124">
        <v>6.6</v>
      </c>
      <c r="L18" s="443"/>
      <c r="M18" s="442">
        <f>10257-7661</f>
        <v>2596</v>
      </c>
      <c r="N18" s="442">
        <f>45516-36662</f>
        <v>8854</v>
      </c>
      <c r="O18" s="444">
        <f aca="true" t="shared" si="0" ref="O18:O28">SUM(M18:N18)</f>
        <v>11450</v>
      </c>
    </row>
    <row r="19" spans="1:15" ht="28.5">
      <c r="A19" s="277" t="s">
        <v>11</v>
      </c>
      <c r="B19" s="27" t="s">
        <v>12</v>
      </c>
      <c r="C19" s="27" t="s">
        <v>994</v>
      </c>
      <c r="D19" s="47" t="s">
        <v>996</v>
      </c>
      <c r="E19" s="47"/>
      <c r="F19" s="47" t="s">
        <v>995</v>
      </c>
      <c r="G19" s="47" t="s">
        <v>994</v>
      </c>
      <c r="H19" s="47">
        <v>871783</v>
      </c>
      <c r="I19" s="385" t="s">
        <v>1556</v>
      </c>
      <c r="J19" s="93" t="s">
        <v>16</v>
      </c>
      <c r="K19" s="125">
        <v>6.6</v>
      </c>
      <c r="L19" s="221"/>
      <c r="M19" s="30">
        <f>3514-2630</f>
        <v>884</v>
      </c>
      <c r="N19" s="30">
        <f>14920-11101</f>
        <v>3819</v>
      </c>
      <c r="O19" s="126">
        <f t="shared" si="0"/>
        <v>4703</v>
      </c>
    </row>
    <row r="20" spans="1:15" ht="28.5">
      <c r="A20" s="277" t="s">
        <v>11</v>
      </c>
      <c r="B20" s="27" t="s">
        <v>12</v>
      </c>
      <c r="C20" s="27" t="s">
        <v>994</v>
      </c>
      <c r="D20" s="47" t="s">
        <v>997</v>
      </c>
      <c r="E20" s="47"/>
      <c r="F20" s="47" t="s">
        <v>995</v>
      </c>
      <c r="G20" s="47" t="s">
        <v>994</v>
      </c>
      <c r="H20" s="47">
        <v>871784</v>
      </c>
      <c r="I20" s="396" t="s">
        <v>1557</v>
      </c>
      <c r="J20" s="93" t="s">
        <v>16</v>
      </c>
      <c r="K20" s="125">
        <v>7.5</v>
      </c>
      <c r="L20" s="221"/>
      <c r="M20" s="30">
        <f>12025-8911</f>
        <v>3114</v>
      </c>
      <c r="N20" s="30">
        <f>49925-36786</f>
        <v>13139</v>
      </c>
      <c r="O20" s="126">
        <f t="shared" si="0"/>
        <v>16253</v>
      </c>
    </row>
    <row r="21" spans="1:15" ht="28.5">
      <c r="A21" s="277" t="s">
        <v>11</v>
      </c>
      <c r="B21" s="27" t="s">
        <v>12</v>
      </c>
      <c r="C21" s="27" t="s">
        <v>994</v>
      </c>
      <c r="D21" s="47" t="s">
        <v>209</v>
      </c>
      <c r="E21" s="47"/>
      <c r="F21" s="47" t="s">
        <v>995</v>
      </c>
      <c r="G21" s="47" t="s">
        <v>994</v>
      </c>
      <c r="H21" s="47">
        <v>871782</v>
      </c>
      <c r="I21" s="396" t="s">
        <v>1558</v>
      </c>
      <c r="J21" s="93" t="s">
        <v>16</v>
      </c>
      <c r="K21" s="125">
        <v>6.6</v>
      </c>
      <c r="L21" s="221"/>
      <c r="M21" s="30">
        <f>10159-7591</f>
        <v>2568</v>
      </c>
      <c r="N21" s="30">
        <f>42425-31564</f>
        <v>10861</v>
      </c>
      <c r="O21" s="126">
        <f t="shared" si="0"/>
        <v>13429</v>
      </c>
    </row>
    <row r="22" spans="1:15" ht="28.5">
      <c r="A22" s="277" t="s">
        <v>11</v>
      </c>
      <c r="B22" s="27" t="s">
        <v>12</v>
      </c>
      <c r="C22" s="27" t="s">
        <v>994</v>
      </c>
      <c r="D22" s="47" t="s">
        <v>998</v>
      </c>
      <c r="E22" s="47"/>
      <c r="F22" s="47" t="s">
        <v>995</v>
      </c>
      <c r="G22" s="47" t="s">
        <v>994</v>
      </c>
      <c r="H22" s="47">
        <v>907904</v>
      </c>
      <c r="I22" s="385" t="s">
        <v>1559</v>
      </c>
      <c r="J22" s="93" t="s">
        <v>16</v>
      </c>
      <c r="K22" s="125">
        <v>6.6</v>
      </c>
      <c r="L22" s="221"/>
      <c r="M22" s="30">
        <f>8257-6182</f>
        <v>2075</v>
      </c>
      <c r="N22" s="30">
        <f>36278-26900</f>
        <v>9378</v>
      </c>
      <c r="O22" s="126">
        <f t="shared" si="0"/>
        <v>11453</v>
      </c>
    </row>
    <row r="23" spans="1:15" ht="28.5">
      <c r="A23" s="277" t="s">
        <v>11</v>
      </c>
      <c r="B23" s="27" t="s">
        <v>12</v>
      </c>
      <c r="C23" s="27" t="s">
        <v>994</v>
      </c>
      <c r="D23" s="27" t="s">
        <v>999</v>
      </c>
      <c r="E23" s="47"/>
      <c r="F23" s="47" t="s">
        <v>995</v>
      </c>
      <c r="G23" s="47" t="s">
        <v>994</v>
      </c>
      <c r="H23" s="47">
        <v>3515771</v>
      </c>
      <c r="I23" s="396" t="s">
        <v>1560</v>
      </c>
      <c r="J23" s="93" t="s">
        <v>16</v>
      </c>
      <c r="K23" s="125">
        <v>7.5</v>
      </c>
      <c r="L23" s="221"/>
      <c r="M23" s="30">
        <f>9972-6312</f>
        <v>3660</v>
      </c>
      <c r="N23" s="30">
        <f>32953-21263</f>
        <v>11690</v>
      </c>
      <c r="O23" s="126">
        <f t="shared" si="0"/>
        <v>15350</v>
      </c>
    </row>
    <row r="24" spans="1:15" ht="28.5">
      <c r="A24" s="277" t="s">
        <v>11</v>
      </c>
      <c r="B24" s="27" t="s">
        <v>12</v>
      </c>
      <c r="C24" s="27" t="s">
        <v>994</v>
      </c>
      <c r="D24" s="47" t="s">
        <v>383</v>
      </c>
      <c r="E24" s="47"/>
      <c r="F24" s="47" t="s">
        <v>995</v>
      </c>
      <c r="G24" s="47" t="s">
        <v>994</v>
      </c>
      <c r="H24" s="47">
        <v>907947</v>
      </c>
      <c r="I24" s="396" t="s">
        <v>1561</v>
      </c>
      <c r="J24" s="93" t="s">
        <v>16</v>
      </c>
      <c r="K24" s="125">
        <v>12</v>
      </c>
      <c r="L24" s="221"/>
      <c r="M24" s="30">
        <f>33199-24693</f>
        <v>8506</v>
      </c>
      <c r="N24" s="30">
        <f>141409-104626</f>
        <v>36783</v>
      </c>
      <c r="O24" s="126">
        <f t="shared" si="0"/>
        <v>45289</v>
      </c>
    </row>
    <row r="25" spans="1:15" ht="28.5">
      <c r="A25" s="277" t="s">
        <v>11</v>
      </c>
      <c r="B25" s="27" t="s">
        <v>12</v>
      </c>
      <c r="C25" s="27" t="s">
        <v>994</v>
      </c>
      <c r="D25" s="47" t="s">
        <v>1000</v>
      </c>
      <c r="E25" s="47"/>
      <c r="F25" s="47" t="s">
        <v>995</v>
      </c>
      <c r="G25" s="47" t="s">
        <v>994</v>
      </c>
      <c r="H25" s="47">
        <v>907906</v>
      </c>
      <c r="I25" s="385" t="s">
        <v>1562</v>
      </c>
      <c r="J25" s="93" t="s">
        <v>16</v>
      </c>
      <c r="K25" s="125">
        <v>8.5</v>
      </c>
      <c r="L25" s="221"/>
      <c r="M25" s="30">
        <f>13791-9996</f>
        <v>3795</v>
      </c>
      <c r="N25" s="30">
        <f>58904-42451</f>
        <v>16453</v>
      </c>
      <c r="O25" s="126">
        <f t="shared" si="0"/>
        <v>20248</v>
      </c>
    </row>
    <row r="26" spans="1:15" ht="28.5">
      <c r="A26" s="277" t="s">
        <v>11</v>
      </c>
      <c r="B26" s="27" t="s">
        <v>12</v>
      </c>
      <c r="C26" s="27" t="s">
        <v>994</v>
      </c>
      <c r="D26" s="47" t="s">
        <v>320</v>
      </c>
      <c r="E26" s="47"/>
      <c r="F26" s="47" t="s">
        <v>995</v>
      </c>
      <c r="G26" s="47" t="s">
        <v>994</v>
      </c>
      <c r="H26" s="47">
        <v>70938018</v>
      </c>
      <c r="I26" s="396" t="s">
        <v>1565</v>
      </c>
      <c r="J26" s="93" t="s">
        <v>16</v>
      </c>
      <c r="K26" s="125">
        <v>7</v>
      </c>
      <c r="L26" s="221"/>
      <c r="M26" s="30">
        <f>11085-8411</f>
        <v>2674</v>
      </c>
      <c r="N26" s="30">
        <f>52369-37238</f>
        <v>15131</v>
      </c>
      <c r="O26" s="126">
        <f>SUM(M26:N26)</f>
        <v>17805</v>
      </c>
    </row>
    <row r="27" spans="1:15" ht="58.5" customHeight="1">
      <c r="A27" s="277" t="s">
        <v>11</v>
      </c>
      <c r="B27" s="27" t="s">
        <v>12</v>
      </c>
      <c r="C27" s="27" t="s">
        <v>994</v>
      </c>
      <c r="D27" s="27" t="s">
        <v>1001</v>
      </c>
      <c r="E27" s="47"/>
      <c r="F27" s="47" t="s">
        <v>995</v>
      </c>
      <c r="G27" s="47" t="s">
        <v>994</v>
      </c>
      <c r="H27" s="47">
        <v>908018</v>
      </c>
      <c r="I27" s="396" t="s">
        <v>1563</v>
      </c>
      <c r="J27" s="93" t="s">
        <v>16</v>
      </c>
      <c r="K27" s="125">
        <v>13</v>
      </c>
      <c r="L27" s="221"/>
      <c r="M27" s="30">
        <f>12198-8849</f>
        <v>3349</v>
      </c>
      <c r="N27" s="30">
        <f>52151-37512</f>
        <v>14639</v>
      </c>
      <c r="O27" s="126">
        <f t="shared" si="0"/>
        <v>17988</v>
      </c>
    </row>
    <row r="28" spans="1:15" ht="28.5">
      <c r="A28" s="277" t="s">
        <v>11</v>
      </c>
      <c r="B28" s="27" t="s">
        <v>12</v>
      </c>
      <c r="C28" s="27" t="s">
        <v>994</v>
      </c>
      <c r="D28" s="47" t="s">
        <v>1002</v>
      </c>
      <c r="E28" s="47"/>
      <c r="F28" s="47" t="s">
        <v>995</v>
      </c>
      <c r="G28" s="47" t="s">
        <v>994</v>
      </c>
      <c r="H28" s="47">
        <v>90030883</v>
      </c>
      <c r="I28" s="385" t="s">
        <v>1566</v>
      </c>
      <c r="J28" s="93" t="s">
        <v>16</v>
      </c>
      <c r="K28" s="125">
        <v>6.6</v>
      </c>
      <c r="L28" s="221"/>
      <c r="M28" s="30">
        <f>2726-1288</f>
        <v>1438</v>
      </c>
      <c r="N28" s="30">
        <f>9872-3748</f>
        <v>6124</v>
      </c>
      <c r="O28" s="126">
        <f t="shared" si="0"/>
        <v>7562</v>
      </c>
    </row>
    <row r="29" spans="1:15" ht="28.5">
      <c r="A29" s="277" t="s">
        <v>11</v>
      </c>
      <c r="B29" s="27" t="s">
        <v>12</v>
      </c>
      <c r="C29" s="27" t="s">
        <v>994</v>
      </c>
      <c r="D29" s="27" t="s">
        <v>1003</v>
      </c>
      <c r="E29" s="47"/>
      <c r="F29" s="47" t="s">
        <v>995</v>
      </c>
      <c r="G29" s="47" t="s">
        <v>994</v>
      </c>
      <c r="H29" s="47">
        <v>907902</v>
      </c>
      <c r="I29" s="396" t="s">
        <v>1564</v>
      </c>
      <c r="J29" s="92" t="s">
        <v>152</v>
      </c>
      <c r="K29" s="125">
        <v>6.6</v>
      </c>
      <c r="L29" s="127">
        <f>7110-5414</f>
        <v>1696</v>
      </c>
      <c r="M29" s="46"/>
      <c r="N29" s="46"/>
      <c r="O29" s="126">
        <f>L29</f>
        <v>1696</v>
      </c>
    </row>
    <row r="30" spans="1:15" ht="28.5">
      <c r="A30" s="277" t="s">
        <v>11</v>
      </c>
      <c r="B30" s="27" t="s">
        <v>12</v>
      </c>
      <c r="C30" s="27" t="s">
        <v>994</v>
      </c>
      <c r="D30" s="47" t="s">
        <v>996</v>
      </c>
      <c r="E30" s="47">
        <v>96</v>
      </c>
      <c r="F30" s="47" t="s">
        <v>995</v>
      </c>
      <c r="G30" s="47" t="s">
        <v>994</v>
      </c>
      <c r="H30" s="47">
        <v>28702</v>
      </c>
      <c r="I30" s="396" t="s">
        <v>1567</v>
      </c>
      <c r="J30" s="92" t="s">
        <v>152</v>
      </c>
      <c r="K30" s="125">
        <v>2.2</v>
      </c>
      <c r="L30" s="127">
        <f>36863-28245</f>
        <v>8618</v>
      </c>
      <c r="M30" s="46"/>
      <c r="N30" s="46"/>
      <c r="O30" s="126">
        <f>L30</f>
        <v>8618</v>
      </c>
    </row>
    <row r="31" spans="1:15" ht="28.5">
      <c r="A31" s="277" t="s">
        <v>11</v>
      </c>
      <c r="B31" s="27" t="s">
        <v>12</v>
      </c>
      <c r="C31" s="27" t="s">
        <v>994</v>
      </c>
      <c r="D31" s="27" t="s">
        <v>310</v>
      </c>
      <c r="E31" s="47"/>
      <c r="F31" s="47" t="s">
        <v>995</v>
      </c>
      <c r="G31" s="47" t="s">
        <v>994</v>
      </c>
      <c r="H31" s="47">
        <v>1002128</v>
      </c>
      <c r="I31" s="385" t="s">
        <v>1568</v>
      </c>
      <c r="J31" s="93" t="s">
        <v>16</v>
      </c>
      <c r="K31" s="125">
        <v>1.7</v>
      </c>
      <c r="L31" s="221"/>
      <c r="M31" s="30">
        <f>3943-3198</f>
        <v>745</v>
      </c>
      <c r="N31" s="30">
        <f>15959-13088</f>
        <v>2871</v>
      </c>
      <c r="O31" s="126">
        <f aca="true" t="shared" si="1" ref="O31:O37">SUM(M31:N31)</f>
        <v>3616</v>
      </c>
    </row>
    <row r="32" spans="1:15" ht="28.5">
      <c r="A32" s="277" t="s">
        <v>11</v>
      </c>
      <c r="B32" s="27" t="s">
        <v>12</v>
      </c>
      <c r="C32" s="27" t="s">
        <v>1004</v>
      </c>
      <c r="D32" s="47"/>
      <c r="E32" s="47"/>
      <c r="F32" s="47" t="s">
        <v>995</v>
      </c>
      <c r="G32" s="47" t="s">
        <v>994</v>
      </c>
      <c r="H32" s="47">
        <v>105602</v>
      </c>
      <c r="I32" s="396" t="s">
        <v>1569</v>
      </c>
      <c r="J32" s="93" t="s">
        <v>16</v>
      </c>
      <c r="K32" s="125">
        <v>0.6</v>
      </c>
      <c r="L32" s="221"/>
      <c r="M32" s="30">
        <f>1684-1255</f>
        <v>429</v>
      </c>
      <c r="N32" s="30">
        <f>7255-5398</f>
        <v>1857</v>
      </c>
      <c r="O32" s="126">
        <f t="shared" si="1"/>
        <v>2286</v>
      </c>
    </row>
    <row r="33" spans="1:15" ht="28.5">
      <c r="A33" s="277" t="s">
        <v>11</v>
      </c>
      <c r="B33" s="27" t="s">
        <v>12</v>
      </c>
      <c r="C33" s="27" t="s">
        <v>1004</v>
      </c>
      <c r="D33" s="47"/>
      <c r="E33" s="47"/>
      <c r="F33" s="47" t="s">
        <v>995</v>
      </c>
      <c r="G33" s="47" t="s">
        <v>994</v>
      </c>
      <c r="H33" s="47">
        <v>123239</v>
      </c>
      <c r="I33" s="396" t="s">
        <v>1570</v>
      </c>
      <c r="J33" s="93" t="s">
        <v>16</v>
      </c>
      <c r="K33" s="125">
        <v>1.4</v>
      </c>
      <c r="L33" s="221"/>
      <c r="M33" s="30">
        <f>3267-2399</f>
        <v>868</v>
      </c>
      <c r="N33" s="30">
        <f>12761-9136</f>
        <v>3625</v>
      </c>
      <c r="O33" s="126">
        <f t="shared" si="1"/>
        <v>4493</v>
      </c>
    </row>
    <row r="34" spans="1:15" ht="28.5">
      <c r="A34" s="277" t="s">
        <v>11</v>
      </c>
      <c r="B34" s="27" t="s">
        <v>12</v>
      </c>
      <c r="C34" s="27" t="s">
        <v>1005</v>
      </c>
      <c r="D34" s="47"/>
      <c r="E34" s="47"/>
      <c r="F34" s="47" t="s">
        <v>995</v>
      </c>
      <c r="G34" s="47" t="s">
        <v>994</v>
      </c>
      <c r="H34" s="47">
        <v>123233</v>
      </c>
      <c r="I34" s="385" t="s">
        <v>1571</v>
      </c>
      <c r="J34" s="93" t="s">
        <v>16</v>
      </c>
      <c r="K34" s="125">
        <v>3.2</v>
      </c>
      <c r="L34" s="221"/>
      <c r="M34" s="30">
        <f>6491-4766</f>
        <v>1725</v>
      </c>
      <c r="N34" s="30">
        <f>26849-18899</f>
        <v>7950</v>
      </c>
      <c r="O34" s="126">
        <f t="shared" si="1"/>
        <v>9675</v>
      </c>
    </row>
    <row r="35" spans="1:15" ht="28.5">
      <c r="A35" s="277" t="s">
        <v>11</v>
      </c>
      <c r="B35" s="27" t="s">
        <v>12</v>
      </c>
      <c r="C35" s="27" t="s">
        <v>323</v>
      </c>
      <c r="D35" s="47"/>
      <c r="E35" s="47"/>
      <c r="F35" s="47" t="s">
        <v>995</v>
      </c>
      <c r="G35" s="47" t="s">
        <v>994</v>
      </c>
      <c r="H35" s="47">
        <v>44612</v>
      </c>
      <c r="I35" s="396" t="s">
        <v>1572</v>
      </c>
      <c r="J35" s="93" t="s">
        <v>16</v>
      </c>
      <c r="K35" s="125">
        <v>0.6</v>
      </c>
      <c r="L35" s="221"/>
      <c r="M35" s="30">
        <f>10280-8238</f>
        <v>2042</v>
      </c>
      <c r="N35" s="30">
        <f>32887-24799</f>
        <v>8088</v>
      </c>
      <c r="O35" s="126">
        <f t="shared" si="1"/>
        <v>10130</v>
      </c>
    </row>
    <row r="36" spans="1:15" ht="28.5">
      <c r="A36" s="277" t="s">
        <v>11</v>
      </c>
      <c r="B36" s="27" t="s">
        <v>12</v>
      </c>
      <c r="C36" s="27" t="s">
        <v>1006</v>
      </c>
      <c r="D36" s="47"/>
      <c r="E36" s="47"/>
      <c r="F36" s="47" t="s">
        <v>995</v>
      </c>
      <c r="G36" s="47" t="s">
        <v>994</v>
      </c>
      <c r="H36" s="47">
        <v>123232</v>
      </c>
      <c r="I36" s="396" t="s">
        <v>1573</v>
      </c>
      <c r="J36" s="93" t="s">
        <v>16</v>
      </c>
      <c r="K36" s="125">
        <v>1.6</v>
      </c>
      <c r="L36" s="221"/>
      <c r="M36" s="30">
        <f>6340-4616</f>
        <v>1724</v>
      </c>
      <c r="N36" s="30">
        <f>26166-18745</f>
        <v>7421</v>
      </c>
      <c r="O36" s="126">
        <f t="shared" si="1"/>
        <v>9145</v>
      </c>
    </row>
    <row r="37" spans="1:15" ht="28.5">
      <c r="A37" s="277" t="s">
        <v>11</v>
      </c>
      <c r="B37" s="27" t="s">
        <v>12</v>
      </c>
      <c r="C37" s="27" t="s">
        <v>1007</v>
      </c>
      <c r="D37" s="47"/>
      <c r="E37" s="47">
        <v>7</v>
      </c>
      <c r="F37" s="47" t="s">
        <v>995</v>
      </c>
      <c r="G37" s="47" t="s">
        <v>994</v>
      </c>
      <c r="H37" s="47">
        <v>123237</v>
      </c>
      <c r="I37" s="385" t="s">
        <v>1574</v>
      </c>
      <c r="J37" s="93" t="s">
        <v>16</v>
      </c>
      <c r="K37" s="125">
        <v>1.8</v>
      </c>
      <c r="L37" s="221"/>
      <c r="M37" s="30">
        <f>6574-4856</f>
        <v>1718</v>
      </c>
      <c r="N37" s="30">
        <f>27561-19581</f>
        <v>7980</v>
      </c>
      <c r="O37" s="126">
        <f t="shared" si="1"/>
        <v>9698</v>
      </c>
    </row>
    <row r="38" spans="1:15" ht="28.5">
      <c r="A38" s="277" t="s">
        <v>11</v>
      </c>
      <c r="B38" s="27" t="s">
        <v>12</v>
      </c>
      <c r="C38" s="27" t="s">
        <v>1008</v>
      </c>
      <c r="D38" s="47"/>
      <c r="E38" s="47">
        <v>32</v>
      </c>
      <c r="F38" s="47" t="s">
        <v>995</v>
      </c>
      <c r="G38" s="47" t="s">
        <v>994</v>
      </c>
      <c r="H38" s="47">
        <v>123238</v>
      </c>
      <c r="I38" s="396" t="s">
        <v>1598</v>
      </c>
      <c r="J38" s="93" t="s">
        <v>16</v>
      </c>
      <c r="K38" s="125">
        <v>1.5</v>
      </c>
      <c r="L38" s="221"/>
      <c r="M38" s="30">
        <f>5720-4248</f>
        <v>1472</v>
      </c>
      <c r="N38" s="30">
        <f>24242-17623</f>
        <v>6619</v>
      </c>
      <c r="O38" s="126">
        <f aca="true" t="shared" si="2" ref="O38:O62">SUM(M38:N38)</f>
        <v>8091</v>
      </c>
    </row>
    <row r="39" spans="1:15" ht="28.5">
      <c r="A39" s="277" t="s">
        <v>11</v>
      </c>
      <c r="B39" s="27" t="s">
        <v>12</v>
      </c>
      <c r="C39" s="27" t="s">
        <v>1009</v>
      </c>
      <c r="D39" s="47"/>
      <c r="E39" s="47">
        <v>59</v>
      </c>
      <c r="F39" s="47" t="s">
        <v>995</v>
      </c>
      <c r="G39" s="47" t="s">
        <v>994</v>
      </c>
      <c r="H39" s="47">
        <v>118479</v>
      </c>
      <c r="I39" s="396" t="s">
        <v>1576</v>
      </c>
      <c r="J39" s="93" t="s">
        <v>16</v>
      </c>
      <c r="K39" s="125">
        <v>4.2</v>
      </c>
      <c r="L39" s="221"/>
      <c r="M39" s="30">
        <f>14319-10770</f>
        <v>3549</v>
      </c>
      <c r="N39" s="30">
        <f>58256-43288</f>
        <v>14968</v>
      </c>
      <c r="O39" s="126">
        <f t="shared" si="2"/>
        <v>18517</v>
      </c>
    </row>
    <row r="40" spans="1:15" ht="28.5">
      <c r="A40" s="277" t="s">
        <v>11</v>
      </c>
      <c r="B40" s="27" t="s">
        <v>12</v>
      </c>
      <c r="C40" s="27" t="s">
        <v>1010</v>
      </c>
      <c r="D40" s="47"/>
      <c r="E40" s="47">
        <v>22</v>
      </c>
      <c r="F40" s="47" t="s">
        <v>995</v>
      </c>
      <c r="G40" s="47" t="s">
        <v>994</v>
      </c>
      <c r="H40" s="47">
        <v>118477</v>
      </c>
      <c r="I40" s="385" t="s">
        <v>1963</v>
      </c>
      <c r="J40" s="93" t="s">
        <v>16</v>
      </c>
      <c r="K40" s="125">
        <v>2.2</v>
      </c>
      <c r="L40" s="221"/>
      <c r="M40" s="30">
        <v>367</v>
      </c>
      <c r="N40" s="30">
        <v>1429</v>
      </c>
      <c r="O40" s="126">
        <f t="shared" si="2"/>
        <v>1796</v>
      </c>
    </row>
    <row r="41" spans="1:15" ht="28.5">
      <c r="A41" s="277" t="s">
        <v>11</v>
      </c>
      <c r="B41" s="27" t="s">
        <v>12</v>
      </c>
      <c r="C41" s="27" t="s">
        <v>1011</v>
      </c>
      <c r="D41" s="47"/>
      <c r="E41" s="47"/>
      <c r="F41" s="47" t="s">
        <v>995</v>
      </c>
      <c r="G41" s="47" t="s">
        <v>994</v>
      </c>
      <c r="H41" s="47">
        <v>123231</v>
      </c>
      <c r="I41" s="396" t="s">
        <v>1578</v>
      </c>
      <c r="J41" s="93" t="s">
        <v>16</v>
      </c>
      <c r="K41" s="125">
        <v>2.2</v>
      </c>
      <c r="L41" s="221"/>
      <c r="M41" s="30">
        <f>2951-2155</f>
        <v>796</v>
      </c>
      <c r="N41" s="30">
        <f>11307-8088</f>
        <v>3219</v>
      </c>
      <c r="O41" s="126">
        <f t="shared" si="2"/>
        <v>4015</v>
      </c>
    </row>
    <row r="42" spans="1:15" ht="28.5">
      <c r="A42" s="277" t="s">
        <v>11</v>
      </c>
      <c r="B42" s="27" t="s">
        <v>12</v>
      </c>
      <c r="C42" s="27" t="s">
        <v>1011</v>
      </c>
      <c r="D42" s="47"/>
      <c r="E42" s="47">
        <v>27</v>
      </c>
      <c r="F42" s="47" t="s">
        <v>995</v>
      </c>
      <c r="G42" s="47" t="s">
        <v>994</v>
      </c>
      <c r="H42" s="47">
        <v>123236</v>
      </c>
      <c r="I42" s="396" t="s">
        <v>1579</v>
      </c>
      <c r="J42" s="93" t="s">
        <v>16</v>
      </c>
      <c r="K42" s="125">
        <v>2.2</v>
      </c>
      <c r="L42" s="221"/>
      <c r="M42" s="30">
        <f>3496-2469</f>
        <v>1027</v>
      </c>
      <c r="N42" s="30">
        <f>14046-9778</f>
        <v>4268</v>
      </c>
      <c r="O42" s="126">
        <f t="shared" si="2"/>
        <v>5295</v>
      </c>
    </row>
    <row r="43" spans="1:15" ht="28.5">
      <c r="A43" s="277" t="s">
        <v>11</v>
      </c>
      <c r="B43" s="27" t="s">
        <v>12</v>
      </c>
      <c r="C43" s="27" t="s">
        <v>1012</v>
      </c>
      <c r="D43" s="47"/>
      <c r="E43" s="47"/>
      <c r="F43" s="47" t="s">
        <v>995</v>
      </c>
      <c r="G43" s="47" t="s">
        <v>994</v>
      </c>
      <c r="H43" s="47">
        <v>123230</v>
      </c>
      <c r="I43" s="385" t="s">
        <v>1580</v>
      </c>
      <c r="J43" s="93" t="s">
        <v>16</v>
      </c>
      <c r="K43" s="125">
        <v>1.5</v>
      </c>
      <c r="L43" s="221"/>
      <c r="M43" s="30">
        <f>4898-3577</f>
        <v>1321</v>
      </c>
      <c r="N43" s="30">
        <f>19277-13547</f>
        <v>5730</v>
      </c>
      <c r="O43" s="126">
        <f t="shared" si="2"/>
        <v>7051</v>
      </c>
    </row>
    <row r="44" spans="1:15" ht="28.5">
      <c r="A44" s="277" t="s">
        <v>11</v>
      </c>
      <c r="B44" s="27" t="s">
        <v>12</v>
      </c>
      <c r="C44" s="27" t="s">
        <v>1013</v>
      </c>
      <c r="D44" s="47"/>
      <c r="E44" s="47"/>
      <c r="F44" s="47" t="s">
        <v>995</v>
      </c>
      <c r="G44" s="47" t="s">
        <v>994</v>
      </c>
      <c r="H44" s="47">
        <v>123235</v>
      </c>
      <c r="I44" s="396" t="s">
        <v>1581</v>
      </c>
      <c r="J44" s="93" t="s">
        <v>16</v>
      </c>
      <c r="K44" s="125">
        <v>2.8</v>
      </c>
      <c r="L44" s="221"/>
      <c r="M44" s="30">
        <f>5192-3815</f>
        <v>1377</v>
      </c>
      <c r="N44" s="30">
        <f>21506-15388</f>
        <v>6118</v>
      </c>
      <c r="O44" s="126">
        <f t="shared" si="2"/>
        <v>7495</v>
      </c>
    </row>
    <row r="45" spans="1:15" ht="28.5">
      <c r="A45" s="277" t="s">
        <v>11</v>
      </c>
      <c r="B45" s="27" t="s">
        <v>12</v>
      </c>
      <c r="C45" s="27" t="s">
        <v>1014</v>
      </c>
      <c r="D45" s="47"/>
      <c r="E45" s="47"/>
      <c r="F45" s="47" t="s">
        <v>995</v>
      </c>
      <c r="G45" s="47" t="s">
        <v>994</v>
      </c>
      <c r="H45" s="47">
        <v>123234</v>
      </c>
      <c r="I45" s="396" t="s">
        <v>1582</v>
      </c>
      <c r="J45" s="93" t="s">
        <v>16</v>
      </c>
      <c r="K45" s="125">
        <v>1.7</v>
      </c>
      <c r="L45" s="221"/>
      <c r="M45" s="30">
        <f>1485-1128</f>
        <v>357</v>
      </c>
      <c r="N45" s="30">
        <f>6499-4769</f>
        <v>1730</v>
      </c>
      <c r="O45" s="126">
        <f t="shared" si="2"/>
        <v>2087</v>
      </c>
    </row>
    <row r="46" spans="1:15" ht="28.5">
      <c r="A46" s="277" t="s">
        <v>11</v>
      </c>
      <c r="B46" s="27" t="s">
        <v>12</v>
      </c>
      <c r="C46" s="27" t="s">
        <v>1015</v>
      </c>
      <c r="D46" s="47"/>
      <c r="E46" s="47"/>
      <c r="F46" s="47" t="s">
        <v>995</v>
      </c>
      <c r="G46" s="47" t="s">
        <v>994</v>
      </c>
      <c r="H46" s="47">
        <v>105603</v>
      </c>
      <c r="I46" s="385" t="s">
        <v>1584</v>
      </c>
      <c r="J46" s="93" t="s">
        <v>16</v>
      </c>
      <c r="K46" s="125">
        <v>2.2</v>
      </c>
      <c r="L46" s="221"/>
      <c r="M46" s="30">
        <f>2708-2039</f>
        <v>669</v>
      </c>
      <c r="N46" s="30">
        <f>11675-8747</f>
        <v>2928</v>
      </c>
      <c r="O46" s="126">
        <f t="shared" si="2"/>
        <v>3597</v>
      </c>
    </row>
    <row r="47" spans="1:15" ht="28.5">
      <c r="A47" s="277" t="s">
        <v>11</v>
      </c>
      <c r="B47" s="27" t="s">
        <v>12</v>
      </c>
      <c r="C47" s="27" t="s">
        <v>1016</v>
      </c>
      <c r="D47" s="47"/>
      <c r="E47" s="47"/>
      <c r="F47" s="47" t="s">
        <v>995</v>
      </c>
      <c r="G47" s="47" t="s">
        <v>994</v>
      </c>
      <c r="H47" s="47">
        <v>8374</v>
      </c>
      <c r="I47" s="396" t="s">
        <v>1585</v>
      </c>
      <c r="J47" s="93" t="s">
        <v>16</v>
      </c>
      <c r="K47" s="125">
        <v>3.1</v>
      </c>
      <c r="L47" s="221"/>
      <c r="M47" s="30">
        <f>11884-10255</f>
        <v>1629</v>
      </c>
      <c r="N47" s="30">
        <f>31960-25113</f>
        <v>6847</v>
      </c>
      <c r="O47" s="126">
        <f t="shared" si="2"/>
        <v>8476</v>
      </c>
    </row>
    <row r="48" spans="1:15" ht="28.5">
      <c r="A48" s="277" t="s">
        <v>11</v>
      </c>
      <c r="B48" s="27" t="s">
        <v>12</v>
      </c>
      <c r="C48" s="27" t="s">
        <v>1017</v>
      </c>
      <c r="D48" s="47"/>
      <c r="E48" s="47"/>
      <c r="F48" s="47" t="s">
        <v>995</v>
      </c>
      <c r="G48" s="47" t="s">
        <v>994</v>
      </c>
      <c r="H48" s="47">
        <v>36649</v>
      </c>
      <c r="I48" s="396" t="s">
        <v>1586</v>
      </c>
      <c r="J48" s="93" t="s">
        <v>16</v>
      </c>
      <c r="K48" s="125">
        <v>3.8</v>
      </c>
      <c r="L48" s="221"/>
      <c r="M48" s="30">
        <f>26677-24686</f>
        <v>1991</v>
      </c>
      <c r="N48" s="30">
        <f>94276-86084</f>
        <v>8192</v>
      </c>
      <c r="O48" s="126">
        <f t="shared" si="2"/>
        <v>10183</v>
      </c>
    </row>
    <row r="49" spans="1:15" ht="28.5">
      <c r="A49" s="277" t="s">
        <v>11</v>
      </c>
      <c r="B49" s="27" t="s">
        <v>12</v>
      </c>
      <c r="C49" s="27" t="s">
        <v>1017</v>
      </c>
      <c r="D49" s="47"/>
      <c r="E49" s="47"/>
      <c r="F49" s="47" t="s">
        <v>995</v>
      </c>
      <c r="G49" s="47" t="s">
        <v>994</v>
      </c>
      <c r="H49" s="47">
        <v>122810</v>
      </c>
      <c r="I49" s="385" t="s">
        <v>1587</v>
      </c>
      <c r="J49" s="93" t="s">
        <v>16</v>
      </c>
      <c r="K49" s="125">
        <v>0.9</v>
      </c>
      <c r="L49" s="221"/>
      <c r="M49" s="30">
        <f>1400-1003</f>
        <v>397</v>
      </c>
      <c r="N49" s="30">
        <f>5590-3937</f>
        <v>1653</v>
      </c>
      <c r="O49" s="126">
        <f t="shared" si="2"/>
        <v>2050</v>
      </c>
    </row>
    <row r="50" spans="1:15" ht="28.5">
      <c r="A50" s="277" t="s">
        <v>11</v>
      </c>
      <c r="B50" s="27" t="s">
        <v>12</v>
      </c>
      <c r="C50" s="27" t="s">
        <v>1018</v>
      </c>
      <c r="D50" s="47" t="s">
        <v>1722</v>
      </c>
      <c r="E50" s="47"/>
      <c r="F50" s="47" t="s">
        <v>995</v>
      </c>
      <c r="G50" s="47" t="s">
        <v>994</v>
      </c>
      <c r="H50" s="47">
        <v>122811</v>
      </c>
      <c r="I50" s="396" t="s">
        <v>1588</v>
      </c>
      <c r="J50" s="93" t="s">
        <v>16</v>
      </c>
      <c r="K50" s="125">
        <v>1.2</v>
      </c>
      <c r="L50" s="221"/>
      <c r="M50" s="30">
        <f>2776-2106</f>
        <v>670</v>
      </c>
      <c r="N50" s="30">
        <f>10970-8252</f>
        <v>2718</v>
      </c>
      <c r="O50" s="126">
        <f t="shared" si="2"/>
        <v>3388</v>
      </c>
    </row>
    <row r="51" spans="1:15" ht="28.5">
      <c r="A51" s="277" t="s">
        <v>11</v>
      </c>
      <c r="B51" s="27" t="s">
        <v>12</v>
      </c>
      <c r="C51" s="27" t="s">
        <v>1018</v>
      </c>
      <c r="D51" s="47"/>
      <c r="E51" s="47"/>
      <c r="F51" s="47" t="s">
        <v>995</v>
      </c>
      <c r="G51" s="47" t="s">
        <v>994</v>
      </c>
      <c r="H51" s="47">
        <v>110526</v>
      </c>
      <c r="I51" s="396" t="s">
        <v>1589</v>
      </c>
      <c r="J51" s="93" t="s">
        <v>16</v>
      </c>
      <c r="K51" s="125">
        <v>0.8</v>
      </c>
      <c r="L51" s="221"/>
      <c r="M51" s="30">
        <f>1488-1075</f>
        <v>413</v>
      </c>
      <c r="N51" s="30">
        <f>5759-4142</f>
        <v>1617</v>
      </c>
      <c r="O51" s="126">
        <f t="shared" si="2"/>
        <v>2030</v>
      </c>
    </row>
    <row r="52" spans="1:15" ht="28.5">
      <c r="A52" s="277" t="s">
        <v>11</v>
      </c>
      <c r="B52" s="27" t="s">
        <v>12</v>
      </c>
      <c r="C52" s="27" t="s">
        <v>1019</v>
      </c>
      <c r="D52" s="47"/>
      <c r="E52" s="47"/>
      <c r="F52" s="47" t="s">
        <v>995</v>
      </c>
      <c r="G52" s="47" t="s">
        <v>994</v>
      </c>
      <c r="H52" s="47">
        <v>122815</v>
      </c>
      <c r="I52" s="385" t="s">
        <v>1590</v>
      </c>
      <c r="J52" s="93" t="s">
        <v>16</v>
      </c>
      <c r="K52" s="125">
        <v>1.2</v>
      </c>
      <c r="L52" s="221"/>
      <c r="M52" s="30">
        <f>4700-3390</f>
        <v>1310</v>
      </c>
      <c r="N52" s="30">
        <f>18547-13340</f>
        <v>5207</v>
      </c>
      <c r="O52" s="126">
        <f t="shared" si="2"/>
        <v>6517</v>
      </c>
    </row>
    <row r="53" spans="1:15" ht="28.5">
      <c r="A53" s="277" t="s">
        <v>11</v>
      </c>
      <c r="B53" s="27" t="s">
        <v>12</v>
      </c>
      <c r="C53" s="27" t="s">
        <v>1020</v>
      </c>
      <c r="D53" s="47"/>
      <c r="E53" s="47"/>
      <c r="F53" s="47" t="s">
        <v>995</v>
      </c>
      <c r="G53" s="47" t="s">
        <v>994</v>
      </c>
      <c r="H53" s="47">
        <v>122817</v>
      </c>
      <c r="I53" s="396" t="s">
        <v>1591</v>
      </c>
      <c r="J53" s="93" t="s">
        <v>16</v>
      </c>
      <c r="K53" s="125">
        <v>1.5</v>
      </c>
      <c r="L53" s="221"/>
      <c r="M53" s="30">
        <f>2992-2236</f>
        <v>756</v>
      </c>
      <c r="N53" s="30">
        <f>12918-9437</f>
        <v>3481</v>
      </c>
      <c r="O53" s="126">
        <f t="shared" si="2"/>
        <v>4237</v>
      </c>
    </row>
    <row r="54" spans="1:15" ht="28.5">
      <c r="A54" s="277" t="s">
        <v>11</v>
      </c>
      <c r="B54" s="27" t="s">
        <v>12</v>
      </c>
      <c r="C54" s="27" t="s">
        <v>1021</v>
      </c>
      <c r="D54" s="47"/>
      <c r="E54" s="47"/>
      <c r="F54" s="47" t="s">
        <v>995</v>
      </c>
      <c r="G54" s="47" t="s">
        <v>994</v>
      </c>
      <c r="H54" s="47">
        <v>122816</v>
      </c>
      <c r="I54" s="396" t="s">
        <v>1592</v>
      </c>
      <c r="J54" s="93" t="s">
        <v>16</v>
      </c>
      <c r="K54" s="125">
        <v>1.4</v>
      </c>
      <c r="L54" s="221"/>
      <c r="M54" s="30">
        <f>3188-2361</f>
        <v>827</v>
      </c>
      <c r="N54" s="30">
        <f>12737-9269</f>
        <v>3468</v>
      </c>
      <c r="O54" s="126">
        <f t="shared" si="2"/>
        <v>4295</v>
      </c>
    </row>
    <row r="55" spans="1:15" ht="28.5">
      <c r="A55" s="277" t="s">
        <v>11</v>
      </c>
      <c r="B55" s="27" t="s">
        <v>12</v>
      </c>
      <c r="C55" s="27" t="s">
        <v>1022</v>
      </c>
      <c r="D55" s="47"/>
      <c r="E55" s="47"/>
      <c r="F55" s="47" t="s">
        <v>995</v>
      </c>
      <c r="G55" s="47" t="s">
        <v>994</v>
      </c>
      <c r="H55" s="47">
        <v>122813</v>
      </c>
      <c r="I55" s="385" t="s">
        <v>1593</v>
      </c>
      <c r="J55" s="93" t="s">
        <v>16</v>
      </c>
      <c r="K55" s="125">
        <v>2.2</v>
      </c>
      <c r="L55" s="221"/>
      <c r="M55" s="30">
        <f>3538-2582</f>
        <v>956</v>
      </c>
      <c r="N55" s="30">
        <f>14388-10227</f>
        <v>4161</v>
      </c>
      <c r="O55" s="126">
        <f t="shared" si="2"/>
        <v>5117</v>
      </c>
    </row>
    <row r="56" spans="1:15" ht="28.5">
      <c r="A56" s="277" t="s">
        <v>11</v>
      </c>
      <c r="B56" s="27" t="s">
        <v>12</v>
      </c>
      <c r="C56" s="27" t="s">
        <v>1023</v>
      </c>
      <c r="D56" s="47"/>
      <c r="E56" s="47"/>
      <c r="F56" s="47" t="s">
        <v>995</v>
      </c>
      <c r="G56" s="47" t="s">
        <v>994</v>
      </c>
      <c r="H56" s="47">
        <v>111718</v>
      </c>
      <c r="I56" s="396" t="s">
        <v>1594</v>
      </c>
      <c r="J56" s="93" t="s">
        <v>16</v>
      </c>
      <c r="K56" s="125">
        <v>1.1</v>
      </c>
      <c r="L56" s="221"/>
      <c r="M56" s="30">
        <f>2574-1942</f>
        <v>632</v>
      </c>
      <c r="N56" s="30">
        <f>10917-8052</f>
        <v>2865</v>
      </c>
      <c r="O56" s="126">
        <f t="shared" si="2"/>
        <v>3497</v>
      </c>
    </row>
    <row r="57" spans="1:15" ht="28.5">
      <c r="A57" s="277" t="s">
        <v>11</v>
      </c>
      <c r="B57" s="27" t="s">
        <v>12</v>
      </c>
      <c r="C57" s="27" t="s">
        <v>1024</v>
      </c>
      <c r="D57" s="47"/>
      <c r="E57" s="47"/>
      <c r="F57" s="47" t="s">
        <v>995</v>
      </c>
      <c r="G57" s="47" t="s">
        <v>994</v>
      </c>
      <c r="H57" s="47">
        <v>1001386</v>
      </c>
      <c r="I57" s="396" t="s">
        <v>1595</v>
      </c>
      <c r="J57" s="93" t="s">
        <v>16</v>
      </c>
      <c r="K57" s="125">
        <v>1.1</v>
      </c>
      <c r="L57" s="221"/>
      <c r="M57" s="30">
        <f>4536-3342</f>
        <v>1194</v>
      </c>
      <c r="N57" s="30">
        <f>16954-12079</f>
        <v>4875</v>
      </c>
      <c r="O57" s="126">
        <f t="shared" si="2"/>
        <v>6069</v>
      </c>
    </row>
    <row r="58" spans="1:15" ht="28.5">
      <c r="A58" s="277" t="s">
        <v>11</v>
      </c>
      <c r="B58" s="27" t="s">
        <v>12</v>
      </c>
      <c r="C58" s="27" t="s">
        <v>1024</v>
      </c>
      <c r="D58" s="47"/>
      <c r="E58" s="47"/>
      <c r="F58" s="47" t="s">
        <v>995</v>
      </c>
      <c r="G58" s="47" t="s">
        <v>994</v>
      </c>
      <c r="H58" s="47">
        <v>122812</v>
      </c>
      <c r="I58" s="385" t="s">
        <v>1596</v>
      </c>
      <c r="J58" s="93" t="s">
        <v>16</v>
      </c>
      <c r="K58" s="125">
        <v>1.8</v>
      </c>
      <c r="L58" s="221"/>
      <c r="M58" s="30">
        <f>1599-1165</f>
        <v>434</v>
      </c>
      <c r="N58" s="30">
        <f>6197-4559</f>
        <v>1638</v>
      </c>
      <c r="O58" s="126">
        <f t="shared" si="2"/>
        <v>2072</v>
      </c>
    </row>
    <row r="59" spans="1:15" ht="28.5">
      <c r="A59" s="277" t="s">
        <v>11</v>
      </c>
      <c r="B59" s="27" t="s">
        <v>12</v>
      </c>
      <c r="C59" s="27" t="s">
        <v>1024</v>
      </c>
      <c r="D59" s="47"/>
      <c r="E59" s="47"/>
      <c r="F59" s="47" t="s">
        <v>995</v>
      </c>
      <c r="G59" s="47" t="s">
        <v>994</v>
      </c>
      <c r="H59" s="47">
        <v>112482</v>
      </c>
      <c r="I59" s="396" t="s">
        <v>1597</v>
      </c>
      <c r="J59" s="93" t="s">
        <v>16</v>
      </c>
      <c r="K59" s="125">
        <v>0.3</v>
      </c>
      <c r="L59" s="221"/>
      <c r="M59" s="30">
        <f>588-363</f>
        <v>225</v>
      </c>
      <c r="N59" s="30">
        <f>2403-1582</f>
        <v>821</v>
      </c>
      <c r="O59" s="126">
        <f t="shared" si="2"/>
        <v>1046</v>
      </c>
    </row>
    <row r="60" spans="1:15" ht="28.5">
      <c r="A60" s="277" t="s">
        <v>11</v>
      </c>
      <c r="B60" s="27" t="s">
        <v>12</v>
      </c>
      <c r="C60" s="27" t="s">
        <v>1025</v>
      </c>
      <c r="D60" s="47"/>
      <c r="E60" s="47">
        <v>14</v>
      </c>
      <c r="F60" s="47" t="s">
        <v>995</v>
      </c>
      <c r="G60" s="47" t="s">
        <v>994</v>
      </c>
      <c r="H60" s="47">
        <v>42086</v>
      </c>
      <c r="I60" s="396" t="s">
        <v>1575</v>
      </c>
      <c r="J60" s="93" t="s">
        <v>16</v>
      </c>
      <c r="K60" s="125">
        <v>1.4</v>
      </c>
      <c r="L60" s="221"/>
      <c r="M60" s="30">
        <f>8178-6670</f>
        <v>1508</v>
      </c>
      <c r="N60" s="30">
        <f>25348-19771</f>
        <v>5577</v>
      </c>
      <c r="O60" s="126">
        <f>SUM(M60:N60)</f>
        <v>7085</v>
      </c>
    </row>
    <row r="61" spans="1:15" ht="28.5">
      <c r="A61" s="278" t="s">
        <v>11</v>
      </c>
      <c r="B61" s="27" t="s">
        <v>12</v>
      </c>
      <c r="C61" s="27" t="s">
        <v>1010</v>
      </c>
      <c r="D61" s="47"/>
      <c r="E61" s="47">
        <v>6</v>
      </c>
      <c r="F61" s="47" t="s">
        <v>995</v>
      </c>
      <c r="G61" s="47" t="s">
        <v>994</v>
      </c>
      <c r="H61" s="47">
        <v>118476</v>
      </c>
      <c r="I61" s="385" t="s">
        <v>1577</v>
      </c>
      <c r="J61" s="93" t="s">
        <v>16</v>
      </c>
      <c r="K61" s="125">
        <v>2.2</v>
      </c>
      <c r="L61" s="221"/>
      <c r="M61" s="30">
        <f>3771-2601</f>
        <v>1170</v>
      </c>
      <c r="N61" s="30">
        <f>15068-9970</f>
        <v>5098</v>
      </c>
      <c r="O61" s="126">
        <f>SUM(M61:N61)</f>
        <v>6268</v>
      </c>
    </row>
    <row r="62" spans="1:15" ht="28.5">
      <c r="A62" s="278" t="s">
        <v>11</v>
      </c>
      <c r="B62" s="32" t="s">
        <v>12</v>
      </c>
      <c r="C62" s="32" t="s">
        <v>1026</v>
      </c>
      <c r="D62" s="50"/>
      <c r="E62" s="50">
        <v>11</v>
      </c>
      <c r="F62" s="50" t="s">
        <v>995</v>
      </c>
      <c r="G62" s="50" t="s">
        <v>994</v>
      </c>
      <c r="H62" s="50">
        <v>122819</v>
      </c>
      <c r="I62" s="492" t="s">
        <v>1583</v>
      </c>
      <c r="J62" s="402" t="s">
        <v>16</v>
      </c>
      <c r="K62" s="403">
        <v>2.4</v>
      </c>
      <c r="L62" s="404"/>
      <c r="M62" s="164">
        <f>3587-2735</f>
        <v>852</v>
      </c>
      <c r="N62" s="164">
        <f>14313-10698</f>
        <v>3615</v>
      </c>
      <c r="O62" s="405">
        <f t="shared" si="2"/>
        <v>4467</v>
      </c>
    </row>
    <row r="63" spans="1:15" ht="29.25" thickBot="1">
      <c r="A63" s="303" t="s">
        <v>11</v>
      </c>
      <c r="B63" s="32" t="s">
        <v>12</v>
      </c>
      <c r="C63" s="27" t="s">
        <v>1018</v>
      </c>
      <c r="D63" s="47"/>
      <c r="E63" s="47">
        <v>10</v>
      </c>
      <c r="F63" s="47" t="s">
        <v>995</v>
      </c>
      <c r="G63" s="47" t="s">
        <v>994</v>
      </c>
      <c r="H63" s="47">
        <v>106428</v>
      </c>
      <c r="I63" s="385" t="s">
        <v>1786</v>
      </c>
      <c r="J63" s="92" t="s">
        <v>152</v>
      </c>
      <c r="K63" s="125">
        <v>6</v>
      </c>
      <c r="L63" s="445">
        <f>4347-3201</f>
        <v>1146</v>
      </c>
      <c r="M63" s="361"/>
      <c r="N63" s="361"/>
      <c r="O63" s="379">
        <f>L63</f>
        <v>1146</v>
      </c>
    </row>
    <row r="64" spans="2:15" ht="24.75" customHeight="1">
      <c r="B64" s="570" t="s">
        <v>155</v>
      </c>
      <c r="C64" s="298" t="s">
        <v>1860</v>
      </c>
      <c r="D64" s="35"/>
      <c r="E64" s="85"/>
      <c r="F64" s="85"/>
      <c r="G64" s="85"/>
      <c r="H64" s="611" t="s">
        <v>1998</v>
      </c>
      <c r="I64" s="35" t="s">
        <v>2008</v>
      </c>
      <c r="M64" s="1"/>
      <c r="N64" s="54" t="s">
        <v>156</v>
      </c>
      <c r="O64" s="358">
        <f>SUM(O18:O63)</f>
        <v>376774</v>
      </c>
    </row>
    <row r="65" spans="2:14" ht="15">
      <c r="B65" s="282"/>
      <c r="C65" s="77" t="s">
        <v>1027</v>
      </c>
      <c r="D65" s="39"/>
      <c r="E65" s="85"/>
      <c r="F65" s="85"/>
      <c r="G65" s="85"/>
      <c r="H65" s="37"/>
      <c r="I65" s="39" t="s">
        <v>1027</v>
      </c>
      <c r="M65" s="1"/>
      <c r="N65" s="122"/>
    </row>
    <row r="66" spans="2:14" ht="15.75" thickBot="1">
      <c r="B66" s="282"/>
      <c r="C66" s="77" t="s">
        <v>1028</v>
      </c>
      <c r="D66" s="39"/>
      <c r="E66" s="624"/>
      <c r="F66" s="624"/>
      <c r="G66" s="624"/>
      <c r="H66" s="625"/>
      <c r="I66" s="42" t="s">
        <v>1028</v>
      </c>
      <c r="M66" s="107"/>
      <c r="N66" s="122"/>
    </row>
    <row r="67" spans="2:14" ht="15">
      <c r="B67" s="282" t="s">
        <v>1689</v>
      </c>
      <c r="C67" s="77" t="s">
        <v>2009</v>
      </c>
      <c r="D67" s="39"/>
      <c r="E67" s="624"/>
      <c r="F67" s="624"/>
      <c r="G67" s="624"/>
      <c r="H67" s="624"/>
      <c r="I67" s="624"/>
      <c r="M67" s="1"/>
      <c r="N67" s="122"/>
    </row>
    <row r="68" spans="2:14" ht="15.75" thickBot="1">
      <c r="B68" s="626" t="s">
        <v>1693</v>
      </c>
      <c r="C68" s="627" t="s">
        <v>2010</v>
      </c>
      <c r="D68" s="628"/>
      <c r="E68" s="624"/>
      <c r="F68" s="624"/>
      <c r="G68" s="624"/>
      <c r="H68" s="624"/>
      <c r="I68" s="624"/>
      <c r="M68" s="1"/>
      <c r="N68" s="122"/>
    </row>
    <row r="69" spans="1:14" ht="15.75" thickBot="1">
      <c r="A69" s="281"/>
      <c r="B69" s="77"/>
      <c r="C69" s="69"/>
      <c r="D69" s="121"/>
      <c r="H69" s="121"/>
      <c r="M69" s="485"/>
      <c r="N69" s="122"/>
    </row>
    <row r="70" spans="1:21" ht="66" customHeight="1">
      <c r="A70" s="718" t="s">
        <v>0</v>
      </c>
      <c r="B70" s="686" t="s">
        <v>1</v>
      </c>
      <c r="C70" s="686" t="s">
        <v>2</v>
      </c>
      <c r="D70" s="686" t="s">
        <v>3</v>
      </c>
      <c r="E70" s="686" t="s">
        <v>1335</v>
      </c>
      <c r="F70" s="686" t="s">
        <v>5</v>
      </c>
      <c r="G70" s="686" t="s">
        <v>6</v>
      </c>
      <c r="H70" s="695" t="s">
        <v>8</v>
      </c>
      <c r="I70" s="695" t="s">
        <v>753</v>
      </c>
      <c r="J70" s="695" t="s">
        <v>157</v>
      </c>
      <c r="K70" s="769" t="s">
        <v>9</v>
      </c>
      <c r="L70" s="762" t="s">
        <v>1043</v>
      </c>
      <c r="M70" s="763"/>
      <c r="N70" s="763"/>
      <c r="O70" s="764"/>
      <c r="P70" s="762" t="s">
        <v>1044</v>
      </c>
      <c r="Q70" s="763"/>
      <c r="R70" s="763"/>
      <c r="S70" s="764"/>
      <c r="T70" s="695" t="s">
        <v>1849</v>
      </c>
      <c r="U70" s="733" t="s">
        <v>1321</v>
      </c>
    </row>
    <row r="71" spans="1:21" ht="66" customHeight="1">
      <c r="A71" s="719"/>
      <c r="B71" s="687"/>
      <c r="C71" s="687"/>
      <c r="D71" s="687"/>
      <c r="E71" s="687"/>
      <c r="F71" s="687"/>
      <c r="G71" s="687"/>
      <c r="H71" s="696"/>
      <c r="I71" s="696"/>
      <c r="J71" s="696"/>
      <c r="K71" s="770"/>
      <c r="L71" s="765" t="s">
        <v>1041</v>
      </c>
      <c r="M71" s="767" t="s">
        <v>1035</v>
      </c>
      <c r="N71" s="767" t="s">
        <v>1036</v>
      </c>
      <c r="O71" s="760" t="s">
        <v>1046</v>
      </c>
      <c r="P71" s="765" t="s">
        <v>1041</v>
      </c>
      <c r="Q71" s="767" t="s">
        <v>1035</v>
      </c>
      <c r="R71" s="767" t="s">
        <v>1036</v>
      </c>
      <c r="S71" s="760" t="s">
        <v>1046</v>
      </c>
      <c r="T71" s="696"/>
      <c r="U71" s="734"/>
    </row>
    <row r="72" spans="1:21" ht="15" thickBot="1">
      <c r="A72" s="720"/>
      <c r="B72" s="688"/>
      <c r="C72" s="688"/>
      <c r="D72" s="688"/>
      <c r="E72" s="688"/>
      <c r="F72" s="688"/>
      <c r="G72" s="688"/>
      <c r="H72" s="697"/>
      <c r="I72" s="697"/>
      <c r="J72" s="697"/>
      <c r="K72" s="771"/>
      <c r="L72" s="766"/>
      <c r="M72" s="768"/>
      <c r="N72" s="768"/>
      <c r="O72" s="761"/>
      <c r="P72" s="766"/>
      <c r="Q72" s="768"/>
      <c r="R72" s="768"/>
      <c r="S72" s="761"/>
      <c r="T72" s="697"/>
      <c r="U72" s="739"/>
    </row>
    <row r="73" spans="1:21" ht="44.25" thickBot="1">
      <c r="A73" s="277" t="s">
        <v>754</v>
      </c>
      <c r="B73" s="22" t="s">
        <v>12</v>
      </c>
      <c r="C73" s="500" t="s">
        <v>994</v>
      </c>
      <c r="D73" s="501" t="s">
        <v>363</v>
      </c>
      <c r="E73" s="53"/>
      <c r="F73" s="53" t="s">
        <v>995</v>
      </c>
      <c r="G73" s="53" t="s">
        <v>994</v>
      </c>
      <c r="H73" s="398">
        <v>52301082</v>
      </c>
      <c r="I73" s="53">
        <v>83247318</v>
      </c>
      <c r="J73" s="497" t="s">
        <v>152</v>
      </c>
      <c r="K73" s="124">
        <v>2</v>
      </c>
      <c r="L73" s="53">
        <f>59*12</f>
        <v>708</v>
      </c>
      <c r="M73" s="333"/>
      <c r="N73" s="498"/>
      <c r="O73" s="53">
        <f>L73</f>
        <v>708</v>
      </c>
      <c r="P73" s="53">
        <f>L73</f>
        <v>708</v>
      </c>
      <c r="Q73" s="333"/>
      <c r="R73" s="498"/>
      <c r="S73" s="53">
        <f>P73</f>
        <v>708</v>
      </c>
      <c r="T73" s="140" t="s">
        <v>1962</v>
      </c>
      <c r="U73" s="499" t="s">
        <v>1846</v>
      </c>
    </row>
    <row r="74" spans="1:19" ht="15">
      <c r="A74" s="281"/>
      <c r="B74" s="570" t="s">
        <v>155</v>
      </c>
      <c r="C74" s="298" t="s">
        <v>1860</v>
      </c>
      <c r="D74" s="35"/>
      <c r="H74" s="611" t="s">
        <v>1998</v>
      </c>
      <c r="I74" s="35" t="s">
        <v>2008</v>
      </c>
      <c r="M74" s="485"/>
      <c r="N74" s="122"/>
      <c r="R74" s="54" t="s">
        <v>156</v>
      </c>
      <c r="S74" s="358">
        <f>SUM(S28:S73)</f>
        <v>708</v>
      </c>
    </row>
    <row r="75" spans="1:14" ht="15">
      <c r="A75" s="281"/>
      <c r="B75" s="282"/>
      <c r="C75" s="77" t="s">
        <v>1027</v>
      </c>
      <c r="D75" s="39"/>
      <c r="H75" s="37"/>
      <c r="I75" s="39" t="s">
        <v>1027</v>
      </c>
      <c r="M75" s="485"/>
      <c r="N75" s="122"/>
    </row>
    <row r="76" spans="1:14" ht="15.75" thickBot="1">
      <c r="A76" s="281"/>
      <c r="B76" s="282"/>
      <c r="C76" s="77" t="s">
        <v>1028</v>
      </c>
      <c r="D76" s="39"/>
      <c r="H76" s="625"/>
      <c r="I76" s="42" t="s">
        <v>1028</v>
      </c>
      <c r="M76" s="485"/>
      <c r="N76" s="122"/>
    </row>
    <row r="77" spans="1:14" ht="15.75" thickBot="1">
      <c r="A77" s="281"/>
      <c r="B77" s="240" t="s">
        <v>1689</v>
      </c>
      <c r="C77" s="78" t="s">
        <v>2009</v>
      </c>
      <c r="D77" s="42"/>
      <c r="H77" s="121"/>
      <c r="L77" t="s">
        <v>160</v>
      </c>
      <c r="M77" s="107">
        <f>O64+S74</f>
        <v>377482</v>
      </c>
      <c r="N77" s="122"/>
    </row>
    <row r="78" spans="1:14" ht="15.75" thickBot="1">
      <c r="A78" s="281"/>
      <c r="B78" s="77"/>
      <c r="C78" s="69"/>
      <c r="D78" s="121"/>
      <c r="H78" s="121"/>
      <c r="M78" s="485"/>
      <c r="N78" s="122"/>
    </row>
    <row r="79" spans="4:15" ht="46.5" customHeight="1">
      <c r="D79" s="121"/>
      <c r="K79" s="737" t="s">
        <v>157</v>
      </c>
      <c r="L79" s="702" t="s">
        <v>1034</v>
      </c>
      <c r="M79" s="703"/>
      <c r="N79" s="704"/>
      <c r="O79" s="713" t="s">
        <v>158</v>
      </c>
    </row>
    <row r="80" spans="4:15" ht="25.5" customHeight="1" thickBot="1">
      <c r="D80" s="121"/>
      <c r="K80" s="738"/>
      <c r="L80" s="130" t="s">
        <v>159</v>
      </c>
      <c r="M80" s="130" t="s">
        <v>1035</v>
      </c>
      <c r="N80" s="130" t="s">
        <v>1036</v>
      </c>
      <c r="O80" s="714"/>
    </row>
    <row r="81" spans="4:15" ht="22.5" customHeight="1">
      <c r="D81" s="121"/>
      <c r="K81" s="131" t="s">
        <v>152</v>
      </c>
      <c r="L81" s="103">
        <f>L29+L30+L63+O73</f>
        <v>12168</v>
      </c>
      <c r="M81" s="132"/>
      <c r="N81" s="132"/>
      <c r="O81" s="103">
        <v>4</v>
      </c>
    </row>
    <row r="82" spans="11:15" ht="22.5" customHeight="1" thickBot="1">
      <c r="K82" s="56" t="s">
        <v>16</v>
      </c>
      <c r="L82" s="133"/>
      <c r="M82" s="14">
        <f>SUM(M18:M62)</f>
        <v>69809</v>
      </c>
      <c r="N82" s="14">
        <f>SUM(N18:N62)</f>
        <v>295505</v>
      </c>
      <c r="O82" s="14">
        <v>43</v>
      </c>
    </row>
    <row r="83" spans="11:15" ht="22.5" customHeight="1" thickBot="1">
      <c r="K83" s="134" t="s">
        <v>160</v>
      </c>
      <c r="L83" s="135">
        <f>SUM(L81:L82)</f>
        <v>12168</v>
      </c>
      <c r="M83" s="18">
        <f>SUM(M81:M82)</f>
        <v>69809</v>
      </c>
      <c r="N83" s="15">
        <f>SUM(N81:N82)</f>
        <v>295505</v>
      </c>
      <c r="O83" s="354">
        <f>SUM(O81:O82)</f>
        <v>47</v>
      </c>
    </row>
    <row r="84" spans="12:15" ht="22.5" customHeight="1" thickBot="1">
      <c r="L84" s="20" t="s">
        <v>161</v>
      </c>
      <c r="M84" s="346">
        <f>SUM(L83:N83)</f>
        <v>377482</v>
      </c>
      <c r="N84" s="2"/>
      <c r="O84" s="2"/>
    </row>
  </sheetData>
  <sheetProtection/>
  <mergeCells count="42">
    <mergeCell ref="S71:S72"/>
    <mergeCell ref="P70:S70"/>
    <mergeCell ref="T70:T72"/>
    <mergeCell ref="U70:U72"/>
    <mergeCell ref="L71:L72"/>
    <mergeCell ref="M71:M72"/>
    <mergeCell ref="N71:N72"/>
    <mergeCell ref="O71:O72"/>
    <mergeCell ref="P71:P72"/>
    <mergeCell ref="Q71:Q72"/>
    <mergeCell ref="R71:R72"/>
    <mergeCell ref="G70:G72"/>
    <mergeCell ref="H70:H72"/>
    <mergeCell ref="I70:I72"/>
    <mergeCell ref="J70:J72"/>
    <mergeCell ref="K70:K72"/>
    <mergeCell ref="L70:O70"/>
    <mergeCell ref="A70:A72"/>
    <mergeCell ref="B70:B72"/>
    <mergeCell ref="C70:C72"/>
    <mergeCell ref="D70:D72"/>
    <mergeCell ref="E70:E72"/>
    <mergeCell ref="F70:F72"/>
    <mergeCell ref="B1:K1"/>
    <mergeCell ref="K79:K80"/>
    <mergeCell ref="G15:G17"/>
    <mergeCell ref="L79:N79"/>
    <mergeCell ref="O79:O80"/>
    <mergeCell ref="B3:I3"/>
    <mergeCell ref="B5:I5"/>
    <mergeCell ref="H15:H17"/>
    <mergeCell ref="K15:K17"/>
    <mergeCell ref="L15:O15"/>
    <mergeCell ref="L16:O16"/>
    <mergeCell ref="F15:F17"/>
    <mergeCell ref="I15:I17"/>
    <mergeCell ref="A15:A17"/>
    <mergeCell ref="B15:B17"/>
    <mergeCell ref="C15:C17"/>
    <mergeCell ref="D15:D17"/>
    <mergeCell ref="E15:E17"/>
    <mergeCell ref="J15:J1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6"/>
  <sheetViews>
    <sheetView zoomScale="80" zoomScaleNormal="80" zoomScalePageLayoutView="0" workbookViewId="0" topLeftCell="A79">
      <selection activeCell="F100" sqref="F100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2.898437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2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3.8984375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</cols>
  <sheetData>
    <row r="1" spans="2:11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1" ht="15">
      <c r="B2" s="222"/>
      <c r="C2" s="222"/>
      <c r="D2" s="222"/>
      <c r="E2" s="222"/>
      <c r="F2" s="222"/>
      <c r="G2" s="222"/>
      <c r="H2" s="223"/>
      <c r="I2" s="224"/>
      <c r="J2" s="222"/>
      <c r="K2" s="222"/>
    </row>
    <row r="3" spans="2:11" ht="29.25" customHeight="1">
      <c r="B3" s="715" t="s">
        <v>1063</v>
      </c>
      <c r="C3" s="716"/>
      <c r="D3" s="716"/>
      <c r="E3" s="716"/>
      <c r="F3" s="716"/>
      <c r="G3" s="716"/>
      <c r="H3" s="716"/>
      <c r="I3" s="716"/>
      <c r="J3" s="717"/>
      <c r="K3" s="222"/>
    </row>
    <row r="4" spans="2:11" ht="19.5" customHeight="1">
      <c r="B4" s="223"/>
      <c r="C4" s="223"/>
      <c r="D4" s="223"/>
      <c r="E4" s="223"/>
      <c r="F4" s="223"/>
      <c r="G4" s="223"/>
      <c r="H4" s="223"/>
      <c r="I4" s="224"/>
      <c r="J4" s="222"/>
      <c r="K4" s="222"/>
    </row>
    <row r="5" spans="2:11" ht="19.5" customHeight="1">
      <c r="B5" s="679" t="s">
        <v>1029</v>
      </c>
      <c r="C5" s="679"/>
      <c r="D5" s="679"/>
      <c r="E5" s="679"/>
      <c r="F5" s="679"/>
      <c r="G5" s="679"/>
      <c r="H5" s="679"/>
      <c r="I5" s="679"/>
      <c r="J5" s="679"/>
      <c r="K5" s="222"/>
    </row>
    <row r="6" spans="2:11" ht="19.5" customHeight="1">
      <c r="B6" s="223"/>
      <c r="C6" s="223"/>
      <c r="D6" s="223"/>
      <c r="E6" s="223"/>
      <c r="F6" s="223"/>
      <c r="G6" s="223"/>
      <c r="H6" s="223"/>
      <c r="I6" s="224"/>
      <c r="J6" s="222"/>
      <c r="K6" s="222"/>
    </row>
    <row r="7" spans="2:11" ht="19.5" customHeight="1">
      <c r="B7" s="225" t="s">
        <v>967</v>
      </c>
      <c r="C7" s="222"/>
      <c r="D7" s="223"/>
      <c r="E7" s="223"/>
      <c r="F7" s="223"/>
      <c r="G7" s="222"/>
      <c r="H7" s="223"/>
      <c r="I7" s="224"/>
      <c r="J7" s="222"/>
      <c r="K7" s="222"/>
    </row>
    <row r="8" spans="2:11" ht="19.5" customHeight="1">
      <c r="B8" s="528" t="s">
        <v>1986</v>
      </c>
      <c r="C8" s="222"/>
      <c r="D8" s="223"/>
      <c r="E8" s="223"/>
      <c r="F8" s="223"/>
      <c r="G8" s="222"/>
      <c r="H8" s="223"/>
      <c r="I8" s="224"/>
      <c r="J8" s="222"/>
      <c r="K8" s="222"/>
    </row>
    <row r="9" spans="2:11" ht="19.5" customHeight="1">
      <c r="B9" s="226" t="s">
        <v>1828</v>
      </c>
      <c r="C9" s="222"/>
      <c r="D9" s="227"/>
      <c r="E9" s="223"/>
      <c r="F9" s="223"/>
      <c r="G9" s="222"/>
      <c r="H9" s="223"/>
      <c r="I9" s="224"/>
      <c r="J9" s="222"/>
      <c r="K9" s="222"/>
    </row>
    <row r="10" spans="2:11" ht="19.5" customHeight="1">
      <c r="B10" s="226" t="s">
        <v>1681</v>
      </c>
      <c r="C10" s="222"/>
      <c r="D10" s="227"/>
      <c r="E10" s="223"/>
      <c r="F10" s="223"/>
      <c r="G10" s="222"/>
      <c r="H10" s="223"/>
      <c r="I10" s="224"/>
      <c r="J10" s="222"/>
      <c r="K10" s="222"/>
    </row>
    <row r="11" spans="2:11" ht="19.5" customHeight="1">
      <c r="B11" s="222" t="s">
        <v>1047</v>
      </c>
      <c r="C11" s="222"/>
      <c r="D11" s="222"/>
      <c r="E11" s="222"/>
      <c r="F11" s="222"/>
      <c r="G11" s="222"/>
      <c r="H11" s="223"/>
      <c r="I11" s="224"/>
      <c r="J11" s="222"/>
      <c r="K11" s="222"/>
    </row>
    <row r="12" spans="2:11" ht="19.5" customHeight="1">
      <c r="B12" s="228" t="s">
        <v>1030</v>
      </c>
      <c r="C12" s="229" t="s">
        <v>1031</v>
      </c>
      <c r="D12" s="227"/>
      <c r="E12" s="227"/>
      <c r="F12" s="227"/>
      <c r="G12" s="227"/>
      <c r="H12" s="230"/>
      <c r="I12" s="222"/>
      <c r="J12" s="222"/>
      <c r="K12" s="222"/>
    </row>
    <row r="13" spans="2:11" ht="19.5" customHeight="1"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22"/>
      <c r="K13" s="222"/>
    </row>
    <row r="14" ht="15" thickBot="1"/>
    <row r="15" spans="1:15" ht="45" customHeight="1">
      <c r="A15" s="757" t="s">
        <v>0</v>
      </c>
      <c r="B15" s="751" t="s">
        <v>993</v>
      </c>
      <c r="C15" s="751" t="s">
        <v>2</v>
      </c>
      <c r="D15" s="751" t="s">
        <v>3</v>
      </c>
      <c r="E15" s="748" t="s">
        <v>1038</v>
      </c>
      <c r="F15" s="748" t="s">
        <v>5</v>
      </c>
      <c r="G15" s="751" t="s">
        <v>6</v>
      </c>
      <c r="H15" s="772" t="s">
        <v>7</v>
      </c>
      <c r="I15" s="772" t="s">
        <v>753</v>
      </c>
      <c r="J15" s="772" t="s">
        <v>157</v>
      </c>
      <c r="K15" s="775" t="s">
        <v>992</v>
      </c>
      <c r="L15" s="778" t="s">
        <v>1039</v>
      </c>
      <c r="M15" s="779"/>
      <c r="N15" s="779"/>
      <c r="O15" s="780"/>
    </row>
    <row r="16" spans="1:15" ht="44.25" customHeight="1">
      <c r="A16" s="758"/>
      <c r="B16" s="752"/>
      <c r="C16" s="752"/>
      <c r="D16" s="752"/>
      <c r="E16" s="749"/>
      <c r="F16" s="749"/>
      <c r="G16" s="752"/>
      <c r="H16" s="773"/>
      <c r="I16" s="773"/>
      <c r="J16" s="773"/>
      <c r="K16" s="776"/>
      <c r="L16" s="781" t="s">
        <v>1040</v>
      </c>
      <c r="M16" s="782"/>
      <c r="N16" s="782"/>
      <c r="O16" s="783"/>
    </row>
    <row r="17" spans="1:15" ht="26.25" customHeight="1" thickBot="1">
      <c r="A17" s="759"/>
      <c r="B17" s="753"/>
      <c r="C17" s="753"/>
      <c r="D17" s="753"/>
      <c r="E17" s="750"/>
      <c r="F17" s="750"/>
      <c r="G17" s="753"/>
      <c r="H17" s="774"/>
      <c r="I17" s="774"/>
      <c r="J17" s="774"/>
      <c r="K17" s="777"/>
      <c r="L17" s="172" t="s">
        <v>1041</v>
      </c>
      <c r="M17" s="173" t="s">
        <v>1035</v>
      </c>
      <c r="N17" s="173" t="s">
        <v>1036</v>
      </c>
      <c r="O17" s="174" t="s">
        <v>10</v>
      </c>
    </row>
    <row r="18" spans="1:15" ht="29.25">
      <c r="A18" s="305" t="s">
        <v>11</v>
      </c>
      <c r="B18" s="180" t="s">
        <v>12</v>
      </c>
      <c r="C18" s="180" t="s">
        <v>1064</v>
      </c>
      <c r="D18" s="179"/>
      <c r="E18" s="180"/>
      <c r="F18" s="180" t="s">
        <v>1065</v>
      </c>
      <c r="G18" s="180" t="s">
        <v>1066</v>
      </c>
      <c r="H18" s="389" t="s">
        <v>1459</v>
      </c>
      <c r="I18" s="215">
        <v>1482835</v>
      </c>
      <c r="J18" s="390" t="s">
        <v>16</v>
      </c>
      <c r="K18" s="180">
        <v>0.4</v>
      </c>
      <c r="L18" s="181"/>
      <c r="M18" s="182">
        <f>3419-2857</f>
        <v>562</v>
      </c>
      <c r="N18" s="182">
        <f>11891-11301</f>
        <v>590</v>
      </c>
      <c r="O18" s="183">
        <f>M18+N18</f>
        <v>1152</v>
      </c>
    </row>
    <row r="19" spans="1:15" ht="29.25">
      <c r="A19" s="305" t="s">
        <v>11</v>
      </c>
      <c r="B19" s="180" t="s">
        <v>12</v>
      </c>
      <c r="C19" s="177" t="s">
        <v>102</v>
      </c>
      <c r="D19" s="176"/>
      <c r="E19" s="177"/>
      <c r="F19" s="177" t="s">
        <v>1065</v>
      </c>
      <c r="G19" s="177" t="s">
        <v>1066</v>
      </c>
      <c r="H19" s="388" t="s">
        <v>1443</v>
      </c>
      <c r="I19" s="216">
        <v>83247334</v>
      </c>
      <c r="J19" s="391" t="s">
        <v>16</v>
      </c>
      <c r="K19" s="177">
        <v>0.6</v>
      </c>
      <c r="L19" s="184"/>
      <c r="M19" s="185">
        <f>2489-1013</f>
        <v>1476</v>
      </c>
      <c r="N19" s="185">
        <f>9505-3172</f>
        <v>6333</v>
      </c>
      <c r="O19" s="183">
        <f aca="true" t="shared" si="0" ref="O19:O76">M19+N19</f>
        <v>7809</v>
      </c>
    </row>
    <row r="20" spans="1:15" ht="29.25">
      <c r="A20" s="305" t="s">
        <v>11</v>
      </c>
      <c r="B20" s="180" t="s">
        <v>12</v>
      </c>
      <c r="C20" s="177" t="s">
        <v>1064</v>
      </c>
      <c r="D20" s="176"/>
      <c r="E20" s="177">
        <v>3</v>
      </c>
      <c r="F20" s="177" t="s">
        <v>1065</v>
      </c>
      <c r="G20" s="177" t="s">
        <v>1066</v>
      </c>
      <c r="H20" s="388" t="s">
        <v>1444</v>
      </c>
      <c r="I20" s="216">
        <v>40975</v>
      </c>
      <c r="J20" s="391" t="s">
        <v>16</v>
      </c>
      <c r="K20" s="177">
        <v>0.6</v>
      </c>
      <c r="L20" s="184"/>
      <c r="M20" s="185">
        <f>8130-6493</f>
        <v>1637</v>
      </c>
      <c r="N20" s="185">
        <f>23744-19575</f>
        <v>4169</v>
      </c>
      <c r="O20" s="183">
        <f t="shared" si="0"/>
        <v>5806</v>
      </c>
    </row>
    <row r="21" spans="1:15" ht="29.25">
      <c r="A21" s="305" t="s">
        <v>11</v>
      </c>
      <c r="B21" s="180" t="s">
        <v>12</v>
      </c>
      <c r="C21" s="177" t="s">
        <v>1064</v>
      </c>
      <c r="D21" s="176"/>
      <c r="E21" s="177">
        <v>4</v>
      </c>
      <c r="F21" s="177" t="s">
        <v>1065</v>
      </c>
      <c r="G21" s="177" t="s">
        <v>1066</v>
      </c>
      <c r="H21" s="389" t="s">
        <v>1445</v>
      </c>
      <c r="I21" s="216">
        <v>83247327</v>
      </c>
      <c r="J21" s="391" t="s">
        <v>16</v>
      </c>
      <c r="K21" s="177">
        <v>0.5</v>
      </c>
      <c r="L21" s="184"/>
      <c r="M21" s="185">
        <f>529-271</f>
        <v>258</v>
      </c>
      <c r="N21" s="185">
        <f>1897-830</f>
        <v>1067</v>
      </c>
      <c r="O21" s="183">
        <f t="shared" si="0"/>
        <v>1325</v>
      </c>
    </row>
    <row r="22" spans="1:15" ht="29.25">
      <c r="A22" s="305" t="s">
        <v>11</v>
      </c>
      <c r="B22" s="180" t="s">
        <v>12</v>
      </c>
      <c r="C22" s="177" t="s">
        <v>1067</v>
      </c>
      <c r="D22" s="176"/>
      <c r="E22" s="177"/>
      <c r="F22" s="177" t="s">
        <v>1065</v>
      </c>
      <c r="G22" s="177" t="s">
        <v>1066</v>
      </c>
      <c r="H22" s="388" t="s">
        <v>1447</v>
      </c>
      <c r="I22" s="216">
        <v>1003326</v>
      </c>
      <c r="J22" s="391" t="s">
        <v>16</v>
      </c>
      <c r="K22" s="177">
        <v>0.6</v>
      </c>
      <c r="L22" s="184"/>
      <c r="M22" s="185">
        <f>6187-4668</f>
        <v>1519</v>
      </c>
      <c r="N22" s="185">
        <f>23011-17482</f>
        <v>5529</v>
      </c>
      <c r="O22" s="183">
        <f t="shared" si="0"/>
        <v>7048</v>
      </c>
    </row>
    <row r="23" spans="1:15" ht="29.25">
      <c r="A23" s="305" t="s">
        <v>11</v>
      </c>
      <c r="B23" s="180" t="s">
        <v>12</v>
      </c>
      <c r="C23" s="177" t="s">
        <v>1067</v>
      </c>
      <c r="D23" s="176"/>
      <c r="E23" s="177"/>
      <c r="F23" s="177" t="s">
        <v>1065</v>
      </c>
      <c r="G23" s="177" t="s">
        <v>1066</v>
      </c>
      <c r="H23" s="388" t="s">
        <v>1448</v>
      </c>
      <c r="I23" s="216">
        <v>83246564</v>
      </c>
      <c r="J23" s="391" t="s">
        <v>16</v>
      </c>
      <c r="K23" s="177">
        <v>0.7</v>
      </c>
      <c r="L23" s="184"/>
      <c r="M23" s="185">
        <f>1292-269</f>
        <v>1023</v>
      </c>
      <c r="N23" s="185">
        <f>4634-810</f>
        <v>3824</v>
      </c>
      <c r="O23" s="183">
        <f t="shared" si="0"/>
        <v>4847</v>
      </c>
    </row>
    <row r="24" spans="1:15" ht="29.25">
      <c r="A24" s="305" t="s">
        <v>11</v>
      </c>
      <c r="B24" s="180" t="s">
        <v>12</v>
      </c>
      <c r="C24" s="177" t="s">
        <v>1067</v>
      </c>
      <c r="D24" s="176"/>
      <c r="E24" s="177"/>
      <c r="F24" s="177" t="s">
        <v>1065</v>
      </c>
      <c r="G24" s="177" t="s">
        <v>1066</v>
      </c>
      <c r="H24" s="389" t="s">
        <v>1446</v>
      </c>
      <c r="I24" s="216">
        <v>41086</v>
      </c>
      <c r="J24" s="391" t="s">
        <v>16</v>
      </c>
      <c r="K24" s="177">
        <v>0.6</v>
      </c>
      <c r="L24" s="184"/>
      <c r="M24" s="185">
        <f>4022-3264</f>
        <v>758</v>
      </c>
      <c r="N24" s="185">
        <f>10930-9131</f>
        <v>1799</v>
      </c>
      <c r="O24" s="183">
        <f t="shared" si="0"/>
        <v>2557</v>
      </c>
    </row>
    <row r="25" spans="1:15" ht="29.25">
      <c r="A25" s="305" t="s">
        <v>11</v>
      </c>
      <c r="B25" s="180" t="s">
        <v>12</v>
      </c>
      <c r="C25" s="177" t="s">
        <v>1068</v>
      </c>
      <c r="D25" s="176"/>
      <c r="E25" s="177"/>
      <c r="F25" s="177" t="s">
        <v>1065</v>
      </c>
      <c r="G25" s="177" t="s">
        <v>1066</v>
      </c>
      <c r="H25" s="388" t="s">
        <v>1449</v>
      </c>
      <c r="I25" s="216">
        <v>41772</v>
      </c>
      <c r="J25" s="391" t="s">
        <v>16</v>
      </c>
      <c r="K25" s="177">
        <v>0.6</v>
      </c>
      <c r="L25" s="184"/>
      <c r="M25" s="185">
        <f>4789-3710</f>
        <v>1079</v>
      </c>
      <c r="N25" s="185">
        <f>14682-11677</f>
        <v>3005</v>
      </c>
      <c r="O25" s="183">
        <f t="shared" si="0"/>
        <v>4084</v>
      </c>
    </row>
    <row r="26" spans="1:15" ht="29.25">
      <c r="A26" s="305" t="s">
        <v>11</v>
      </c>
      <c r="B26" s="180" t="s">
        <v>12</v>
      </c>
      <c r="C26" s="177" t="s">
        <v>1068</v>
      </c>
      <c r="D26" s="176"/>
      <c r="E26" s="177"/>
      <c r="F26" s="177" t="s">
        <v>1065</v>
      </c>
      <c r="G26" s="177" t="s">
        <v>1066</v>
      </c>
      <c r="H26" s="388" t="s">
        <v>1450</v>
      </c>
      <c r="I26" s="216">
        <v>40974</v>
      </c>
      <c r="J26" s="391" t="s">
        <v>16</v>
      </c>
      <c r="K26" s="177">
        <v>0.6</v>
      </c>
      <c r="L26" s="184"/>
      <c r="M26" s="185">
        <f>5135-4045</f>
        <v>1090</v>
      </c>
      <c r="N26" s="185">
        <f>14661-12099</f>
        <v>2562</v>
      </c>
      <c r="O26" s="183">
        <f t="shared" si="0"/>
        <v>3652</v>
      </c>
    </row>
    <row r="27" spans="1:15" ht="29.25">
      <c r="A27" s="305" t="s">
        <v>11</v>
      </c>
      <c r="B27" s="180" t="s">
        <v>12</v>
      </c>
      <c r="C27" s="177" t="s">
        <v>1451</v>
      </c>
      <c r="D27" s="176"/>
      <c r="E27" s="177"/>
      <c r="F27" s="177" t="s">
        <v>1065</v>
      </c>
      <c r="G27" s="177" t="s">
        <v>1066</v>
      </c>
      <c r="H27" s="389" t="s">
        <v>1452</v>
      </c>
      <c r="I27" s="216">
        <v>40978</v>
      </c>
      <c r="J27" s="391" t="s">
        <v>16</v>
      </c>
      <c r="K27" s="177">
        <v>0.8</v>
      </c>
      <c r="L27" s="184"/>
      <c r="M27" s="185">
        <f>7831-6259</f>
        <v>1572</v>
      </c>
      <c r="N27" s="185">
        <f>23282-19274</f>
        <v>4008</v>
      </c>
      <c r="O27" s="183">
        <f t="shared" si="0"/>
        <v>5580</v>
      </c>
    </row>
    <row r="28" spans="1:15" ht="29.25">
      <c r="A28" s="305" t="s">
        <v>11</v>
      </c>
      <c r="B28" s="180" t="s">
        <v>12</v>
      </c>
      <c r="C28" s="177" t="s">
        <v>1069</v>
      </c>
      <c r="D28" s="176"/>
      <c r="E28" s="177"/>
      <c r="F28" s="177" t="s">
        <v>1065</v>
      </c>
      <c r="G28" s="177" t="s">
        <v>1066</v>
      </c>
      <c r="H28" s="388" t="s">
        <v>1453</v>
      </c>
      <c r="I28" s="216">
        <v>40980</v>
      </c>
      <c r="J28" s="391" t="s">
        <v>16</v>
      </c>
      <c r="K28" s="177">
        <v>1.5</v>
      </c>
      <c r="L28" s="184"/>
      <c r="M28" s="185">
        <f>12616-10108</f>
        <v>2508</v>
      </c>
      <c r="N28" s="185">
        <f>32573-27090</f>
        <v>5483</v>
      </c>
      <c r="O28" s="183">
        <f t="shared" si="0"/>
        <v>7991</v>
      </c>
    </row>
    <row r="29" spans="1:15" ht="29.25">
      <c r="A29" s="305" t="s">
        <v>11</v>
      </c>
      <c r="B29" s="180" t="s">
        <v>12</v>
      </c>
      <c r="C29" s="177" t="s">
        <v>1070</v>
      </c>
      <c r="D29" s="176"/>
      <c r="E29" s="177">
        <v>21</v>
      </c>
      <c r="F29" s="177" t="s">
        <v>1065</v>
      </c>
      <c r="G29" s="177" t="s">
        <v>1066</v>
      </c>
      <c r="H29" s="388" t="s">
        <v>1454</v>
      </c>
      <c r="I29" s="216">
        <v>40973</v>
      </c>
      <c r="J29" s="391" t="s">
        <v>16</v>
      </c>
      <c r="K29" s="177">
        <v>0.7</v>
      </c>
      <c r="L29" s="184"/>
      <c r="M29" s="185">
        <f>8844-7080</f>
        <v>1764</v>
      </c>
      <c r="N29" s="185">
        <f>26429-21861</f>
        <v>4568</v>
      </c>
      <c r="O29" s="183">
        <f t="shared" si="0"/>
        <v>6332</v>
      </c>
    </row>
    <row r="30" spans="1:15" ht="29.25">
      <c r="A30" s="305" t="s">
        <v>11</v>
      </c>
      <c r="B30" s="180" t="s">
        <v>12</v>
      </c>
      <c r="C30" s="177" t="s">
        <v>986</v>
      </c>
      <c r="D30" s="176"/>
      <c r="E30" s="177"/>
      <c r="F30" s="177" t="s">
        <v>1065</v>
      </c>
      <c r="G30" s="177" t="s">
        <v>1066</v>
      </c>
      <c r="H30" s="389" t="s">
        <v>1455</v>
      </c>
      <c r="I30" s="216">
        <v>83246540</v>
      </c>
      <c r="J30" s="391" t="s">
        <v>16</v>
      </c>
      <c r="K30" s="306">
        <v>2</v>
      </c>
      <c r="L30" s="184"/>
      <c r="M30" s="185">
        <f>3151-649</f>
        <v>2502</v>
      </c>
      <c r="N30" s="185">
        <f>12217-2157</f>
        <v>10060</v>
      </c>
      <c r="O30" s="183">
        <f t="shared" si="0"/>
        <v>12562</v>
      </c>
    </row>
    <row r="31" spans="1:15" ht="29.25">
      <c r="A31" s="305" t="s">
        <v>11</v>
      </c>
      <c r="B31" s="180" t="s">
        <v>12</v>
      </c>
      <c r="C31" s="177" t="s">
        <v>986</v>
      </c>
      <c r="D31" s="176"/>
      <c r="E31" s="177"/>
      <c r="F31" s="177" t="s">
        <v>1065</v>
      </c>
      <c r="G31" s="177" t="s">
        <v>1066</v>
      </c>
      <c r="H31" s="388" t="s">
        <v>1456</v>
      </c>
      <c r="I31" s="216">
        <v>40981</v>
      </c>
      <c r="J31" s="391" t="s">
        <v>16</v>
      </c>
      <c r="K31" s="177">
        <v>2.8</v>
      </c>
      <c r="L31" s="184"/>
      <c r="M31" s="185">
        <f>21244-17197</f>
        <v>4047</v>
      </c>
      <c r="N31" s="185">
        <f>63907-53336</f>
        <v>10571</v>
      </c>
      <c r="O31" s="183">
        <f t="shared" si="0"/>
        <v>14618</v>
      </c>
    </row>
    <row r="32" spans="1:15" ht="29.25">
      <c r="A32" s="305" t="s">
        <v>11</v>
      </c>
      <c r="B32" s="180" t="s">
        <v>12</v>
      </c>
      <c r="C32" s="177" t="s">
        <v>1071</v>
      </c>
      <c r="D32" s="176"/>
      <c r="E32" s="177"/>
      <c r="F32" s="177" t="s">
        <v>1065</v>
      </c>
      <c r="G32" s="177" t="s">
        <v>1066</v>
      </c>
      <c r="H32" s="388" t="s">
        <v>1457</v>
      </c>
      <c r="I32" s="216">
        <v>41089</v>
      </c>
      <c r="J32" s="391" t="s">
        <v>16</v>
      </c>
      <c r="K32" s="177">
        <v>1.5</v>
      </c>
      <c r="L32" s="184"/>
      <c r="M32" s="185">
        <f>14143-11578</f>
        <v>2565</v>
      </c>
      <c r="N32" s="185">
        <f>43396-36328</f>
        <v>7068</v>
      </c>
      <c r="O32" s="183">
        <f t="shared" si="0"/>
        <v>9633</v>
      </c>
    </row>
    <row r="33" spans="1:15" ht="29.25">
      <c r="A33" s="305" t="s">
        <v>11</v>
      </c>
      <c r="B33" s="180" t="s">
        <v>12</v>
      </c>
      <c r="C33" s="177" t="s">
        <v>1071</v>
      </c>
      <c r="D33" s="176"/>
      <c r="E33" s="177"/>
      <c r="F33" s="177" t="s">
        <v>1065</v>
      </c>
      <c r="G33" s="177" t="s">
        <v>1066</v>
      </c>
      <c r="H33" s="389" t="s">
        <v>1458</v>
      </c>
      <c r="I33" s="216">
        <v>41090</v>
      </c>
      <c r="J33" s="391" t="s">
        <v>16</v>
      </c>
      <c r="K33" s="177">
        <v>1.3</v>
      </c>
      <c r="L33" s="184"/>
      <c r="M33" s="185">
        <f>10773-8637</f>
        <v>2136</v>
      </c>
      <c r="N33" s="185">
        <f>34493-28514</f>
        <v>5979</v>
      </c>
      <c r="O33" s="183">
        <f t="shared" si="0"/>
        <v>8115</v>
      </c>
    </row>
    <row r="34" spans="1:15" ht="29.25">
      <c r="A34" s="305" t="s">
        <v>11</v>
      </c>
      <c r="B34" s="180" t="s">
        <v>12</v>
      </c>
      <c r="C34" s="177" t="s">
        <v>1064</v>
      </c>
      <c r="D34" s="176"/>
      <c r="E34" s="177">
        <v>1</v>
      </c>
      <c r="F34" s="177" t="s">
        <v>1065</v>
      </c>
      <c r="G34" s="177" t="s">
        <v>1066</v>
      </c>
      <c r="H34" s="388" t="s">
        <v>1460</v>
      </c>
      <c r="I34" s="217">
        <v>28373639</v>
      </c>
      <c r="J34" s="391" t="s">
        <v>16</v>
      </c>
      <c r="K34" s="177">
        <v>0.4</v>
      </c>
      <c r="L34" s="184"/>
      <c r="M34" s="185">
        <f>3460-3227</f>
        <v>233</v>
      </c>
      <c r="N34" s="185">
        <f>32849-30013</f>
        <v>2836</v>
      </c>
      <c r="O34" s="183">
        <f t="shared" si="0"/>
        <v>3069</v>
      </c>
    </row>
    <row r="35" spans="1:15" ht="29.25">
      <c r="A35" s="305" t="s">
        <v>11</v>
      </c>
      <c r="B35" s="180" t="s">
        <v>12</v>
      </c>
      <c r="C35" s="177" t="s">
        <v>1072</v>
      </c>
      <c r="D35" s="176"/>
      <c r="E35" s="177"/>
      <c r="F35" s="177" t="s">
        <v>1065</v>
      </c>
      <c r="G35" s="177" t="s">
        <v>1066</v>
      </c>
      <c r="H35" s="388" t="s">
        <v>1461</v>
      </c>
      <c r="I35" s="216">
        <v>16873800</v>
      </c>
      <c r="J35" s="391" t="s">
        <v>16</v>
      </c>
      <c r="K35" s="177">
        <v>1.1</v>
      </c>
      <c r="L35" s="184"/>
      <c r="M35" s="185">
        <f>9119-7922</f>
        <v>1197</v>
      </c>
      <c r="N35" s="185">
        <f>51126-46163</f>
        <v>4963</v>
      </c>
      <c r="O35" s="183">
        <f t="shared" si="0"/>
        <v>6160</v>
      </c>
    </row>
    <row r="36" spans="1:15" ht="29.25">
      <c r="A36" s="305" t="s">
        <v>11</v>
      </c>
      <c r="B36" s="180" t="s">
        <v>12</v>
      </c>
      <c r="C36" s="177" t="s">
        <v>1072</v>
      </c>
      <c r="D36" s="176"/>
      <c r="E36" s="177"/>
      <c r="F36" s="177" t="s">
        <v>1065</v>
      </c>
      <c r="G36" s="177" t="s">
        <v>1066</v>
      </c>
      <c r="H36" s="389" t="s">
        <v>1462</v>
      </c>
      <c r="I36" s="216">
        <v>117193</v>
      </c>
      <c r="J36" s="391" t="s">
        <v>16</v>
      </c>
      <c r="K36" s="177">
        <v>0.4</v>
      </c>
      <c r="L36" s="184"/>
      <c r="M36" s="185">
        <f>2168-1646</f>
        <v>522</v>
      </c>
      <c r="N36" s="185">
        <f>8736-6519</f>
        <v>2217</v>
      </c>
      <c r="O36" s="183">
        <f t="shared" si="0"/>
        <v>2739</v>
      </c>
    </row>
    <row r="37" spans="1:15" ht="29.25">
      <c r="A37" s="305" t="s">
        <v>11</v>
      </c>
      <c r="B37" s="180" t="s">
        <v>12</v>
      </c>
      <c r="C37" s="177" t="s">
        <v>1073</v>
      </c>
      <c r="D37" s="176"/>
      <c r="E37" s="177"/>
      <c r="F37" s="177" t="s">
        <v>1065</v>
      </c>
      <c r="G37" s="177" t="s">
        <v>1066</v>
      </c>
      <c r="H37" s="388" t="s">
        <v>1463</v>
      </c>
      <c r="I37" s="216">
        <v>1401623</v>
      </c>
      <c r="J37" s="391" t="s">
        <v>16</v>
      </c>
      <c r="K37" s="177">
        <v>1.5</v>
      </c>
      <c r="L37" s="184"/>
      <c r="M37" s="185">
        <f>6754-5039</f>
        <v>1715</v>
      </c>
      <c r="N37" s="185">
        <f>15903-8709</f>
        <v>7194</v>
      </c>
      <c r="O37" s="183">
        <f t="shared" si="0"/>
        <v>8909</v>
      </c>
    </row>
    <row r="38" spans="1:15" ht="29.25">
      <c r="A38" s="305" t="s">
        <v>11</v>
      </c>
      <c r="B38" s="180" t="s">
        <v>12</v>
      </c>
      <c r="C38" s="177" t="s">
        <v>1074</v>
      </c>
      <c r="D38" s="176"/>
      <c r="E38" s="177">
        <v>6</v>
      </c>
      <c r="F38" s="177" t="s">
        <v>1065</v>
      </c>
      <c r="G38" s="177" t="s">
        <v>1066</v>
      </c>
      <c r="H38" s="388" t="s">
        <v>1408</v>
      </c>
      <c r="I38" s="216">
        <v>83111238</v>
      </c>
      <c r="J38" s="391" t="s">
        <v>16</v>
      </c>
      <c r="K38" s="177">
        <v>0.7</v>
      </c>
      <c r="L38" s="184"/>
      <c r="M38" s="185">
        <f>1423-690</f>
        <v>733</v>
      </c>
      <c r="N38" s="185">
        <f>5441-2376</f>
        <v>3065</v>
      </c>
      <c r="O38" s="183">
        <f t="shared" si="0"/>
        <v>3798</v>
      </c>
    </row>
    <row r="39" spans="1:15" ht="29.25">
      <c r="A39" s="305" t="s">
        <v>11</v>
      </c>
      <c r="B39" s="180" t="s">
        <v>12</v>
      </c>
      <c r="C39" s="177" t="s">
        <v>1723</v>
      </c>
      <c r="D39" s="176"/>
      <c r="E39" s="177"/>
      <c r="F39" s="177" t="s">
        <v>1065</v>
      </c>
      <c r="G39" s="177" t="s">
        <v>1066</v>
      </c>
      <c r="H39" s="389" t="s">
        <v>1409</v>
      </c>
      <c r="I39" s="216">
        <v>1387577</v>
      </c>
      <c r="J39" s="391" t="s">
        <v>16</v>
      </c>
      <c r="K39" s="177">
        <v>2.2</v>
      </c>
      <c r="L39" s="184"/>
      <c r="M39" s="185">
        <f>5403-4351</f>
        <v>1052</v>
      </c>
      <c r="N39" s="185">
        <f>17219-13420</f>
        <v>3799</v>
      </c>
      <c r="O39" s="183">
        <f t="shared" si="0"/>
        <v>4851</v>
      </c>
    </row>
    <row r="40" spans="1:15" ht="29.25">
      <c r="A40" s="305" t="s">
        <v>11</v>
      </c>
      <c r="B40" s="180" t="s">
        <v>12</v>
      </c>
      <c r="C40" s="177" t="s">
        <v>1075</v>
      </c>
      <c r="D40" s="176"/>
      <c r="E40" s="177"/>
      <c r="F40" s="177" t="s">
        <v>1065</v>
      </c>
      <c r="G40" s="177" t="s">
        <v>1066</v>
      </c>
      <c r="H40" s="388" t="s">
        <v>1724</v>
      </c>
      <c r="I40" s="216">
        <v>1499906</v>
      </c>
      <c r="J40" s="391" t="s">
        <v>16</v>
      </c>
      <c r="K40" s="177">
        <v>2.2</v>
      </c>
      <c r="L40" s="184"/>
      <c r="M40" s="185">
        <f>976-580</f>
        <v>396</v>
      </c>
      <c r="N40" s="185">
        <f>4110-2375</f>
        <v>1735</v>
      </c>
      <c r="O40" s="183">
        <f t="shared" si="0"/>
        <v>2131</v>
      </c>
    </row>
    <row r="41" spans="1:15" ht="29.25">
      <c r="A41" s="305" t="s">
        <v>11</v>
      </c>
      <c r="B41" s="180" t="s">
        <v>12</v>
      </c>
      <c r="C41" s="177" t="s">
        <v>1076</v>
      </c>
      <c r="D41" s="176"/>
      <c r="E41" s="177">
        <v>32</v>
      </c>
      <c r="F41" s="177" t="s">
        <v>1065</v>
      </c>
      <c r="G41" s="177" t="s">
        <v>1066</v>
      </c>
      <c r="H41" s="388" t="s">
        <v>1410</v>
      </c>
      <c r="I41" s="216">
        <v>112480</v>
      </c>
      <c r="J41" s="391" t="s">
        <v>16</v>
      </c>
      <c r="K41" s="177">
        <v>0.7</v>
      </c>
      <c r="L41" s="184"/>
      <c r="M41" s="185">
        <f>3046-2250</f>
        <v>796</v>
      </c>
      <c r="N41" s="185">
        <f>14267-10505</f>
        <v>3762</v>
      </c>
      <c r="O41" s="183">
        <f t="shared" si="0"/>
        <v>4558</v>
      </c>
    </row>
    <row r="42" spans="1:15" ht="29.25">
      <c r="A42" s="305" t="s">
        <v>11</v>
      </c>
      <c r="B42" s="180" t="s">
        <v>12</v>
      </c>
      <c r="C42" s="177" t="s">
        <v>1076</v>
      </c>
      <c r="D42" s="176"/>
      <c r="E42" s="177"/>
      <c r="F42" s="177" t="s">
        <v>1065</v>
      </c>
      <c r="G42" s="177" t="s">
        <v>1066</v>
      </c>
      <c r="H42" s="389" t="s">
        <v>1411</v>
      </c>
      <c r="I42" s="216">
        <v>1494932</v>
      </c>
      <c r="J42" s="391" t="s">
        <v>16</v>
      </c>
      <c r="K42" s="177">
        <v>0.7</v>
      </c>
      <c r="L42" s="184"/>
      <c r="M42" s="185">
        <f>2890-1427</f>
        <v>1463</v>
      </c>
      <c r="N42" s="185">
        <f>11751-5382</f>
        <v>6369</v>
      </c>
      <c r="O42" s="183">
        <f t="shared" si="0"/>
        <v>7832</v>
      </c>
    </row>
    <row r="43" spans="1:15" ht="29.25">
      <c r="A43" s="305" t="s">
        <v>11</v>
      </c>
      <c r="B43" s="180" t="s">
        <v>12</v>
      </c>
      <c r="C43" s="177" t="s">
        <v>1077</v>
      </c>
      <c r="D43" s="176"/>
      <c r="E43" s="177">
        <v>5</v>
      </c>
      <c r="F43" s="177" t="s">
        <v>1065</v>
      </c>
      <c r="G43" s="177" t="s">
        <v>1066</v>
      </c>
      <c r="H43" s="388" t="s">
        <v>1412</v>
      </c>
      <c r="I43" s="216">
        <v>1484031</v>
      </c>
      <c r="J43" s="391" t="s">
        <v>16</v>
      </c>
      <c r="K43" s="177">
        <v>1.5</v>
      </c>
      <c r="L43" s="184"/>
      <c r="M43" s="185">
        <f>14040-11254</f>
        <v>2786</v>
      </c>
      <c r="N43" s="185">
        <f>42926-33302</f>
        <v>9624</v>
      </c>
      <c r="O43" s="183">
        <f t="shared" si="0"/>
        <v>12410</v>
      </c>
    </row>
    <row r="44" spans="1:15" ht="29.25">
      <c r="A44" s="305" t="s">
        <v>11</v>
      </c>
      <c r="B44" s="180" t="s">
        <v>12</v>
      </c>
      <c r="C44" s="177" t="s">
        <v>534</v>
      </c>
      <c r="D44" s="176"/>
      <c r="E44" s="177">
        <v>3</v>
      </c>
      <c r="F44" s="177" t="s">
        <v>1065</v>
      </c>
      <c r="G44" s="177" t="s">
        <v>1066</v>
      </c>
      <c r="H44" s="388" t="s">
        <v>1413</v>
      </c>
      <c r="I44" s="216">
        <v>1393870</v>
      </c>
      <c r="J44" s="391" t="s">
        <v>16</v>
      </c>
      <c r="K44" s="177">
        <v>2.2</v>
      </c>
      <c r="L44" s="184"/>
      <c r="M44" s="185">
        <f>6372-5165</f>
        <v>1207</v>
      </c>
      <c r="N44" s="185">
        <f>19750-15566</f>
        <v>4184</v>
      </c>
      <c r="O44" s="183">
        <f t="shared" si="0"/>
        <v>5391</v>
      </c>
    </row>
    <row r="45" spans="1:15" ht="29.25">
      <c r="A45" s="305" t="s">
        <v>11</v>
      </c>
      <c r="B45" s="180" t="s">
        <v>12</v>
      </c>
      <c r="C45" s="177" t="s">
        <v>534</v>
      </c>
      <c r="D45" s="176"/>
      <c r="E45" s="177">
        <v>2</v>
      </c>
      <c r="F45" s="177" t="s">
        <v>1065</v>
      </c>
      <c r="G45" s="177" t="s">
        <v>1066</v>
      </c>
      <c r="H45" s="389" t="s">
        <v>1414</v>
      </c>
      <c r="I45" s="216">
        <v>83246621</v>
      </c>
      <c r="J45" s="391" t="s">
        <v>16</v>
      </c>
      <c r="K45" s="177">
        <v>2.2</v>
      </c>
      <c r="L45" s="184"/>
      <c r="M45" s="185">
        <f>2439-512</f>
        <v>1927</v>
      </c>
      <c r="N45" s="185">
        <f>9900-1761</f>
        <v>8139</v>
      </c>
      <c r="O45" s="183">
        <f t="shared" si="0"/>
        <v>10066</v>
      </c>
    </row>
    <row r="46" spans="1:15" ht="29.25">
      <c r="A46" s="305" t="s">
        <v>11</v>
      </c>
      <c r="B46" s="180" t="s">
        <v>12</v>
      </c>
      <c r="C46" s="177" t="s">
        <v>534</v>
      </c>
      <c r="D46" s="176"/>
      <c r="E46" s="177"/>
      <c r="F46" s="177" t="s">
        <v>1065</v>
      </c>
      <c r="G46" s="177" t="s">
        <v>1066</v>
      </c>
      <c r="H46" s="388" t="s">
        <v>1415</v>
      </c>
      <c r="I46" s="216">
        <v>1394971</v>
      </c>
      <c r="J46" s="391" t="s">
        <v>16</v>
      </c>
      <c r="K46" s="177">
        <v>2.2</v>
      </c>
      <c r="L46" s="184"/>
      <c r="M46" s="185">
        <f>4651-3714</f>
        <v>937</v>
      </c>
      <c r="N46" s="185">
        <f>11081-7086</f>
        <v>3995</v>
      </c>
      <c r="O46" s="183">
        <f t="shared" si="0"/>
        <v>4932</v>
      </c>
    </row>
    <row r="47" spans="1:15" ht="29.25">
      <c r="A47" s="305" t="s">
        <v>11</v>
      </c>
      <c r="B47" s="180" t="s">
        <v>12</v>
      </c>
      <c r="C47" s="177" t="s">
        <v>1078</v>
      </c>
      <c r="D47" s="176"/>
      <c r="E47" s="177"/>
      <c r="F47" s="177" t="s">
        <v>1065</v>
      </c>
      <c r="G47" s="177" t="s">
        <v>1066</v>
      </c>
      <c r="H47" s="388" t="s">
        <v>1416</v>
      </c>
      <c r="I47" s="216">
        <v>1394955</v>
      </c>
      <c r="J47" s="391" t="s">
        <v>16</v>
      </c>
      <c r="K47" s="177">
        <v>2.2</v>
      </c>
      <c r="L47" s="184"/>
      <c r="M47" s="185">
        <f>3969-2158</f>
        <v>1811</v>
      </c>
      <c r="N47" s="185">
        <f>11648-3963</f>
        <v>7685</v>
      </c>
      <c r="O47" s="183">
        <f t="shared" si="0"/>
        <v>9496</v>
      </c>
    </row>
    <row r="48" spans="1:15" ht="29.25">
      <c r="A48" s="305" t="s">
        <v>11</v>
      </c>
      <c r="B48" s="180" t="s">
        <v>12</v>
      </c>
      <c r="C48" s="177" t="s">
        <v>1078</v>
      </c>
      <c r="D48" s="176"/>
      <c r="E48" s="177">
        <v>2</v>
      </c>
      <c r="F48" s="177" t="s">
        <v>1065</v>
      </c>
      <c r="G48" s="177" t="s">
        <v>1066</v>
      </c>
      <c r="H48" s="389" t="s">
        <v>1417</v>
      </c>
      <c r="I48" s="216">
        <v>1401622</v>
      </c>
      <c r="J48" s="391" t="s">
        <v>16</v>
      </c>
      <c r="K48" s="177">
        <v>2.2</v>
      </c>
      <c r="L48" s="184"/>
      <c r="M48" s="185">
        <f>7621-6773</f>
        <v>848</v>
      </c>
      <c r="N48" s="185">
        <f>13949-10405</f>
        <v>3544</v>
      </c>
      <c r="O48" s="183">
        <f t="shared" si="0"/>
        <v>4392</v>
      </c>
    </row>
    <row r="49" spans="1:15" ht="29.25">
      <c r="A49" s="305" t="s">
        <v>11</v>
      </c>
      <c r="B49" s="180" t="s">
        <v>12</v>
      </c>
      <c r="C49" s="177" t="s">
        <v>1077</v>
      </c>
      <c r="D49" s="176" t="s">
        <v>43</v>
      </c>
      <c r="E49" s="177"/>
      <c r="F49" s="177" t="s">
        <v>1065</v>
      </c>
      <c r="G49" s="177" t="s">
        <v>1066</v>
      </c>
      <c r="H49" s="388" t="s">
        <v>1418</v>
      </c>
      <c r="I49" s="216">
        <v>70958881</v>
      </c>
      <c r="J49" s="391" t="s">
        <v>16</v>
      </c>
      <c r="K49" s="177">
        <v>6.6</v>
      </c>
      <c r="L49" s="184"/>
      <c r="M49" s="185">
        <f>7497-5673</f>
        <v>1824</v>
      </c>
      <c r="N49" s="185">
        <f>34898-25409</f>
        <v>9489</v>
      </c>
      <c r="O49" s="183">
        <f t="shared" si="0"/>
        <v>11313</v>
      </c>
    </row>
    <row r="50" spans="1:15" ht="29.25">
      <c r="A50" s="305" t="s">
        <v>11</v>
      </c>
      <c r="B50" s="180" t="s">
        <v>12</v>
      </c>
      <c r="C50" s="177" t="s">
        <v>1077</v>
      </c>
      <c r="D50" s="176"/>
      <c r="E50" s="177"/>
      <c r="F50" s="177" t="s">
        <v>1065</v>
      </c>
      <c r="G50" s="177" t="s">
        <v>1066</v>
      </c>
      <c r="H50" s="388" t="s">
        <v>1419</v>
      </c>
      <c r="I50" s="216">
        <v>38617</v>
      </c>
      <c r="J50" s="391" t="s">
        <v>16</v>
      </c>
      <c r="K50" s="177">
        <v>7.8</v>
      </c>
      <c r="L50" s="184"/>
      <c r="M50" s="185">
        <f>24533-19815</f>
        <v>4718</v>
      </c>
      <c r="N50" s="185">
        <f>101572-81810</f>
        <v>19762</v>
      </c>
      <c r="O50" s="183">
        <f t="shared" si="0"/>
        <v>24480</v>
      </c>
    </row>
    <row r="51" spans="1:15" ht="29.25">
      <c r="A51" s="305" t="s">
        <v>11</v>
      </c>
      <c r="B51" s="180" t="s">
        <v>12</v>
      </c>
      <c r="C51" s="177" t="s">
        <v>1077</v>
      </c>
      <c r="D51" s="176"/>
      <c r="E51" s="177"/>
      <c r="F51" s="177" t="s">
        <v>1065</v>
      </c>
      <c r="G51" s="177" t="s">
        <v>1066</v>
      </c>
      <c r="H51" s="389" t="s">
        <v>1420</v>
      </c>
      <c r="I51" s="216">
        <v>1400176</v>
      </c>
      <c r="J51" s="391" t="s">
        <v>16</v>
      </c>
      <c r="K51" s="306">
        <v>1</v>
      </c>
      <c r="L51" s="184"/>
      <c r="M51" s="185">
        <f>6350-4851</f>
        <v>1499</v>
      </c>
      <c r="N51" s="185">
        <f>19847-14430</f>
        <v>5417</v>
      </c>
      <c r="O51" s="183">
        <f t="shared" si="0"/>
        <v>6916</v>
      </c>
    </row>
    <row r="52" spans="1:15" ht="29.25">
      <c r="A52" s="305" t="s">
        <v>11</v>
      </c>
      <c r="B52" s="180" t="s">
        <v>12</v>
      </c>
      <c r="C52" s="177" t="s">
        <v>1079</v>
      </c>
      <c r="D52" s="176"/>
      <c r="E52" s="177"/>
      <c r="F52" s="177" t="s">
        <v>1065</v>
      </c>
      <c r="G52" s="177" t="s">
        <v>1066</v>
      </c>
      <c r="H52" s="388" t="s">
        <v>1725</v>
      </c>
      <c r="I52" s="216">
        <v>1499917</v>
      </c>
      <c r="J52" s="391" t="s">
        <v>16</v>
      </c>
      <c r="K52" s="177">
        <v>2.2</v>
      </c>
      <c r="L52" s="184"/>
      <c r="M52" s="185">
        <f>5333-2678</f>
        <v>2655</v>
      </c>
      <c r="N52" s="185">
        <f>23011-11158</f>
        <v>11853</v>
      </c>
      <c r="O52" s="183">
        <f t="shared" si="0"/>
        <v>14508</v>
      </c>
    </row>
    <row r="53" spans="1:15" ht="29.25">
      <c r="A53" s="305" t="s">
        <v>11</v>
      </c>
      <c r="B53" s="180" t="s">
        <v>12</v>
      </c>
      <c r="C53" s="177" t="s">
        <v>1066</v>
      </c>
      <c r="D53" s="177" t="s">
        <v>935</v>
      </c>
      <c r="E53" s="177"/>
      <c r="F53" s="177" t="s">
        <v>1065</v>
      </c>
      <c r="G53" s="177" t="s">
        <v>1066</v>
      </c>
      <c r="H53" s="388" t="s">
        <v>1422</v>
      </c>
      <c r="I53" s="216">
        <v>41703</v>
      </c>
      <c r="J53" s="391" t="s">
        <v>16</v>
      </c>
      <c r="K53" s="177">
        <v>1.7</v>
      </c>
      <c r="L53" s="184"/>
      <c r="M53" s="185">
        <f>14028-11495</f>
        <v>2533</v>
      </c>
      <c r="N53" s="185">
        <f>43625-36672</f>
        <v>6953</v>
      </c>
      <c r="O53" s="183">
        <f t="shared" si="0"/>
        <v>9486</v>
      </c>
    </row>
    <row r="54" spans="1:15" ht="29.25">
      <c r="A54" s="305" t="s">
        <v>11</v>
      </c>
      <c r="B54" s="180" t="s">
        <v>12</v>
      </c>
      <c r="C54" s="177" t="s">
        <v>1066</v>
      </c>
      <c r="D54" s="177" t="s">
        <v>1080</v>
      </c>
      <c r="E54" s="177"/>
      <c r="F54" s="177" t="s">
        <v>1065</v>
      </c>
      <c r="G54" s="177" t="s">
        <v>1066</v>
      </c>
      <c r="H54" s="389" t="s">
        <v>1423</v>
      </c>
      <c r="I54" s="216">
        <v>127130</v>
      </c>
      <c r="J54" s="391" t="s">
        <v>16</v>
      </c>
      <c r="K54" s="177">
        <v>0.8</v>
      </c>
      <c r="L54" s="184"/>
      <c r="M54" s="185">
        <f>4675-3493</f>
        <v>1182</v>
      </c>
      <c r="N54" s="185">
        <f>19617-14111</f>
        <v>5506</v>
      </c>
      <c r="O54" s="183">
        <f t="shared" si="0"/>
        <v>6688</v>
      </c>
    </row>
    <row r="55" spans="1:15" ht="29.25">
      <c r="A55" s="305" t="s">
        <v>11</v>
      </c>
      <c r="B55" s="180" t="s">
        <v>12</v>
      </c>
      <c r="C55" s="177" t="s">
        <v>1066</v>
      </c>
      <c r="D55" s="177" t="s">
        <v>1081</v>
      </c>
      <c r="E55" s="177"/>
      <c r="F55" s="177" t="s">
        <v>1065</v>
      </c>
      <c r="G55" s="177" t="s">
        <v>1066</v>
      </c>
      <c r="H55" s="388" t="s">
        <v>1424</v>
      </c>
      <c r="I55" s="216">
        <v>70541771</v>
      </c>
      <c r="J55" s="391" t="s">
        <v>16</v>
      </c>
      <c r="K55" s="177">
        <v>3.4</v>
      </c>
      <c r="L55" s="184"/>
      <c r="M55" s="185">
        <f>24032-19466</f>
        <v>4566</v>
      </c>
      <c r="N55" s="185">
        <f>94140-72202</f>
        <v>21938</v>
      </c>
      <c r="O55" s="183">
        <f t="shared" si="0"/>
        <v>26504</v>
      </c>
    </row>
    <row r="56" spans="1:15" ht="29.25">
      <c r="A56" s="305" t="s">
        <v>11</v>
      </c>
      <c r="B56" s="180" t="s">
        <v>12</v>
      </c>
      <c r="C56" s="177" t="s">
        <v>1066</v>
      </c>
      <c r="D56" s="177" t="s">
        <v>1082</v>
      </c>
      <c r="E56" s="177"/>
      <c r="F56" s="177" t="s">
        <v>1065</v>
      </c>
      <c r="G56" s="177" t="s">
        <v>1066</v>
      </c>
      <c r="H56" s="388" t="s">
        <v>1425</v>
      </c>
      <c r="I56" s="216">
        <v>41613</v>
      </c>
      <c r="J56" s="391" t="s">
        <v>16</v>
      </c>
      <c r="K56" s="177">
        <v>1.2</v>
      </c>
      <c r="L56" s="184"/>
      <c r="M56" s="185">
        <f>6465-5461</f>
        <v>1004</v>
      </c>
      <c r="N56" s="185">
        <f>18586-16109</f>
        <v>2477</v>
      </c>
      <c r="O56" s="183">
        <f t="shared" si="0"/>
        <v>3481</v>
      </c>
    </row>
    <row r="57" spans="1:15" ht="29.25">
      <c r="A57" s="305" t="s">
        <v>11</v>
      </c>
      <c r="B57" s="180" t="s">
        <v>12</v>
      </c>
      <c r="C57" s="177" t="s">
        <v>1066</v>
      </c>
      <c r="D57" s="177" t="s">
        <v>935</v>
      </c>
      <c r="E57" s="177">
        <v>7</v>
      </c>
      <c r="F57" s="177" t="s">
        <v>1065</v>
      </c>
      <c r="G57" s="177" t="s">
        <v>1066</v>
      </c>
      <c r="H57" s="389" t="s">
        <v>1426</v>
      </c>
      <c r="I57" s="216">
        <v>59967</v>
      </c>
      <c r="J57" s="391" t="s">
        <v>16</v>
      </c>
      <c r="K57" s="177">
        <v>2.5</v>
      </c>
      <c r="L57" s="184"/>
      <c r="M57" s="185">
        <f>20218-17715</f>
        <v>2503</v>
      </c>
      <c r="N57" s="185">
        <f>85253-74438</f>
        <v>10815</v>
      </c>
      <c r="O57" s="183">
        <f t="shared" si="0"/>
        <v>13318</v>
      </c>
    </row>
    <row r="58" spans="1:15" ht="29.25">
      <c r="A58" s="305" t="s">
        <v>11</v>
      </c>
      <c r="B58" s="180" t="s">
        <v>12</v>
      </c>
      <c r="C58" s="177" t="s">
        <v>1066</v>
      </c>
      <c r="D58" s="177" t="s">
        <v>209</v>
      </c>
      <c r="E58" s="177">
        <v>49</v>
      </c>
      <c r="F58" s="177" t="s">
        <v>1065</v>
      </c>
      <c r="G58" s="177" t="s">
        <v>1066</v>
      </c>
      <c r="H58" s="388" t="s">
        <v>1427</v>
      </c>
      <c r="I58" s="216">
        <v>83247333</v>
      </c>
      <c r="J58" s="391" t="s">
        <v>16</v>
      </c>
      <c r="K58" s="177">
        <v>1.6</v>
      </c>
      <c r="L58" s="184"/>
      <c r="M58" s="185">
        <f>2400-1145</f>
        <v>1255</v>
      </c>
      <c r="N58" s="185">
        <f>9004-3623</f>
        <v>5381</v>
      </c>
      <c r="O58" s="183">
        <f t="shared" si="0"/>
        <v>6636</v>
      </c>
    </row>
    <row r="59" spans="1:15" ht="29.25">
      <c r="A59" s="305" t="s">
        <v>11</v>
      </c>
      <c r="B59" s="180" t="s">
        <v>12</v>
      </c>
      <c r="C59" s="177" t="s">
        <v>1066</v>
      </c>
      <c r="D59" s="177" t="s">
        <v>94</v>
      </c>
      <c r="E59" s="177"/>
      <c r="F59" s="177" t="s">
        <v>1065</v>
      </c>
      <c r="G59" s="177" t="s">
        <v>1066</v>
      </c>
      <c r="H59" s="388" t="s">
        <v>1428</v>
      </c>
      <c r="I59" s="216">
        <v>38374</v>
      </c>
      <c r="J59" s="391" t="s">
        <v>16</v>
      </c>
      <c r="K59" s="177">
        <v>2.8</v>
      </c>
      <c r="L59" s="184"/>
      <c r="M59" s="185">
        <f>23041-19192</f>
        <v>3849</v>
      </c>
      <c r="N59" s="185">
        <f>92181-76391</f>
        <v>15790</v>
      </c>
      <c r="O59" s="183">
        <f t="shared" si="0"/>
        <v>19639</v>
      </c>
    </row>
    <row r="60" spans="1:15" ht="29.25">
      <c r="A60" s="305" t="s">
        <v>11</v>
      </c>
      <c r="B60" s="180" t="s">
        <v>12</v>
      </c>
      <c r="C60" s="177" t="s">
        <v>1066</v>
      </c>
      <c r="D60" s="177" t="s">
        <v>209</v>
      </c>
      <c r="E60" s="177"/>
      <c r="F60" s="177" t="s">
        <v>1065</v>
      </c>
      <c r="G60" s="177" t="s">
        <v>1066</v>
      </c>
      <c r="H60" s="389" t="s">
        <v>1464</v>
      </c>
      <c r="I60" s="217">
        <v>907869</v>
      </c>
      <c r="J60" s="391" t="s">
        <v>16</v>
      </c>
      <c r="K60" s="177">
        <v>3.9</v>
      </c>
      <c r="L60" s="184"/>
      <c r="M60" s="185">
        <f>28696-22732</f>
        <v>5964</v>
      </c>
      <c r="N60" s="185">
        <f>121456-94734</f>
        <v>26722</v>
      </c>
      <c r="O60" s="183">
        <f t="shared" si="0"/>
        <v>32686</v>
      </c>
    </row>
    <row r="61" spans="1:15" ht="29.25">
      <c r="A61" s="305" t="s">
        <v>11</v>
      </c>
      <c r="B61" s="180" t="s">
        <v>12</v>
      </c>
      <c r="C61" s="177" t="s">
        <v>1429</v>
      </c>
      <c r="D61" s="177" t="s">
        <v>1083</v>
      </c>
      <c r="E61" s="177"/>
      <c r="F61" s="177" t="s">
        <v>1065</v>
      </c>
      <c r="G61" s="177" t="s">
        <v>1066</v>
      </c>
      <c r="H61" s="388" t="s">
        <v>1430</v>
      </c>
      <c r="I61" s="216">
        <v>41618</v>
      </c>
      <c r="J61" s="391" t="s">
        <v>16</v>
      </c>
      <c r="K61" s="177">
        <v>0.5</v>
      </c>
      <c r="L61" s="184"/>
      <c r="M61" s="185">
        <f>17080-13703</f>
        <v>3377</v>
      </c>
      <c r="N61" s="185">
        <f>52304-43330</f>
        <v>8974</v>
      </c>
      <c r="O61" s="183">
        <f t="shared" si="0"/>
        <v>12351</v>
      </c>
    </row>
    <row r="62" spans="1:15" ht="29.25">
      <c r="A62" s="305" t="s">
        <v>11</v>
      </c>
      <c r="B62" s="180" t="s">
        <v>12</v>
      </c>
      <c r="C62" s="177" t="s">
        <v>1066</v>
      </c>
      <c r="D62" s="177" t="s">
        <v>1084</v>
      </c>
      <c r="E62" s="177"/>
      <c r="F62" s="177" t="s">
        <v>1065</v>
      </c>
      <c r="G62" s="177" t="s">
        <v>1066</v>
      </c>
      <c r="H62" s="388" t="s">
        <v>1431</v>
      </c>
      <c r="I62" s="216">
        <v>70909</v>
      </c>
      <c r="J62" s="391" t="s">
        <v>16</v>
      </c>
      <c r="K62" s="306">
        <v>2</v>
      </c>
      <c r="L62" s="184"/>
      <c r="M62" s="185">
        <f>24747-22021</f>
        <v>2726</v>
      </c>
      <c r="N62" s="185">
        <f>81164-70316</f>
        <v>10848</v>
      </c>
      <c r="O62" s="183">
        <f t="shared" si="0"/>
        <v>13574</v>
      </c>
    </row>
    <row r="63" spans="1:15" ht="29.25">
      <c r="A63" s="305" t="s">
        <v>11</v>
      </c>
      <c r="B63" s="180" t="s">
        <v>12</v>
      </c>
      <c r="C63" s="177" t="s">
        <v>1066</v>
      </c>
      <c r="D63" s="177" t="s">
        <v>1084</v>
      </c>
      <c r="E63" s="177"/>
      <c r="F63" s="177" t="s">
        <v>1065</v>
      </c>
      <c r="G63" s="177" t="s">
        <v>1066</v>
      </c>
      <c r="H63" s="389" t="s">
        <v>1432</v>
      </c>
      <c r="I63" s="216">
        <v>70867</v>
      </c>
      <c r="J63" s="391" t="s">
        <v>16</v>
      </c>
      <c r="K63" s="177">
        <v>2.8</v>
      </c>
      <c r="L63" s="184"/>
      <c r="M63" s="185">
        <f>24745-21175</f>
        <v>3570</v>
      </c>
      <c r="N63" s="185">
        <f>83797-73111</f>
        <v>10686</v>
      </c>
      <c r="O63" s="183">
        <f t="shared" si="0"/>
        <v>14256</v>
      </c>
    </row>
    <row r="64" spans="1:15" ht="29.25">
      <c r="A64" s="305" t="s">
        <v>11</v>
      </c>
      <c r="B64" s="180" t="s">
        <v>12</v>
      </c>
      <c r="C64" s="177" t="s">
        <v>1085</v>
      </c>
      <c r="D64" s="176"/>
      <c r="E64" s="177">
        <v>5</v>
      </c>
      <c r="F64" s="177" t="s">
        <v>1065</v>
      </c>
      <c r="G64" s="177" t="s">
        <v>1066</v>
      </c>
      <c r="H64" s="388" t="s">
        <v>1727</v>
      </c>
      <c r="I64" s="217">
        <v>1403581</v>
      </c>
      <c r="J64" s="391" t="s">
        <v>16</v>
      </c>
      <c r="K64" s="177">
        <v>1.5</v>
      </c>
      <c r="L64" s="184"/>
      <c r="M64" s="185">
        <f>4097-2579</f>
        <v>1518</v>
      </c>
      <c r="N64" s="185">
        <f>16068-9693</f>
        <v>6375</v>
      </c>
      <c r="O64" s="183">
        <f t="shared" si="0"/>
        <v>7893</v>
      </c>
    </row>
    <row r="65" spans="1:15" ht="29.25">
      <c r="A65" s="305" t="s">
        <v>11</v>
      </c>
      <c r="B65" s="180" t="s">
        <v>12</v>
      </c>
      <c r="C65" s="177" t="s">
        <v>1086</v>
      </c>
      <c r="D65" s="176"/>
      <c r="E65" s="177"/>
      <c r="F65" s="177" t="s">
        <v>1065</v>
      </c>
      <c r="G65" s="177" t="s">
        <v>1066</v>
      </c>
      <c r="H65" s="388" t="s">
        <v>1441</v>
      </c>
      <c r="I65" s="216">
        <v>41083</v>
      </c>
      <c r="J65" s="391" t="s">
        <v>16</v>
      </c>
      <c r="K65" s="177">
        <v>0.6</v>
      </c>
      <c r="L65" s="184"/>
      <c r="M65" s="185">
        <f>4261-3413</f>
        <v>848</v>
      </c>
      <c r="N65" s="185">
        <f>12832-10591</f>
        <v>2241</v>
      </c>
      <c r="O65" s="183">
        <f t="shared" si="0"/>
        <v>3089</v>
      </c>
    </row>
    <row r="66" spans="1:15" ht="29.25">
      <c r="A66" s="305" t="s">
        <v>11</v>
      </c>
      <c r="B66" s="180" t="s">
        <v>12</v>
      </c>
      <c r="C66" s="177" t="s">
        <v>1086</v>
      </c>
      <c r="D66" s="176"/>
      <c r="E66" s="177"/>
      <c r="F66" s="177" t="s">
        <v>1065</v>
      </c>
      <c r="G66" s="177" t="s">
        <v>1066</v>
      </c>
      <c r="H66" s="389" t="s">
        <v>1442</v>
      </c>
      <c r="I66" s="216">
        <v>41091</v>
      </c>
      <c r="J66" s="391" t="s">
        <v>16</v>
      </c>
      <c r="K66" s="177">
        <v>0.8</v>
      </c>
      <c r="L66" s="184"/>
      <c r="M66" s="185">
        <f>7755-6225</f>
        <v>1530</v>
      </c>
      <c r="N66" s="185">
        <f>23519-19493</f>
        <v>4026</v>
      </c>
      <c r="O66" s="183">
        <f t="shared" si="0"/>
        <v>5556</v>
      </c>
    </row>
    <row r="67" spans="1:15" ht="29.25">
      <c r="A67" s="305" t="s">
        <v>11</v>
      </c>
      <c r="B67" s="180" t="s">
        <v>12</v>
      </c>
      <c r="C67" s="177" t="s">
        <v>1087</v>
      </c>
      <c r="D67" s="176"/>
      <c r="E67" s="177">
        <v>17</v>
      </c>
      <c r="F67" s="177" t="s">
        <v>1065</v>
      </c>
      <c r="G67" s="177" t="s">
        <v>1066</v>
      </c>
      <c r="H67" s="388" t="s">
        <v>1421</v>
      </c>
      <c r="I67" s="216">
        <v>83247336</v>
      </c>
      <c r="J67" s="391" t="s">
        <v>16</v>
      </c>
      <c r="K67" s="177">
        <v>0.6</v>
      </c>
      <c r="L67" s="184"/>
      <c r="M67" s="185">
        <f>2944-1270</f>
        <v>1674</v>
      </c>
      <c r="N67" s="185">
        <f>10625-3877</f>
        <v>6748</v>
      </c>
      <c r="O67" s="183">
        <f t="shared" si="0"/>
        <v>8422</v>
      </c>
    </row>
    <row r="68" spans="1:15" ht="29.25">
      <c r="A68" s="305" t="s">
        <v>11</v>
      </c>
      <c r="B68" s="180" t="s">
        <v>12</v>
      </c>
      <c r="C68" s="177" t="s">
        <v>1088</v>
      </c>
      <c r="D68" s="176"/>
      <c r="E68" s="177"/>
      <c r="F68" s="177" t="s">
        <v>1065</v>
      </c>
      <c r="G68" s="177" t="s">
        <v>1066</v>
      </c>
      <c r="H68" s="388" t="s">
        <v>1434</v>
      </c>
      <c r="I68" s="216">
        <v>41668</v>
      </c>
      <c r="J68" s="391" t="s">
        <v>16</v>
      </c>
      <c r="K68" s="177">
        <v>0.5</v>
      </c>
      <c r="L68" s="184"/>
      <c r="M68" s="185">
        <f>1149-910</f>
        <v>239</v>
      </c>
      <c r="N68" s="185">
        <f>3332-2712</f>
        <v>620</v>
      </c>
      <c r="O68" s="183">
        <f t="shared" si="0"/>
        <v>859</v>
      </c>
    </row>
    <row r="69" spans="1:15" ht="29.25">
      <c r="A69" s="305" t="s">
        <v>11</v>
      </c>
      <c r="B69" s="180" t="s">
        <v>12</v>
      </c>
      <c r="C69" s="177" t="s">
        <v>1089</v>
      </c>
      <c r="D69" s="176"/>
      <c r="E69" s="177"/>
      <c r="F69" s="177" t="s">
        <v>1065</v>
      </c>
      <c r="G69" s="177" t="s">
        <v>1066</v>
      </c>
      <c r="H69" s="389" t="s">
        <v>1435</v>
      </c>
      <c r="I69" s="216">
        <v>41151</v>
      </c>
      <c r="J69" s="391" t="s">
        <v>16</v>
      </c>
      <c r="K69" s="177">
        <v>0.5</v>
      </c>
      <c r="L69" s="184"/>
      <c r="M69" s="185">
        <f>4408-3329</f>
        <v>1079</v>
      </c>
      <c r="N69" s="185">
        <f>13051-10229</f>
        <v>2822</v>
      </c>
      <c r="O69" s="183">
        <f t="shared" si="0"/>
        <v>3901</v>
      </c>
    </row>
    <row r="70" spans="1:15" ht="29.25">
      <c r="A70" s="305" t="s">
        <v>11</v>
      </c>
      <c r="B70" s="180" t="s">
        <v>12</v>
      </c>
      <c r="C70" s="177" t="s">
        <v>1088</v>
      </c>
      <c r="D70" s="176"/>
      <c r="E70" s="177"/>
      <c r="F70" s="177" t="s">
        <v>1065</v>
      </c>
      <c r="G70" s="177" t="s">
        <v>1066</v>
      </c>
      <c r="H70" s="388" t="s">
        <v>1436</v>
      </c>
      <c r="I70" s="216">
        <v>41671</v>
      </c>
      <c r="J70" s="391" t="s">
        <v>16</v>
      </c>
      <c r="K70" s="177">
        <v>0.5</v>
      </c>
      <c r="L70" s="184"/>
      <c r="M70" s="185">
        <f>933-924</f>
        <v>9</v>
      </c>
      <c r="N70" s="185">
        <f>2891-2874</f>
        <v>17</v>
      </c>
      <c r="O70" s="183">
        <f t="shared" si="0"/>
        <v>26</v>
      </c>
    </row>
    <row r="71" spans="1:15" ht="29.25">
      <c r="A71" s="305" t="s">
        <v>11</v>
      </c>
      <c r="B71" s="180" t="s">
        <v>12</v>
      </c>
      <c r="C71" s="177" t="s">
        <v>1437</v>
      </c>
      <c r="D71" s="176"/>
      <c r="E71" s="177"/>
      <c r="F71" s="177" t="s">
        <v>1065</v>
      </c>
      <c r="G71" s="177" t="s">
        <v>1066</v>
      </c>
      <c r="H71" s="388" t="s">
        <v>1438</v>
      </c>
      <c r="I71" s="216">
        <v>83247275</v>
      </c>
      <c r="J71" s="391" t="s">
        <v>16</v>
      </c>
      <c r="K71" s="177">
        <v>0.6</v>
      </c>
      <c r="L71" s="184"/>
      <c r="M71" s="185">
        <f>1186-533</f>
        <v>653</v>
      </c>
      <c r="N71" s="185">
        <f>4253-1638</f>
        <v>2615</v>
      </c>
      <c r="O71" s="183">
        <f t="shared" si="0"/>
        <v>3268</v>
      </c>
    </row>
    <row r="72" spans="1:15" ht="29.25">
      <c r="A72" s="305" t="s">
        <v>11</v>
      </c>
      <c r="B72" s="180" t="s">
        <v>12</v>
      </c>
      <c r="C72" s="177" t="s">
        <v>1089</v>
      </c>
      <c r="D72" s="176"/>
      <c r="E72" s="177"/>
      <c r="F72" s="177" t="s">
        <v>1065</v>
      </c>
      <c r="G72" s="177" t="s">
        <v>1066</v>
      </c>
      <c r="H72" s="389" t="s">
        <v>1439</v>
      </c>
      <c r="I72" s="216">
        <v>83247324</v>
      </c>
      <c r="J72" s="391" t="s">
        <v>16</v>
      </c>
      <c r="K72" s="306">
        <v>1</v>
      </c>
      <c r="L72" s="184"/>
      <c r="M72" s="185">
        <f>1315-623</f>
        <v>692</v>
      </c>
      <c r="N72" s="185">
        <f>4741-1897</f>
        <v>2844</v>
      </c>
      <c r="O72" s="183">
        <f t="shared" si="0"/>
        <v>3536</v>
      </c>
    </row>
    <row r="73" spans="1:15" ht="29.25">
      <c r="A73" s="305" t="s">
        <v>11</v>
      </c>
      <c r="B73" s="180" t="s">
        <v>12</v>
      </c>
      <c r="C73" s="177" t="s">
        <v>1437</v>
      </c>
      <c r="D73" s="176"/>
      <c r="E73" s="177"/>
      <c r="F73" s="177" t="s">
        <v>1065</v>
      </c>
      <c r="G73" s="177" t="s">
        <v>1066</v>
      </c>
      <c r="H73" s="388" t="s">
        <v>1440</v>
      </c>
      <c r="I73" s="216">
        <v>83247328</v>
      </c>
      <c r="J73" s="391" t="s">
        <v>16</v>
      </c>
      <c r="K73" s="177">
        <v>0.5</v>
      </c>
      <c r="L73" s="184"/>
      <c r="M73" s="185">
        <f>943-437</f>
        <v>506</v>
      </c>
      <c r="N73" s="185">
        <f>3384-1321</f>
        <v>2063</v>
      </c>
      <c r="O73" s="183">
        <f t="shared" si="0"/>
        <v>2569</v>
      </c>
    </row>
    <row r="74" spans="1:15" ht="29.25">
      <c r="A74" s="305" t="s">
        <v>11</v>
      </c>
      <c r="B74" s="177" t="s">
        <v>12</v>
      </c>
      <c r="C74" s="177" t="s">
        <v>1085</v>
      </c>
      <c r="D74" s="176"/>
      <c r="E74" s="177">
        <v>4</v>
      </c>
      <c r="F74" s="177" t="s">
        <v>1065</v>
      </c>
      <c r="G74" s="177" t="s">
        <v>1066</v>
      </c>
      <c r="H74" s="388" t="s">
        <v>1433</v>
      </c>
      <c r="I74" s="216">
        <v>83247325</v>
      </c>
      <c r="J74" s="391" t="s">
        <v>16</v>
      </c>
      <c r="K74" s="177">
        <v>1.7</v>
      </c>
      <c r="L74" s="184"/>
      <c r="M74" s="185">
        <f>3773-1739</f>
        <v>2034</v>
      </c>
      <c r="N74" s="185">
        <f>13315-5406</f>
        <v>7909</v>
      </c>
      <c r="O74" s="183">
        <f t="shared" si="0"/>
        <v>9943</v>
      </c>
    </row>
    <row r="75" spans="1:15" ht="29.25">
      <c r="A75" s="277" t="s">
        <v>11</v>
      </c>
      <c r="B75" s="180" t="s">
        <v>12</v>
      </c>
      <c r="C75" s="188" t="s">
        <v>1070</v>
      </c>
      <c r="D75" s="53"/>
      <c r="E75" s="53"/>
      <c r="F75" s="53" t="s">
        <v>1065</v>
      </c>
      <c r="G75" s="53" t="s">
        <v>1066</v>
      </c>
      <c r="H75" s="396" t="s">
        <v>1730</v>
      </c>
      <c r="I75" s="53">
        <v>136858</v>
      </c>
      <c r="J75" s="392" t="s">
        <v>16</v>
      </c>
      <c r="K75" s="166">
        <v>0.4</v>
      </c>
      <c r="L75" s="55"/>
      <c r="M75" s="162">
        <f>959-664</f>
        <v>295</v>
      </c>
      <c r="N75" s="162">
        <f>4310-2945</f>
        <v>1365</v>
      </c>
      <c r="O75" s="183">
        <f t="shared" si="0"/>
        <v>1660</v>
      </c>
    </row>
    <row r="76" spans="1:15" ht="30.75" customHeight="1">
      <c r="A76" s="278" t="s">
        <v>11</v>
      </c>
      <c r="B76" s="177" t="s">
        <v>12</v>
      </c>
      <c r="C76" s="117" t="s">
        <v>1088</v>
      </c>
      <c r="D76" s="56"/>
      <c r="E76" s="56"/>
      <c r="F76" s="56" t="s">
        <v>1065</v>
      </c>
      <c r="G76" s="56" t="s">
        <v>1066</v>
      </c>
      <c r="H76" s="385" t="s">
        <v>1729</v>
      </c>
      <c r="I76" s="56">
        <v>136850</v>
      </c>
      <c r="J76" s="393" t="s">
        <v>16</v>
      </c>
      <c r="K76" s="245">
        <v>2</v>
      </c>
      <c r="L76" s="46"/>
      <c r="M76" s="103">
        <f>3358-2319</f>
        <v>1039</v>
      </c>
      <c r="N76" s="103">
        <f>14506-9797</f>
        <v>4709</v>
      </c>
      <c r="O76" s="183">
        <f t="shared" si="0"/>
        <v>5748</v>
      </c>
    </row>
    <row r="77" spans="1:15" ht="29.25">
      <c r="A77" s="410" t="s">
        <v>11</v>
      </c>
      <c r="B77" s="363" t="s">
        <v>12</v>
      </c>
      <c r="C77" s="411" t="s">
        <v>1066</v>
      </c>
      <c r="D77" s="57" t="s">
        <v>1323</v>
      </c>
      <c r="E77" s="57"/>
      <c r="F77" s="57" t="s">
        <v>1065</v>
      </c>
      <c r="G77" s="57" t="s">
        <v>1066</v>
      </c>
      <c r="H77" s="386" t="s">
        <v>1726</v>
      </c>
      <c r="I77" s="57">
        <v>1394963</v>
      </c>
      <c r="J77" s="412" t="s">
        <v>152</v>
      </c>
      <c r="K77" s="413">
        <v>5</v>
      </c>
      <c r="L77" s="14">
        <f>2261-1473</f>
        <v>788</v>
      </c>
      <c r="M77" s="414"/>
      <c r="N77" s="414"/>
      <c r="O77" s="353">
        <f>L77</f>
        <v>788</v>
      </c>
    </row>
    <row r="78" spans="1:15" s="51" customFormat="1" ht="29.25">
      <c r="A78" s="278" t="s">
        <v>11</v>
      </c>
      <c r="B78" s="177" t="s">
        <v>12</v>
      </c>
      <c r="C78" s="395" t="s">
        <v>1465</v>
      </c>
      <c r="D78" s="56"/>
      <c r="E78" s="56"/>
      <c r="F78" s="56" t="s">
        <v>1065</v>
      </c>
      <c r="G78" s="56" t="s">
        <v>1066</v>
      </c>
      <c r="H78" s="385" t="s">
        <v>1728</v>
      </c>
      <c r="I78" s="56">
        <v>45557</v>
      </c>
      <c r="J78" s="394" t="s">
        <v>152</v>
      </c>
      <c r="K78" s="275">
        <v>0.6</v>
      </c>
      <c r="L78" s="13">
        <f>11269-8773</f>
        <v>2496</v>
      </c>
      <c r="M78" s="184"/>
      <c r="N78" s="184"/>
      <c r="O78" s="103">
        <f>L78</f>
        <v>2496</v>
      </c>
    </row>
    <row r="79" spans="1:15" ht="29.25">
      <c r="A79" s="277" t="s">
        <v>11</v>
      </c>
      <c r="B79" s="177" t="s">
        <v>12</v>
      </c>
      <c r="C79" s="53" t="s">
        <v>1732</v>
      </c>
      <c r="D79" s="53"/>
      <c r="E79" s="53"/>
      <c r="F79" s="53" t="s">
        <v>1065</v>
      </c>
      <c r="G79" s="53" t="s">
        <v>1066</v>
      </c>
      <c r="H79" s="396" t="s">
        <v>1783</v>
      </c>
      <c r="I79" s="53">
        <v>1481450</v>
      </c>
      <c r="J79" s="211" t="s">
        <v>152</v>
      </c>
      <c r="K79" s="270">
        <v>0.4</v>
      </c>
      <c r="L79" s="54">
        <f>4286-2526</f>
        <v>1760</v>
      </c>
      <c r="M79" s="55"/>
      <c r="N79" s="55"/>
      <c r="O79" s="54">
        <f>L79</f>
        <v>1760</v>
      </c>
    </row>
    <row r="80" spans="1:17" ht="30" thickBot="1">
      <c r="A80" s="277" t="s">
        <v>11</v>
      </c>
      <c r="B80" s="363" t="s">
        <v>12</v>
      </c>
      <c r="C80" s="53" t="s">
        <v>1085</v>
      </c>
      <c r="D80" s="53"/>
      <c r="E80" s="53"/>
      <c r="F80" s="53" t="s">
        <v>1065</v>
      </c>
      <c r="G80" s="53" t="s">
        <v>1066</v>
      </c>
      <c r="H80" s="385" t="s">
        <v>1784</v>
      </c>
      <c r="I80" s="53">
        <v>1481452</v>
      </c>
      <c r="J80" s="211" t="s">
        <v>152</v>
      </c>
      <c r="K80" s="270">
        <v>0.4</v>
      </c>
      <c r="L80" s="54">
        <f>4415-2005</f>
        <v>2410</v>
      </c>
      <c r="M80" s="55"/>
      <c r="N80" s="55"/>
      <c r="O80" s="54">
        <f>L80</f>
        <v>2410</v>
      </c>
      <c r="Q80" s="2"/>
    </row>
    <row r="81" spans="2:15" ht="24.75" customHeight="1">
      <c r="B81" s="629" t="s">
        <v>155</v>
      </c>
      <c r="C81" s="630" t="s">
        <v>1690</v>
      </c>
      <c r="D81" s="631"/>
      <c r="E81" s="632"/>
      <c r="F81" s="632"/>
      <c r="G81" s="611" t="s">
        <v>1998</v>
      </c>
      <c r="H81" s="633" t="s">
        <v>1690</v>
      </c>
      <c r="L81" s="20"/>
      <c r="M81" s="20"/>
      <c r="N81" s="54" t="s">
        <v>156</v>
      </c>
      <c r="O81" s="310">
        <f>SUM(O18:O80)</f>
        <v>473605</v>
      </c>
    </row>
    <row r="82" spans="2:16" ht="15">
      <c r="B82" s="296"/>
      <c r="C82" s="297" t="s">
        <v>1691</v>
      </c>
      <c r="D82" s="631"/>
      <c r="E82" s="632"/>
      <c r="F82" s="632"/>
      <c r="G82" s="558"/>
      <c r="H82" s="634" t="s">
        <v>1691</v>
      </c>
      <c r="M82" s="20"/>
      <c r="N82" s="20"/>
      <c r="O82" s="20"/>
      <c r="P82" s="20"/>
    </row>
    <row r="83" spans="2:16" ht="15.75" thickBot="1">
      <c r="B83" s="296"/>
      <c r="C83" s="297" t="s">
        <v>1692</v>
      </c>
      <c r="D83" s="631"/>
      <c r="E83" s="632"/>
      <c r="F83" s="632"/>
      <c r="G83" s="635"/>
      <c r="H83" s="636" t="s">
        <v>1692</v>
      </c>
      <c r="M83" s="20"/>
      <c r="N83" s="20"/>
      <c r="O83" s="20"/>
      <c r="P83" s="20"/>
    </row>
    <row r="84" spans="2:16" ht="15">
      <c r="B84" s="629" t="s">
        <v>1689</v>
      </c>
      <c r="C84" s="297">
        <v>8222147156</v>
      </c>
      <c r="D84" s="631"/>
      <c r="E84" s="632"/>
      <c r="F84" s="632"/>
      <c r="G84" s="632"/>
      <c r="H84" s="632"/>
      <c r="M84" s="20"/>
      <c r="N84" s="20"/>
      <c r="O84" s="20"/>
      <c r="P84" s="20"/>
    </row>
    <row r="85" spans="2:16" ht="15.75" thickBot="1">
      <c r="B85" s="637" t="s">
        <v>1693</v>
      </c>
      <c r="C85" s="561" t="s">
        <v>1731</v>
      </c>
      <c r="D85" s="638"/>
      <c r="E85" s="632"/>
      <c r="F85" s="632"/>
      <c r="G85" s="632"/>
      <c r="H85" s="632"/>
      <c r="M85" s="20"/>
      <c r="N85" s="20"/>
      <c r="O85" s="20"/>
      <c r="P85" s="20"/>
    </row>
    <row r="86" spans="2:16" ht="14.25">
      <c r="B86" s="307"/>
      <c r="C86" s="276"/>
      <c r="D86" s="308"/>
      <c r="M86" s="20"/>
      <c r="N86" s="20"/>
      <c r="O86" s="20"/>
      <c r="P86" s="20"/>
    </row>
    <row r="87" spans="13:16" ht="15" thickBot="1">
      <c r="M87" s="20"/>
      <c r="N87" s="20"/>
      <c r="O87" s="20"/>
      <c r="P87" s="20"/>
    </row>
    <row r="88" spans="1:21" ht="43.5" customHeight="1">
      <c r="A88" s="718" t="s">
        <v>0</v>
      </c>
      <c r="B88" s="686" t="s">
        <v>1</v>
      </c>
      <c r="C88" s="686" t="s">
        <v>2</v>
      </c>
      <c r="D88" s="686" t="s">
        <v>3</v>
      </c>
      <c r="E88" s="686" t="s">
        <v>4</v>
      </c>
      <c r="F88" s="686" t="s">
        <v>5</v>
      </c>
      <c r="G88" s="686" t="s">
        <v>6</v>
      </c>
      <c r="H88" s="695" t="s">
        <v>8</v>
      </c>
      <c r="I88" s="695" t="s">
        <v>753</v>
      </c>
      <c r="J88" s="695" t="s">
        <v>157</v>
      </c>
      <c r="K88" s="769" t="s">
        <v>9</v>
      </c>
      <c r="L88" s="762" t="s">
        <v>1043</v>
      </c>
      <c r="M88" s="763"/>
      <c r="N88" s="763"/>
      <c r="O88" s="764"/>
      <c r="P88" s="762" t="s">
        <v>1044</v>
      </c>
      <c r="Q88" s="763"/>
      <c r="R88" s="763"/>
      <c r="S88" s="764"/>
      <c r="T88" s="784" t="s">
        <v>1045</v>
      </c>
      <c r="U88" s="733" t="s">
        <v>1321</v>
      </c>
    </row>
    <row r="89" spans="1:21" ht="14.25">
      <c r="A89" s="719"/>
      <c r="B89" s="687"/>
      <c r="C89" s="687"/>
      <c r="D89" s="687"/>
      <c r="E89" s="687"/>
      <c r="F89" s="687"/>
      <c r="G89" s="687"/>
      <c r="H89" s="696"/>
      <c r="I89" s="696"/>
      <c r="J89" s="696"/>
      <c r="K89" s="770"/>
      <c r="L89" s="765" t="s">
        <v>1041</v>
      </c>
      <c r="M89" s="767" t="s">
        <v>1035</v>
      </c>
      <c r="N89" s="767" t="s">
        <v>1036</v>
      </c>
      <c r="O89" s="760" t="s">
        <v>1046</v>
      </c>
      <c r="P89" s="765" t="s">
        <v>1041</v>
      </c>
      <c r="Q89" s="767" t="s">
        <v>1035</v>
      </c>
      <c r="R89" s="767" t="s">
        <v>1036</v>
      </c>
      <c r="S89" s="760" t="s">
        <v>1046</v>
      </c>
      <c r="T89" s="785"/>
      <c r="U89" s="734"/>
    </row>
    <row r="90" spans="1:21" ht="15" thickBot="1">
      <c r="A90" s="720"/>
      <c r="B90" s="688"/>
      <c r="C90" s="688"/>
      <c r="D90" s="688"/>
      <c r="E90" s="688"/>
      <c r="F90" s="688"/>
      <c r="G90" s="688"/>
      <c r="H90" s="697"/>
      <c r="I90" s="697"/>
      <c r="J90" s="697"/>
      <c r="K90" s="771"/>
      <c r="L90" s="766"/>
      <c r="M90" s="768"/>
      <c r="N90" s="768"/>
      <c r="O90" s="761"/>
      <c r="P90" s="766"/>
      <c r="Q90" s="768"/>
      <c r="R90" s="768"/>
      <c r="S90" s="761"/>
      <c r="T90" s="786"/>
      <c r="U90" s="739"/>
    </row>
    <row r="91" spans="1:21" s="21" customFormat="1" ht="42.75">
      <c r="A91" s="277" t="s">
        <v>754</v>
      </c>
      <c r="B91" s="180" t="s">
        <v>12</v>
      </c>
      <c r="C91" s="499" t="s">
        <v>1859</v>
      </c>
      <c r="D91" s="499"/>
      <c r="E91" s="499"/>
      <c r="F91" s="499" t="s">
        <v>1065</v>
      </c>
      <c r="G91" s="499" t="s">
        <v>1066</v>
      </c>
      <c r="H91" s="542">
        <v>53334017</v>
      </c>
      <c r="I91" s="499">
        <v>83425939</v>
      </c>
      <c r="J91" s="544" t="s">
        <v>154</v>
      </c>
      <c r="K91" s="543">
        <v>3.5</v>
      </c>
      <c r="L91" s="489">
        <f>350*12</f>
        <v>4200</v>
      </c>
      <c r="M91" s="55"/>
      <c r="N91" s="55"/>
      <c r="O91" s="489">
        <f>L91</f>
        <v>4200</v>
      </c>
      <c r="P91" s="489">
        <f>L91</f>
        <v>4200</v>
      </c>
      <c r="Q91" s="55"/>
      <c r="R91" s="55"/>
      <c r="S91" s="489">
        <f>P91</f>
        <v>4200</v>
      </c>
      <c r="T91" s="140" t="s">
        <v>1962</v>
      </c>
      <c r="U91" s="499" t="s">
        <v>1846</v>
      </c>
    </row>
    <row r="92" spans="1:21" s="21" customFormat="1" ht="42.75">
      <c r="A92" s="278" t="s">
        <v>754</v>
      </c>
      <c r="B92" s="177" t="s">
        <v>12</v>
      </c>
      <c r="C92" s="486" t="s">
        <v>1077</v>
      </c>
      <c r="D92" s="486" t="s">
        <v>61</v>
      </c>
      <c r="E92" s="486"/>
      <c r="F92" s="486" t="s">
        <v>1065</v>
      </c>
      <c r="G92" s="486" t="s">
        <v>1066</v>
      </c>
      <c r="H92" s="490">
        <v>53377216</v>
      </c>
      <c r="I92" s="486">
        <v>83638032</v>
      </c>
      <c r="J92" s="545" t="s">
        <v>154</v>
      </c>
      <c r="K92" s="487">
        <v>5</v>
      </c>
      <c r="L92" s="488">
        <f>127*12</f>
        <v>1524</v>
      </c>
      <c r="M92" s="46"/>
      <c r="N92" s="46"/>
      <c r="O92" s="489">
        <f>L92</f>
        <v>1524</v>
      </c>
      <c r="P92" s="488">
        <f>L92</f>
        <v>1524</v>
      </c>
      <c r="Q92" s="46"/>
      <c r="R92" s="46"/>
      <c r="S92" s="488">
        <f>P92</f>
        <v>1524</v>
      </c>
      <c r="T92" s="140" t="s">
        <v>1962</v>
      </c>
      <c r="U92" s="486" t="s">
        <v>1846</v>
      </c>
    </row>
    <row r="93" spans="1:21" s="21" customFormat="1" ht="42.75">
      <c r="A93" s="278" t="s">
        <v>754</v>
      </c>
      <c r="B93" s="177" t="s">
        <v>12</v>
      </c>
      <c r="C93" s="486" t="s">
        <v>1089</v>
      </c>
      <c r="D93" s="486"/>
      <c r="E93" s="486"/>
      <c r="F93" s="486" t="s">
        <v>1065</v>
      </c>
      <c r="G93" s="486" t="s">
        <v>1066</v>
      </c>
      <c r="H93" s="490">
        <v>53940007</v>
      </c>
      <c r="I93" s="486">
        <v>83638276</v>
      </c>
      <c r="J93" s="545" t="s">
        <v>154</v>
      </c>
      <c r="K93" s="487">
        <v>1.1</v>
      </c>
      <c r="L93" s="488">
        <f>447*12</f>
        <v>5364</v>
      </c>
      <c r="M93" s="46"/>
      <c r="N93" s="46"/>
      <c r="O93" s="489">
        <f>L93</f>
        <v>5364</v>
      </c>
      <c r="P93" s="488">
        <f>L93</f>
        <v>5364</v>
      </c>
      <c r="Q93" s="46"/>
      <c r="R93" s="46"/>
      <c r="S93" s="488">
        <f>P93</f>
        <v>5364</v>
      </c>
      <c r="T93" s="140" t="s">
        <v>1962</v>
      </c>
      <c r="U93" s="486" t="s">
        <v>1846</v>
      </c>
    </row>
    <row r="94" spans="1:21" ht="60.75" customHeight="1" thickBot="1">
      <c r="A94" s="277" t="s">
        <v>754</v>
      </c>
      <c r="B94" s="363" t="s">
        <v>12</v>
      </c>
      <c r="C94" s="501" t="s">
        <v>1085</v>
      </c>
      <c r="D94" s="349"/>
      <c r="E94" s="53"/>
      <c r="F94" s="53" t="s">
        <v>1065</v>
      </c>
      <c r="G94" s="53" t="s">
        <v>1066</v>
      </c>
      <c r="H94" s="491">
        <v>53907087</v>
      </c>
      <c r="I94" s="53">
        <v>1481451</v>
      </c>
      <c r="J94" s="211" t="s">
        <v>152</v>
      </c>
      <c r="K94" s="270">
        <v>4</v>
      </c>
      <c r="L94" s="54">
        <v>2000</v>
      </c>
      <c r="M94" s="55"/>
      <c r="N94" s="55"/>
      <c r="O94" s="54">
        <f>L94</f>
        <v>2000</v>
      </c>
      <c r="P94" s="451">
        <f>O94</f>
        <v>2000</v>
      </c>
      <c r="Q94" s="46"/>
      <c r="R94" s="46"/>
      <c r="S94" s="54">
        <f>P94</f>
        <v>2000</v>
      </c>
      <c r="T94" s="140" t="s">
        <v>1962</v>
      </c>
      <c r="U94" s="503" t="s">
        <v>1785</v>
      </c>
    </row>
    <row r="95" spans="2:21" ht="26.25" customHeight="1">
      <c r="B95" s="643" t="s">
        <v>155</v>
      </c>
      <c r="C95" s="644" t="s">
        <v>1690</v>
      </c>
      <c r="D95" s="645"/>
      <c r="E95" s="632"/>
      <c r="F95" s="632"/>
      <c r="G95" s="611" t="s">
        <v>1998</v>
      </c>
      <c r="H95" s="633" t="s">
        <v>1690</v>
      </c>
      <c r="L95" s="2"/>
      <c r="M95" s="2"/>
      <c r="N95" s="2"/>
      <c r="O95" s="156"/>
      <c r="P95" s="236"/>
      <c r="Q95" s="156"/>
      <c r="R95" s="54" t="s">
        <v>156</v>
      </c>
      <c r="S95" s="362">
        <f>SUM(S91:S94)</f>
        <v>13088</v>
      </c>
      <c r="T95" s="31"/>
      <c r="U95" s="31"/>
    </row>
    <row r="96" spans="2:21" ht="15">
      <c r="B96" s="296"/>
      <c r="C96" s="297" t="s">
        <v>1691</v>
      </c>
      <c r="D96" s="631"/>
      <c r="E96" s="632"/>
      <c r="F96" s="632"/>
      <c r="G96" s="558"/>
      <c r="H96" s="634" t="s">
        <v>1691</v>
      </c>
      <c r="L96" s="2"/>
      <c r="M96" s="2"/>
      <c r="N96" s="2"/>
      <c r="O96" s="156"/>
      <c r="P96" s="236"/>
      <c r="Q96" s="156"/>
      <c r="R96" s="156"/>
      <c r="S96" s="156"/>
      <c r="T96" s="31"/>
      <c r="U96" s="31"/>
    </row>
    <row r="97" spans="2:21" ht="18.75" customHeight="1" thickBot="1">
      <c r="B97" s="296"/>
      <c r="C97" s="297" t="s">
        <v>1692</v>
      </c>
      <c r="D97" s="631"/>
      <c r="E97" s="632"/>
      <c r="F97" s="632"/>
      <c r="G97" s="635"/>
      <c r="H97" s="636" t="s">
        <v>1692</v>
      </c>
      <c r="M97" s="20" t="s">
        <v>160</v>
      </c>
      <c r="N97" s="20">
        <f>O81+S95</f>
        <v>486693</v>
      </c>
      <c r="O97" s="236"/>
      <c r="P97" s="236"/>
      <c r="Q97" s="31"/>
      <c r="R97" s="31"/>
      <c r="S97" s="169"/>
      <c r="T97" s="31"/>
      <c r="U97" s="31"/>
    </row>
    <row r="98" spans="2:16" ht="15.75" thickBot="1">
      <c r="B98" s="637" t="s">
        <v>1689</v>
      </c>
      <c r="C98" s="561">
        <v>8222147156</v>
      </c>
      <c r="D98" s="638"/>
      <c r="E98" s="632"/>
      <c r="F98" s="632"/>
      <c r="G98" s="632"/>
      <c r="H98" s="632"/>
      <c r="M98" s="20"/>
      <c r="N98" s="20"/>
      <c r="O98" s="20"/>
      <c r="P98" s="20"/>
    </row>
    <row r="99" spans="2:16" ht="15" thickBot="1">
      <c r="B99" s="307"/>
      <c r="C99" s="276"/>
      <c r="D99" s="308"/>
      <c r="M99" s="20"/>
      <c r="N99" s="20"/>
      <c r="O99" s="20"/>
      <c r="P99" s="20"/>
    </row>
    <row r="100" spans="11:16" ht="48" customHeight="1">
      <c r="K100" s="707" t="s">
        <v>157</v>
      </c>
      <c r="L100" s="702" t="s">
        <v>1034</v>
      </c>
      <c r="M100" s="703"/>
      <c r="N100" s="704"/>
      <c r="O100" s="713" t="s">
        <v>158</v>
      </c>
      <c r="P100" s="20"/>
    </row>
    <row r="101" spans="11:15" ht="23.25" customHeight="1" thickBot="1">
      <c r="K101" s="708"/>
      <c r="L101" s="130" t="s">
        <v>159</v>
      </c>
      <c r="M101" s="130" t="s">
        <v>1035</v>
      </c>
      <c r="N101" s="130" t="s">
        <v>1036</v>
      </c>
      <c r="O101" s="714"/>
    </row>
    <row r="102" spans="11:15" ht="23.25" customHeight="1">
      <c r="K102" s="56" t="s">
        <v>152</v>
      </c>
      <c r="L102" s="164">
        <f>O77+O78+O79+O80+S94</f>
        <v>9454</v>
      </c>
      <c r="M102" s="58"/>
      <c r="N102" s="58"/>
      <c r="O102" s="14">
        <v>5</v>
      </c>
    </row>
    <row r="103" spans="11:15" ht="23.25" customHeight="1">
      <c r="K103" s="56" t="s">
        <v>154</v>
      </c>
      <c r="L103" s="164">
        <f>SUM(O91:O93)</f>
        <v>11088</v>
      </c>
      <c r="M103" s="58"/>
      <c r="N103" s="58"/>
      <c r="O103" s="14">
        <v>3</v>
      </c>
    </row>
    <row r="104" spans="11:15" ht="27" customHeight="1" thickBot="1">
      <c r="K104" s="56" t="s">
        <v>16</v>
      </c>
      <c r="L104" s="58"/>
      <c r="M104" s="14">
        <f>SUM(M18:M76)</f>
        <v>99460</v>
      </c>
      <c r="N104" s="14">
        <f>SUM(N18:N76)</f>
        <v>366691</v>
      </c>
      <c r="O104" s="14">
        <v>59</v>
      </c>
    </row>
    <row r="105" spans="11:15" ht="27" customHeight="1" thickBot="1">
      <c r="K105" s="348" t="s">
        <v>160</v>
      </c>
      <c r="L105" s="135">
        <f>SUM(L102:L104)</f>
        <v>20542</v>
      </c>
      <c r="M105" s="18">
        <f>SUM(M102:M104)</f>
        <v>99460</v>
      </c>
      <c r="N105" s="15">
        <f>SUM(N102:N104)</f>
        <v>366691</v>
      </c>
      <c r="O105" s="354">
        <f>SUM(O102:O104)</f>
        <v>67</v>
      </c>
    </row>
    <row r="106" spans="12:15" ht="27" customHeight="1" thickBot="1">
      <c r="L106" s="20" t="s">
        <v>161</v>
      </c>
      <c r="M106" s="346">
        <f>SUM(L105:N105)</f>
        <v>486693</v>
      </c>
      <c r="N106" s="2"/>
      <c r="O106" s="2"/>
    </row>
  </sheetData>
  <sheetProtection/>
  <mergeCells count="42">
    <mergeCell ref="O100:O101"/>
    <mergeCell ref="T88:T90"/>
    <mergeCell ref="U88:U90"/>
    <mergeCell ref="L89:L90"/>
    <mergeCell ref="M89:M90"/>
    <mergeCell ref="N89:N90"/>
    <mergeCell ref="O89:O90"/>
    <mergeCell ref="P89:P90"/>
    <mergeCell ref="Q89:Q90"/>
    <mergeCell ref="R89:R90"/>
    <mergeCell ref="S89:S90"/>
    <mergeCell ref="A88:A90"/>
    <mergeCell ref="B88:B90"/>
    <mergeCell ref="C88:C90"/>
    <mergeCell ref="D88:D90"/>
    <mergeCell ref="E88:E90"/>
    <mergeCell ref="F88:F90"/>
    <mergeCell ref="L88:O88"/>
    <mergeCell ref="P88:S88"/>
    <mergeCell ref="B3:J3"/>
    <mergeCell ref="B5:J5"/>
    <mergeCell ref="B1:K1"/>
    <mergeCell ref="J15:J17"/>
    <mergeCell ref="K15:K17"/>
    <mergeCell ref="L15:O15"/>
    <mergeCell ref="L16:O16"/>
    <mergeCell ref="A15:A17"/>
    <mergeCell ref="B15:B17"/>
    <mergeCell ref="C15:C17"/>
    <mergeCell ref="D15:D17"/>
    <mergeCell ref="E15:E17"/>
    <mergeCell ref="F15:F17"/>
    <mergeCell ref="K100:K101"/>
    <mergeCell ref="L100:N100"/>
    <mergeCell ref="G15:G17"/>
    <mergeCell ref="H15:H17"/>
    <mergeCell ref="G88:G90"/>
    <mergeCell ref="H88:H90"/>
    <mergeCell ref="I88:I90"/>
    <mergeCell ref="J88:J90"/>
    <mergeCell ref="K88:K90"/>
    <mergeCell ref="I15:I17"/>
  </mergeCells>
  <printOptions/>
  <pageMargins left="0.7" right="0.7" top="0.75" bottom="0.75" header="0.3" footer="0.3"/>
  <pageSetup horizontalDpi="600" verticalDpi="600" orientation="portrait" paperSize="9" r:id="rId1"/>
  <ignoredErrors>
    <ignoredError sqref="L105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="80" zoomScaleNormal="80" zoomScalePageLayoutView="0" workbookViewId="0" topLeftCell="A1">
      <selection activeCell="H88" sqref="H88"/>
    </sheetView>
  </sheetViews>
  <sheetFormatPr defaultColWidth="8.796875" defaultRowHeight="14.25"/>
  <cols>
    <col min="1" max="1" width="12" style="0" customWidth="1"/>
    <col min="2" max="2" width="15.3984375" style="0" customWidth="1"/>
    <col min="3" max="3" width="20" style="0" customWidth="1"/>
    <col min="4" max="4" width="14" style="0" customWidth="1"/>
    <col min="7" max="7" width="16.3984375" style="0" customWidth="1"/>
    <col min="8" max="8" width="26.09765625" style="0" customWidth="1"/>
    <col min="9" max="9" width="15.19921875" style="0" customWidth="1"/>
    <col min="10" max="10" width="14.69921875" style="0" customWidth="1"/>
    <col min="11" max="11" width="13.09765625" style="0" customWidth="1"/>
    <col min="12" max="12" width="12.19921875" style="0" customWidth="1"/>
    <col min="13" max="13" width="13.8984375" style="0" customWidth="1"/>
    <col min="14" max="14" width="14.3984375" style="0" customWidth="1"/>
    <col min="15" max="15" width="15.19921875" style="0" customWidth="1"/>
    <col min="16" max="16" width="13.8984375" style="0" customWidth="1"/>
    <col min="17" max="17" width="13.5" style="0" customWidth="1"/>
    <col min="18" max="18" width="14.8984375" style="0" customWidth="1"/>
    <col min="19" max="19" width="14.59765625" style="0" customWidth="1"/>
    <col min="20" max="20" width="20.59765625" style="0" customWidth="1"/>
    <col min="21" max="21" width="21.69921875" style="0" customWidth="1"/>
  </cols>
  <sheetData>
    <row r="1" spans="2:11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1" ht="15">
      <c r="B2" s="222"/>
      <c r="C2" s="222"/>
      <c r="D2" s="222"/>
      <c r="E2" s="222"/>
      <c r="F2" s="222"/>
      <c r="G2" s="222"/>
      <c r="H2" s="223"/>
      <c r="I2" s="224"/>
      <c r="J2" s="222"/>
      <c r="K2" s="222"/>
    </row>
    <row r="3" spans="2:11" ht="27" customHeight="1">
      <c r="B3" s="715" t="s">
        <v>1861</v>
      </c>
      <c r="C3" s="716"/>
      <c r="D3" s="716"/>
      <c r="E3" s="716"/>
      <c r="F3" s="716"/>
      <c r="G3" s="716"/>
      <c r="H3" s="716"/>
      <c r="I3" s="716"/>
      <c r="J3" s="717"/>
      <c r="K3" s="222"/>
    </row>
    <row r="4" spans="2:11" ht="22.5" customHeight="1">
      <c r="B4" s="223"/>
      <c r="C4" s="223"/>
      <c r="D4" s="223"/>
      <c r="E4" s="223"/>
      <c r="F4" s="223"/>
      <c r="G4" s="223"/>
      <c r="H4" s="223"/>
      <c r="I4" s="224"/>
      <c r="J4" s="222"/>
      <c r="K4" s="222"/>
    </row>
    <row r="5" spans="2:11" ht="22.5" customHeight="1">
      <c r="B5" s="679" t="s">
        <v>1029</v>
      </c>
      <c r="C5" s="679"/>
      <c r="D5" s="679"/>
      <c r="E5" s="679"/>
      <c r="F5" s="679"/>
      <c r="G5" s="679"/>
      <c r="H5" s="679"/>
      <c r="I5" s="679"/>
      <c r="J5" s="679"/>
      <c r="K5" s="222"/>
    </row>
    <row r="6" spans="2:11" ht="22.5" customHeight="1">
      <c r="B6" s="223"/>
      <c r="C6" s="223"/>
      <c r="D6" s="223"/>
      <c r="E6" s="223"/>
      <c r="F6" s="223"/>
      <c r="G6" s="223"/>
      <c r="H6" s="223"/>
      <c r="I6" s="224"/>
      <c r="J6" s="222"/>
      <c r="K6" s="222"/>
    </row>
    <row r="7" spans="2:11" ht="22.5" customHeight="1">
      <c r="B7" s="225" t="s">
        <v>967</v>
      </c>
      <c r="C7" s="222"/>
      <c r="D7" s="223"/>
      <c r="E7" s="223"/>
      <c r="F7" s="223"/>
      <c r="G7" s="222"/>
      <c r="H7" s="223"/>
      <c r="I7" s="224"/>
      <c r="J7" s="222"/>
      <c r="K7" s="222"/>
    </row>
    <row r="8" spans="2:11" ht="22.5" customHeight="1">
      <c r="B8" s="528" t="s">
        <v>1986</v>
      </c>
      <c r="C8" s="222"/>
      <c r="D8" s="223"/>
      <c r="E8" s="223"/>
      <c r="F8" s="223"/>
      <c r="G8" s="222"/>
      <c r="H8" s="223"/>
      <c r="I8" s="224"/>
      <c r="J8" s="222"/>
      <c r="K8" s="222"/>
    </row>
    <row r="9" spans="2:11" ht="22.5" customHeight="1">
      <c r="B9" s="226" t="s">
        <v>1828</v>
      </c>
      <c r="C9" s="222"/>
      <c r="D9" s="227"/>
      <c r="E9" s="223"/>
      <c r="F9" s="223"/>
      <c r="G9" s="222"/>
      <c r="H9" s="223"/>
      <c r="I9" s="224"/>
      <c r="J9" s="222"/>
      <c r="K9" s="222"/>
    </row>
    <row r="10" spans="2:11" ht="22.5" customHeight="1">
      <c r="B10" s="226" t="s">
        <v>1681</v>
      </c>
      <c r="C10" s="222"/>
      <c r="D10" s="227"/>
      <c r="E10" s="223"/>
      <c r="F10" s="223"/>
      <c r="G10" s="222"/>
      <c r="H10" s="223"/>
      <c r="I10" s="224"/>
      <c r="J10" s="222"/>
      <c r="K10" s="222"/>
    </row>
    <row r="11" spans="2:11" ht="22.5" customHeight="1">
      <c r="B11" s="222" t="s">
        <v>1047</v>
      </c>
      <c r="C11" s="222"/>
      <c r="D11" s="222"/>
      <c r="E11" s="222"/>
      <c r="F11" s="222"/>
      <c r="G11" s="222"/>
      <c r="H11" s="223"/>
      <c r="I11" s="224"/>
      <c r="J11" s="222"/>
      <c r="K11" s="222"/>
    </row>
    <row r="12" spans="2:11" ht="22.5" customHeight="1">
      <c r="B12" s="228"/>
      <c r="C12" s="229"/>
      <c r="D12" s="227"/>
      <c r="E12" s="227"/>
      <c r="F12" s="227"/>
      <c r="G12" s="227"/>
      <c r="H12" s="230"/>
      <c r="I12" s="222"/>
      <c r="J12" s="222"/>
      <c r="K12" s="222"/>
    </row>
    <row r="13" spans="2:11" ht="22.5" customHeight="1"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22"/>
      <c r="K13" s="222"/>
    </row>
    <row r="14" ht="15" thickBot="1"/>
    <row r="15" spans="1:15" ht="45" customHeight="1">
      <c r="A15" s="757" t="s">
        <v>0</v>
      </c>
      <c r="B15" s="751" t="s">
        <v>993</v>
      </c>
      <c r="C15" s="751" t="s">
        <v>2</v>
      </c>
      <c r="D15" s="751" t="s">
        <v>3</v>
      </c>
      <c r="E15" s="748" t="s">
        <v>1038</v>
      </c>
      <c r="F15" s="748" t="s">
        <v>5</v>
      </c>
      <c r="G15" s="751" t="s">
        <v>6</v>
      </c>
      <c r="H15" s="772" t="s">
        <v>7</v>
      </c>
      <c r="I15" s="772" t="s">
        <v>753</v>
      </c>
      <c r="J15" s="772" t="s">
        <v>157</v>
      </c>
      <c r="K15" s="775" t="s">
        <v>992</v>
      </c>
      <c r="L15" s="778" t="s">
        <v>1039</v>
      </c>
      <c r="M15" s="779"/>
      <c r="N15" s="779"/>
      <c r="O15" s="780"/>
    </row>
    <row r="16" spans="1:15" ht="44.25" customHeight="1">
      <c r="A16" s="758"/>
      <c r="B16" s="752"/>
      <c r="C16" s="752"/>
      <c r="D16" s="752"/>
      <c r="E16" s="749"/>
      <c r="F16" s="749"/>
      <c r="G16" s="752"/>
      <c r="H16" s="773"/>
      <c r="I16" s="773"/>
      <c r="J16" s="773"/>
      <c r="K16" s="776"/>
      <c r="L16" s="781" t="s">
        <v>1040</v>
      </c>
      <c r="M16" s="782"/>
      <c r="N16" s="782"/>
      <c r="O16" s="783"/>
    </row>
    <row r="17" spans="1:15" ht="26.25" customHeight="1" thickBot="1">
      <c r="A17" s="759"/>
      <c r="B17" s="753"/>
      <c r="C17" s="753"/>
      <c r="D17" s="753"/>
      <c r="E17" s="750"/>
      <c r="F17" s="750"/>
      <c r="G17" s="753"/>
      <c r="H17" s="774"/>
      <c r="I17" s="774"/>
      <c r="J17" s="774"/>
      <c r="K17" s="777"/>
      <c r="L17" s="172" t="s">
        <v>1041</v>
      </c>
      <c r="M17" s="173" t="s">
        <v>1035</v>
      </c>
      <c r="N17" s="173" t="s">
        <v>1036</v>
      </c>
      <c r="O17" s="174" t="s">
        <v>10</v>
      </c>
    </row>
    <row r="18" spans="1:15" ht="29.25">
      <c r="A18" s="305" t="s">
        <v>11</v>
      </c>
      <c r="B18" s="180" t="s">
        <v>12</v>
      </c>
      <c r="C18" s="180" t="s">
        <v>745</v>
      </c>
      <c r="D18" s="179"/>
      <c r="E18" s="180"/>
      <c r="F18" s="180" t="s">
        <v>1862</v>
      </c>
      <c r="G18" s="180" t="s">
        <v>1863</v>
      </c>
      <c r="H18" s="389" t="s">
        <v>1867</v>
      </c>
      <c r="I18" s="215">
        <v>1567784</v>
      </c>
      <c r="J18" s="554" t="s">
        <v>154</v>
      </c>
      <c r="K18" s="270">
        <v>5.5</v>
      </c>
      <c r="L18" s="54">
        <f>7748-3830</f>
        <v>3918</v>
      </c>
      <c r="M18" s="181"/>
      <c r="N18" s="181"/>
      <c r="O18" s="162">
        <f>L18</f>
        <v>3918</v>
      </c>
    </row>
    <row r="19" spans="1:15" ht="29.25">
      <c r="A19" s="305" t="s">
        <v>11</v>
      </c>
      <c r="B19" s="180" t="s">
        <v>12</v>
      </c>
      <c r="C19" s="177" t="s">
        <v>1868</v>
      </c>
      <c r="D19" s="176"/>
      <c r="E19" s="177" t="s">
        <v>686</v>
      </c>
      <c r="F19" s="180" t="s">
        <v>1862</v>
      </c>
      <c r="G19" s="180" t="s">
        <v>1863</v>
      </c>
      <c r="H19" s="389" t="s">
        <v>1869</v>
      </c>
      <c r="I19" s="216">
        <v>1409603</v>
      </c>
      <c r="J19" s="495" t="s">
        <v>154</v>
      </c>
      <c r="K19" s="245">
        <v>1</v>
      </c>
      <c r="L19" s="13">
        <f>5745-3360</f>
        <v>2385</v>
      </c>
      <c r="M19" s="184"/>
      <c r="N19" s="184"/>
      <c r="O19" s="103">
        <f aca="true" t="shared" si="0" ref="O19:O77">L19</f>
        <v>2385</v>
      </c>
    </row>
    <row r="20" spans="1:15" ht="29.25">
      <c r="A20" s="305" t="s">
        <v>11</v>
      </c>
      <c r="B20" s="180" t="s">
        <v>12</v>
      </c>
      <c r="C20" s="177" t="s">
        <v>1868</v>
      </c>
      <c r="D20" s="176"/>
      <c r="E20" s="177" t="s">
        <v>686</v>
      </c>
      <c r="F20" s="180" t="s">
        <v>1862</v>
      </c>
      <c r="G20" s="180" t="s">
        <v>1863</v>
      </c>
      <c r="H20" s="389" t="s">
        <v>1870</v>
      </c>
      <c r="I20" s="216">
        <v>1567795</v>
      </c>
      <c r="J20" s="495" t="s">
        <v>154</v>
      </c>
      <c r="K20" s="245">
        <v>1</v>
      </c>
      <c r="L20" s="13">
        <f>3436-2117</f>
        <v>1319</v>
      </c>
      <c r="M20" s="184"/>
      <c r="N20" s="184"/>
      <c r="O20" s="103">
        <f t="shared" si="0"/>
        <v>1319</v>
      </c>
    </row>
    <row r="21" spans="1:15" ht="29.25">
      <c r="A21" s="305" t="s">
        <v>11</v>
      </c>
      <c r="B21" s="180" t="s">
        <v>12</v>
      </c>
      <c r="C21" s="177" t="s">
        <v>1871</v>
      </c>
      <c r="D21" s="176"/>
      <c r="E21" s="177"/>
      <c r="F21" s="180" t="s">
        <v>1862</v>
      </c>
      <c r="G21" s="180" t="s">
        <v>1863</v>
      </c>
      <c r="H21" s="389" t="s">
        <v>1872</v>
      </c>
      <c r="I21" s="216">
        <v>1567800</v>
      </c>
      <c r="J21" s="495" t="s">
        <v>154</v>
      </c>
      <c r="K21" s="245">
        <v>1</v>
      </c>
      <c r="L21" s="13">
        <f>5287-2695</f>
        <v>2592</v>
      </c>
      <c r="M21" s="184"/>
      <c r="N21" s="184"/>
      <c r="O21" s="103">
        <f t="shared" si="0"/>
        <v>2592</v>
      </c>
    </row>
    <row r="22" spans="1:15" ht="29.25">
      <c r="A22" s="305" t="s">
        <v>11</v>
      </c>
      <c r="B22" s="180" t="s">
        <v>12</v>
      </c>
      <c r="C22" s="177" t="s">
        <v>1873</v>
      </c>
      <c r="D22" s="176"/>
      <c r="E22" s="177" t="s">
        <v>686</v>
      </c>
      <c r="F22" s="180" t="s">
        <v>1862</v>
      </c>
      <c r="G22" s="180" t="s">
        <v>1863</v>
      </c>
      <c r="H22" s="389" t="s">
        <v>1874</v>
      </c>
      <c r="I22" s="216">
        <v>9684899</v>
      </c>
      <c r="J22" s="495" t="s">
        <v>154</v>
      </c>
      <c r="K22" s="245">
        <v>1</v>
      </c>
      <c r="L22" s="13">
        <f>52921-47540</f>
        <v>5381</v>
      </c>
      <c r="M22" s="184"/>
      <c r="N22" s="184"/>
      <c r="O22" s="103">
        <f t="shared" si="0"/>
        <v>5381</v>
      </c>
    </row>
    <row r="23" spans="1:15" ht="29.25">
      <c r="A23" s="305" t="s">
        <v>11</v>
      </c>
      <c r="B23" s="180" t="s">
        <v>12</v>
      </c>
      <c r="C23" s="177" t="s">
        <v>1875</v>
      </c>
      <c r="D23" s="176"/>
      <c r="E23" s="177"/>
      <c r="F23" s="180" t="s">
        <v>1862</v>
      </c>
      <c r="G23" s="180" t="s">
        <v>1863</v>
      </c>
      <c r="H23" s="389" t="s">
        <v>1876</v>
      </c>
      <c r="I23" s="216">
        <v>119165</v>
      </c>
      <c r="J23" s="495" t="s">
        <v>154</v>
      </c>
      <c r="K23" s="245">
        <v>1.8</v>
      </c>
      <c r="L23" s="13">
        <f>5649-2856</f>
        <v>2793</v>
      </c>
      <c r="M23" s="184"/>
      <c r="N23" s="184"/>
      <c r="O23" s="103">
        <f t="shared" si="0"/>
        <v>2793</v>
      </c>
    </row>
    <row r="24" spans="1:15" ht="29.25">
      <c r="A24" s="305" t="s">
        <v>11</v>
      </c>
      <c r="B24" s="180" t="s">
        <v>12</v>
      </c>
      <c r="C24" s="177" t="s">
        <v>1877</v>
      </c>
      <c r="D24" s="176"/>
      <c r="E24" s="177" t="s">
        <v>146</v>
      </c>
      <c r="F24" s="180" t="s">
        <v>1862</v>
      </c>
      <c r="G24" s="180" t="s">
        <v>1863</v>
      </c>
      <c r="H24" s="389" t="s">
        <v>1878</v>
      </c>
      <c r="I24" s="216">
        <v>11742214</v>
      </c>
      <c r="J24" s="495" t="s">
        <v>154</v>
      </c>
      <c r="K24" s="245">
        <v>6</v>
      </c>
      <c r="L24" s="13">
        <f>26025-23362</f>
        <v>2663</v>
      </c>
      <c r="M24" s="184"/>
      <c r="N24" s="184"/>
      <c r="O24" s="103">
        <f t="shared" si="0"/>
        <v>2663</v>
      </c>
    </row>
    <row r="25" spans="1:15" ht="29.25">
      <c r="A25" s="305" t="s">
        <v>11</v>
      </c>
      <c r="B25" s="180" t="s">
        <v>12</v>
      </c>
      <c r="C25" s="177" t="s">
        <v>1877</v>
      </c>
      <c r="D25" s="176"/>
      <c r="E25" s="177" t="s">
        <v>686</v>
      </c>
      <c r="F25" s="180" t="s">
        <v>1862</v>
      </c>
      <c r="G25" s="180" t="s">
        <v>1863</v>
      </c>
      <c r="H25" s="389" t="s">
        <v>1879</v>
      </c>
      <c r="I25" s="216">
        <v>7903741</v>
      </c>
      <c r="J25" s="495" t="s">
        <v>154</v>
      </c>
      <c r="K25" s="245">
        <v>6</v>
      </c>
      <c r="L25" s="13">
        <f>22748-20067</f>
        <v>2681</v>
      </c>
      <c r="M25" s="184"/>
      <c r="N25" s="184"/>
      <c r="O25" s="103">
        <f t="shared" si="0"/>
        <v>2681</v>
      </c>
    </row>
    <row r="26" spans="1:15" ht="29.25">
      <c r="A26" s="305" t="s">
        <v>11</v>
      </c>
      <c r="B26" s="180" t="s">
        <v>12</v>
      </c>
      <c r="C26" s="177" t="s">
        <v>1880</v>
      </c>
      <c r="D26" s="176"/>
      <c r="E26" s="177">
        <v>2</v>
      </c>
      <c r="F26" s="180" t="s">
        <v>1862</v>
      </c>
      <c r="G26" s="180" t="s">
        <v>1863</v>
      </c>
      <c r="H26" s="389" t="s">
        <v>1881</v>
      </c>
      <c r="I26" s="216">
        <v>104020</v>
      </c>
      <c r="J26" s="495" t="s">
        <v>154</v>
      </c>
      <c r="K26" s="245">
        <v>3</v>
      </c>
      <c r="L26" s="13">
        <f>19877-15406</f>
        <v>4471</v>
      </c>
      <c r="M26" s="184"/>
      <c r="N26" s="184"/>
      <c r="O26" s="103">
        <f t="shared" si="0"/>
        <v>4471</v>
      </c>
    </row>
    <row r="27" spans="1:15" ht="29.25">
      <c r="A27" s="305" t="s">
        <v>11</v>
      </c>
      <c r="B27" s="180" t="s">
        <v>12</v>
      </c>
      <c r="C27" s="177" t="s">
        <v>1880</v>
      </c>
      <c r="D27" s="176"/>
      <c r="E27" s="177">
        <v>1</v>
      </c>
      <c r="F27" s="180" t="s">
        <v>1862</v>
      </c>
      <c r="G27" s="180" t="s">
        <v>1863</v>
      </c>
      <c r="H27" s="389" t="s">
        <v>1882</v>
      </c>
      <c r="I27" s="216">
        <v>1567798</v>
      </c>
      <c r="J27" s="495" t="s">
        <v>154</v>
      </c>
      <c r="K27" s="245">
        <v>2</v>
      </c>
      <c r="L27" s="13">
        <f>11875-5850</f>
        <v>6025</v>
      </c>
      <c r="M27" s="184"/>
      <c r="N27" s="184"/>
      <c r="O27" s="103">
        <f t="shared" si="0"/>
        <v>6025</v>
      </c>
    </row>
    <row r="28" spans="1:15" ht="29.25">
      <c r="A28" s="305" t="s">
        <v>11</v>
      </c>
      <c r="B28" s="180" t="s">
        <v>12</v>
      </c>
      <c r="C28" s="177" t="s">
        <v>1883</v>
      </c>
      <c r="D28" s="176"/>
      <c r="E28" s="177" t="s">
        <v>146</v>
      </c>
      <c r="F28" s="180" t="s">
        <v>1862</v>
      </c>
      <c r="G28" s="180" t="s">
        <v>1863</v>
      </c>
      <c r="H28" s="389" t="s">
        <v>1884</v>
      </c>
      <c r="I28" s="216">
        <v>1567789</v>
      </c>
      <c r="J28" s="495" t="s">
        <v>154</v>
      </c>
      <c r="K28" s="245">
        <v>2</v>
      </c>
      <c r="L28" s="13">
        <f>6863-3639</f>
        <v>3224</v>
      </c>
      <c r="M28" s="184"/>
      <c r="N28" s="184"/>
      <c r="O28" s="103">
        <f t="shared" si="0"/>
        <v>3224</v>
      </c>
    </row>
    <row r="29" spans="1:15" ht="29.25">
      <c r="A29" s="305" t="s">
        <v>11</v>
      </c>
      <c r="B29" s="180" t="s">
        <v>12</v>
      </c>
      <c r="C29" s="177" t="s">
        <v>1880</v>
      </c>
      <c r="D29" s="176"/>
      <c r="E29" s="177"/>
      <c r="F29" s="180" t="s">
        <v>1862</v>
      </c>
      <c r="G29" s="180" t="s">
        <v>1863</v>
      </c>
      <c r="H29" s="389" t="s">
        <v>1885</v>
      </c>
      <c r="I29" s="216">
        <v>1567791</v>
      </c>
      <c r="J29" s="495" t="s">
        <v>154</v>
      </c>
      <c r="K29" s="245">
        <v>2</v>
      </c>
      <c r="L29" s="13">
        <f>6817-3161</f>
        <v>3656</v>
      </c>
      <c r="M29" s="184"/>
      <c r="N29" s="184"/>
      <c r="O29" s="103">
        <f t="shared" si="0"/>
        <v>3656</v>
      </c>
    </row>
    <row r="30" spans="1:15" ht="29.25">
      <c r="A30" s="305" t="s">
        <v>11</v>
      </c>
      <c r="B30" s="180" t="s">
        <v>12</v>
      </c>
      <c r="C30" s="177" t="s">
        <v>1886</v>
      </c>
      <c r="D30" s="176"/>
      <c r="E30" s="177" t="s">
        <v>686</v>
      </c>
      <c r="F30" s="180" t="s">
        <v>1862</v>
      </c>
      <c r="G30" s="180" t="s">
        <v>1863</v>
      </c>
      <c r="H30" s="389" t="s">
        <v>1887</v>
      </c>
      <c r="I30" s="216">
        <v>70881187</v>
      </c>
      <c r="J30" s="495" t="s">
        <v>154</v>
      </c>
      <c r="K30" s="245">
        <v>6</v>
      </c>
      <c r="L30" s="13">
        <f>23218-18312</f>
        <v>4906</v>
      </c>
      <c r="M30" s="184"/>
      <c r="N30" s="184"/>
      <c r="O30" s="103">
        <f t="shared" si="0"/>
        <v>4906</v>
      </c>
    </row>
    <row r="31" spans="1:15" ht="29.25">
      <c r="A31" s="305" t="s">
        <v>11</v>
      </c>
      <c r="B31" s="180" t="s">
        <v>12</v>
      </c>
      <c r="C31" s="177" t="s">
        <v>1888</v>
      </c>
      <c r="D31" s="176"/>
      <c r="E31" s="177" t="s">
        <v>686</v>
      </c>
      <c r="F31" s="180" t="s">
        <v>1862</v>
      </c>
      <c r="G31" s="180" t="s">
        <v>1863</v>
      </c>
      <c r="H31" s="389" t="s">
        <v>1889</v>
      </c>
      <c r="I31" s="216">
        <v>1539359</v>
      </c>
      <c r="J31" s="495" t="s">
        <v>154</v>
      </c>
      <c r="K31" s="245">
        <v>2</v>
      </c>
      <c r="L31" s="13">
        <f>6339-3109</f>
        <v>3230</v>
      </c>
      <c r="M31" s="184"/>
      <c r="N31" s="184"/>
      <c r="O31" s="103">
        <f t="shared" si="0"/>
        <v>3230</v>
      </c>
    </row>
    <row r="32" spans="1:15" ht="29.25">
      <c r="A32" s="305" t="s">
        <v>11</v>
      </c>
      <c r="B32" s="180" t="s">
        <v>12</v>
      </c>
      <c r="C32" s="177" t="s">
        <v>1886</v>
      </c>
      <c r="D32" s="176"/>
      <c r="E32" s="177" t="s">
        <v>686</v>
      </c>
      <c r="F32" s="180" t="s">
        <v>1862</v>
      </c>
      <c r="G32" s="180" t="s">
        <v>1863</v>
      </c>
      <c r="H32" s="389" t="s">
        <v>1890</v>
      </c>
      <c r="I32" s="216">
        <v>9364728</v>
      </c>
      <c r="J32" s="495" t="s">
        <v>154</v>
      </c>
      <c r="K32" s="245">
        <v>6</v>
      </c>
      <c r="L32" s="13">
        <f>19739-18260</f>
        <v>1479</v>
      </c>
      <c r="M32" s="184"/>
      <c r="N32" s="184"/>
      <c r="O32" s="103">
        <f t="shared" si="0"/>
        <v>1479</v>
      </c>
    </row>
    <row r="33" spans="1:15" ht="29.25">
      <c r="A33" s="305" t="s">
        <v>11</v>
      </c>
      <c r="B33" s="180" t="s">
        <v>12</v>
      </c>
      <c r="C33" s="177" t="s">
        <v>1891</v>
      </c>
      <c r="D33" s="176"/>
      <c r="E33" s="177"/>
      <c r="F33" s="180" t="s">
        <v>1862</v>
      </c>
      <c r="G33" s="180" t="s">
        <v>1863</v>
      </c>
      <c r="H33" s="389" t="s">
        <v>1892</v>
      </c>
      <c r="I33" s="216">
        <v>78240940</v>
      </c>
      <c r="J33" s="495" t="s">
        <v>154</v>
      </c>
      <c r="K33" s="245">
        <v>2.5</v>
      </c>
      <c r="L33" s="13">
        <f>110294-103807</f>
        <v>6487</v>
      </c>
      <c r="M33" s="184"/>
      <c r="N33" s="184"/>
      <c r="O33" s="103">
        <f t="shared" si="0"/>
        <v>6487</v>
      </c>
    </row>
    <row r="34" spans="1:15" ht="29.25">
      <c r="A34" s="305" t="s">
        <v>11</v>
      </c>
      <c r="B34" s="180" t="s">
        <v>12</v>
      </c>
      <c r="C34" s="177" t="s">
        <v>1893</v>
      </c>
      <c r="D34" s="176"/>
      <c r="E34" s="177"/>
      <c r="F34" s="180" t="s">
        <v>1862</v>
      </c>
      <c r="G34" s="180" t="s">
        <v>1863</v>
      </c>
      <c r="H34" s="389" t="s">
        <v>1894</v>
      </c>
      <c r="I34" s="217">
        <v>21087738</v>
      </c>
      <c r="J34" s="495" t="s">
        <v>154</v>
      </c>
      <c r="K34" s="245">
        <v>2</v>
      </c>
      <c r="L34" s="13">
        <f>29832-25968</f>
        <v>3864</v>
      </c>
      <c r="M34" s="184"/>
      <c r="N34" s="184"/>
      <c r="O34" s="103">
        <f t="shared" si="0"/>
        <v>3864</v>
      </c>
    </row>
    <row r="35" spans="1:15" ht="29.25">
      <c r="A35" s="305" t="s">
        <v>11</v>
      </c>
      <c r="B35" s="180" t="s">
        <v>12</v>
      </c>
      <c r="C35" s="177" t="s">
        <v>1863</v>
      </c>
      <c r="D35" s="176" t="s">
        <v>238</v>
      </c>
      <c r="E35" s="177"/>
      <c r="F35" s="180" t="s">
        <v>1862</v>
      </c>
      <c r="G35" s="180" t="s">
        <v>1863</v>
      </c>
      <c r="H35" s="389" t="s">
        <v>1895</v>
      </c>
      <c r="I35" s="216">
        <v>1710609</v>
      </c>
      <c r="J35" s="495" t="s">
        <v>154</v>
      </c>
      <c r="K35" s="245">
        <v>5</v>
      </c>
      <c r="L35" s="13">
        <f>171958-158346</f>
        <v>13612</v>
      </c>
      <c r="M35" s="184"/>
      <c r="N35" s="184"/>
      <c r="O35" s="103">
        <f t="shared" si="0"/>
        <v>13612</v>
      </c>
    </row>
    <row r="36" spans="1:15" ht="29.25">
      <c r="A36" s="305" t="s">
        <v>11</v>
      </c>
      <c r="B36" s="180" t="s">
        <v>12</v>
      </c>
      <c r="C36" s="177" t="s">
        <v>1896</v>
      </c>
      <c r="D36" s="176"/>
      <c r="E36" s="177"/>
      <c r="F36" s="180" t="s">
        <v>1862</v>
      </c>
      <c r="G36" s="180" t="s">
        <v>1863</v>
      </c>
      <c r="H36" s="389" t="s">
        <v>1897</v>
      </c>
      <c r="I36" s="216">
        <v>1487678</v>
      </c>
      <c r="J36" s="495" t="s">
        <v>154</v>
      </c>
      <c r="K36" s="245">
        <v>1.6</v>
      </c>
      <c r="L36" s="13">
        <f>12867-8199</f>
        <v>4668</v>
      </c>
      <c r="M36" s="184"/>
      <c r="N36" s="184"/>
      <c r="O36" s="103">
        <f t="shared" si="0"/>
        <v>4668</v>
      </c>
    </row>
    <row r="37" spans="1:15" ht="29.25">
      <c r="A37" s="305" t="s">
        <v>11</v>
      </c>
      <c r="B37" s="180" t="s">
        <v>12</v>
      </c>
      <c r="C37" s="177" t="s">
        <v>1898</v>
      </c>
      <c r="D37" s="176"/>
      <c r="E37" s="177"/>
      <c r="F37" s="180" t="s">
        <v>1862</v>
      </c>
      <c r="G37" s="180" t="s">
        <v>1863</v>
      </c>
      <c r="H37" s="389" t="s">
        <v>1899</v>
      </c>
      <c r="I37" s="216">
        <v>1389447</v>
      </c>
      <c r="J37" s="495" t="s">
        <v>154</v>
      </c>
      <c r="K37" s="245">
        <v>3</v>
      </c>
      <c r="L37" s="13">
        <f>11199-6614</f>
        <v>4585</v>
      </c>
      <c r="M37" s="184"/>
      <c r="N37" s="184"/>
      <c r="O37" s="103">
        <f t="shared" si="0"/>
        <v>4585</v>
      </c>
    </row>
    <row r="38" spans="1:15" ht="29.25">
      <c r="A38" s="305" t="s">
        <v>11</v>
      </c>
      <c r="B38" s="180" t="s">
        <v>12</v>
      </c>
      <c r="C38" s="177" t="s">
        <v>1898</v>
      </c>
      <c r="D38" s="176"/>
      <c r="E38" s="177"/>
      <c r="F38" s="180" t="s">
        <v>1862</v>
      </c>
      <c r="G38" s="180" t="s">
        <v>1863</v>
      </c>
      <c r="H38" s="389" t="s">
        <v>1900</v>
      </c>
      <c r="I38" s="216">
        <v>11684782</v>
      </c>
      <c r="J38" s="495" t="s">
        <v>154</v>
      </c>
      <c r="K38" s="245">
        <v>6</v>
      </c>
      <c r="L38" s="13">
        <f>69963-63216</f>
        <v>6747</v>
      </c>
      <c r="M38" s="184"/>
      <c r="N38" s="184"/>
      <c r="O38" s="103">
        <f t="shared" si="0"/>
        <v>6747</v>
      </c>
    </row>
    <row r="39" spans="1:15" ht="29.25">
      <c r="A39" s="305" t="s">
        <v>11</v>
      </c>
      <c r="B39" s="180" t="s">
        <v>12</v>
      </c>
      <c r="C39" s="177" t="s">
        <v>1898</v>
      </c>
      <c r="D39" s="176"/>
      <c r="E39" s="177"/>
      <c r="F39" s="180" t="s">
        <v>1862</v>
      </c>
      <c r="G39" s="180" t="s">
        <v>1863</v>
      </c>
      <c r="H39" s="389" t="s">
        <v>1901</v>
      </c>
      <c r="I39" s="216">
        <v>11161595</v>
      </c>
      <c r="J39" s="495" t="s">
        <v>154</v>
      </c>
      <c r="K39" s="245">
        <v>6</v>
      </c>
      <c r="L39" s="13">
        <f>68154-58816</f>
        <v>9338</v>
      </c>
      <c r="M39" s="184"/>
      <c r="N39" s="184"/>
      <c r="O39" s="103">
        <f t="shared" si="0"/>
        <v>9338</v>
      </c>
    </row>
    <row r="40" spans="1:15" ht="29.25">
      <c r="A40" s="305" t="s">
        <v>11</v>
      </c>
      <c r="B40" s="180" t="s">
        <v>12</v>
      </c>
      <c r="C40" s="177" t="s">
        <v>1902</v>
      </c>
      <c r="D40" s="176"/>
      <c r="E40" s="177"/>
      <c r="F40" s="180" t="s">
        <v>1862</v>
      </c>
      <c r="G40" s="180" t="s">
        <v>1863</v>
      </c>
      <c r="H40" s="389" t="s">
        <v>1903</v>
      </c>
      <c r="I40" s="216">
        <v>26026754</v>
      </c>
      <c r="J40" s="495" t="s">
        <v>154</v>
      </c>
      <c r="K40" s="245">
        <v>2</v>
      </c>
      <c r="L40" s="13">
        <f>300*12</f>
        <v>3600</v>
      </c>
      <c r="M40" s="184"/>
      <c r="N40" s="184"/>
      <c r="O40" s="103">
        <f t="shared" si="0"/>
        <v>3600</v>
      </c>
    </row>
    <row r="41" spans="1:15" ht="29.25">
      <c r="A41" s="305" t="s">
        <v>11</v>
      </c>
      <c r="B41" s="180" t="s">
        <v>12</v>
      </c>
      <c r="C41" s="177" t="s">
        <v>1904</v>
      </c>
      <c r="D41" s="176"/>
      <c r="E41" s="177"/>
      <c r="F41" s="180" t="s">
        <v>1862</v>
      </c>
      <c r="G41" s="180" t="s">
        <v>1863</v>
      </c>
      <c r="H41" s="389" t="s">
        <v>1905</v>
      </c>
      <c r="I41" s="216">
        <v>1481170</v>
      </c>
      <c r="J41" s="495" t="s">
        <v>154</v>
      </c>
      <c r="K41" s="245">
        <v>2</v>
      </c>
      <c r="L41" s="13">
        <f>12376-5055</f>
        <v>7321</v>
      </c>
      <c r="M41" s="184"/>
      <c r="N41" s="184"/>
      <c r="O41" s="103">
        <f t="shared" si="0"/>
        <v>7321</v>
      </c>
    </row>
    <row r="42" spans="1:15" ht="29.25">
      <c r="A42" s="305" t="s">
        <v>11</v>
      </c>
      <c r="B42" s="180" t="s">
        <v>12</v>
      </c>
      <c r="C42" s="177" t="s">
        <v>1906</v>
      </c>
      <c r="D42" s="176"/>
      <c r="E42" s="177" t="s">
        <v>146</v>
      </c>
      <c r="F42" s="180" t="s">
        <v>1862</v>
      </c>
      <c r="G42" s="180" t="s">
        <v>1863</v>
      </c>
      <c r="H42" s="389" t="s">
        <v>1907</v>
      </c>
      <c r="I42" s="216">
        <v>1481175</v>
      </c>
      <c r="J42" s="495" t="s">
        <v>154</v>
      </c>
      <c r="K42" s="245">
        <v>2</v>
      </c>
      <c r="L42" s="13">
        <f>13044-5511</f>
        <v>7533</v>
      </c>
      <c r="M42" s="184"/>
      <c r="N42" s="184"/>
      <c r="O42" s="103">
        <f t="shared" si="0"/>
        <v>7533</v>
      </c>
    </row>
    <row r="43" spans="1:15" ht="29.25">
      <c r="A43" s="305" t="s">
        <v>11</v>
      </c>
      <c r="B43" s="180" t="s">
        <v>12</v>
      </c>
      <c r="C43" s="177" t="s">
        <v>1908</v>
      </c>
      <c r="D43" s="176"/>
      <c r="E43" s="177" t="s">
        <v>146</v>
      </c>
      <c r="F43" s="180" t="s">
        <v>1862</v>
      </c>
      <c r="G43" s="180" t="s">
        <v>1863</v>
      </c>
      <c r="H43" s="389" t="s">
        <v>1909</v>
      </c>
      <c r="I43" s="216">
        <v>1539344</v>
      </c>
      <c r="J43" s="495" t="s">
        <v>154</v>
      </c>
      <c r="K43" s="245">
        <v>2</v>
      </c>
      <c r="L43" s="13">
        <f>8600-3350</f>
        <v>5250</v>
      </c>
      <c r="M43" s="184"/>
      <c r="N43" s="184"/>
      <c r="O43" s="103">
        <f t="shared" si="0"/>
        <v>5250</v>
      </c>
    </row>
    <row r="44" spans="1:15" ht="29.25">
      <c r="A44" s="305" t="s">
        <v>11</v>
      </c>
      <c r="B44" s="180" t="s">
        <v>12</v>
      </c>
      <c r="C44" s="177" t="s">
        <v>1908</v>
      </c>
      <c r="D44" s="176"/>
      <c r="E44" s="177" t="s">
        <v>686</v>
      </c>
      <c r="F44" s="180" t="s">
        <v>1862</v>
      </c>
      <c r="G44" s="180" t="s">
        <v>1863</v>
      </c>
      <c r="H44" s="389" t="s">
        <v>1910</v>
      </c>
      <c r="I44" s="216">
        <v>1567786</v>
      </c>
      <c r="J44" s="495" t="s">
        <v>154</v>
      </c>
      <c r="K44" s="245">
        <v>2</v>
      </c>
      <c r="L44" s="13">
        <f>9022-4389</f>
        <v>4633</v>
      </c>
      <c r="M44" s="184"/>
      <c r="N44" s="184"/>
      <c r="O44" s="103">
        <f t="shared" si="0"/>
        <v>4633</v>
      </c>
    </row>
    <row r="45" spans="1:15" ht="29.25">
      <c r="A45" s="305" t="s">
        <v>11</v>
      </c>
      <c r="B45" s="180" t="s">
        <v>12</v>
      </c>
      <c r="C45" s="177" t="s">
        <v>1863</v>
      </c>
      <c r="D45" s="496" t="s">
        <v>1911</v>
      </c>
      <c r="E45" s="177"/>
      <c r="F45" s="180" t="s">
        <v>1862</v>
      </c>
      <c r="G45" s="180" t="s">
        <v>1863</v>
      </c>
      <c r="H45" s="389" t="s">
        <v>1912</v>
      </c>
      <c r="I45" s="216">
        <v>49083</v>
      </c>
      <c r="J45" s="495" t="s">
        <v>154</v>
      </c>
      <c r="K45" s="245">
        <v>2</v>
      </c>
      <c r="L45" s="13">
        <f>14127-9168</f>
        <v>4959</v>
      </c>
      <c r="M45" s="184"/>
      <c r="N45" s="184"/>
      <c r="O45" s="103">
        <f t="shared" si="0"/>
        <v>4959</v>
      </c>
    </row>
    <row r="46" spans="1:15" ht="29.25">
      <c r="A46" s="305" t="s">
        <v>11</v>
      </c>
      <c r="B46" s="180" t="s">
        <v>12</v>
      </c>
      <c r="C46" s="177" t="s">
        <v>1863</v>
      </c>
      <c r="D46" s="176" t="s">
        <v>199</v>
      </c>
      <c r="E46" s="177"/>
      <c r="F46" s="180" t="s">
        <v>1862</v>
      </c>
      <c r="G46" s="180" t="s">
        <v>1863</v>
      </c>
      <c r="H46" s="389" t="s">
        <v>1913</v>
      </c>
      <c r="I46" s="216">
        <v>4956114</v>
      </c>
      <c r="J46" s="495" t="s">
        <v>154</v>
      </c>
      <c r="K46" s="245">
        <v>1</v>
      </c>
      <c r="L46" s="13">
        <f>16529-14525</f>
        <v>2004</v>
      </c>
      <c r="M46" s="184"/>
      <c r="N46" s="184"/>
      <c r="O46" s="103">
        <f t="shared" si="0"/>
        <v>2004</v>
      </c>
    </row>
    <row r="47" spans="1:15" ht="29.25">
      <c r="A47" s="305" t="s">
        <v>11</v>
      </c>
      <c r="B47" s="180" t="s">
        <v>12</v>
      </c>
      <c r="C47" s="177" t="s">
        <v>1914</v>
      </c>
      <c r="D47" s="176"/>
      <c r="E47" s="177"/>
      <c r="F47" s="180" t="s">
        <v>1862</v>
      </c>
      <c r="G47" s="180" t="s">
        <v>1863</v>
      </c>
      <c r="H47" s="389" t="s">
        <v>1915</v>
      </c>
      <c r="I47" s="216">
        <v>25059218</v>
      </c>
      <c r="J47" s="495" t="s">
        <v>154</v>
      </c>
      <c r="K47" s="245">
        <v>3</v>
      </c>
      <c r="L47" s="13">
        <f>25736-20202</f>
        <v>5534</v>
      </c>
      <c r="M47" s="184"/>
      <c r="N47" s="184"/>
      <c r="O47" s="103">
        <f t="shared" si="0"/>
        <v>5534</v>
      </c>
    </row>
    <row r="48" spans="1:15" ht="29.25">
      <c r="A48" s="305" t="s">
        <v>11</v>
      </c>
      <c r="B48" s="180" t="s">
        <v>12</v>
      </c>
      <c r="C48" s="177" t="s">
        <v>1916</v>
      </c>
      <c r="D48" s="176"/>
      <c r="E48" s="177"/>
      <c r="F48" s="180" t="s">
        <v>1862</v>
      </c>
      <c r="G48" s="180" t="s">
        <v>1863</v>
      </c>
      <c r="H48" s="389" t="s">
        <v>1917</v>
      </c>
      <c r="I48" s="216">
        <v>83669455</v>
      </c>
      <c r="J48" s="495" t="s">
        <v>154</v>
      </c>
      <c r="K48" s="245">
        <v>2</v>
      </c>
      <c r="L48" s="13">
        <f>301*12</f>
        <v>3612</v>
      </c>
      <c r="M48" s="184"/>
      <c r="N48" s="184"/>
      <c r="O48" s="103">
        <f t="shared" si="0"/>
        <v>3612</v>
      </c>
    </row>
    <row r="49" spans="1:15" ht="29.25">
      <c r="A49" s="305" t="s">
        <v>11</v>
      </c>
      <c r="B49" s="180" t="s">
        <v>12</v>
      </c>
      <c r="C49" s="177" t="s">
        <v>1863</v>
      </c>
      <c r="D49" s="176"/>
      <c r="E49" s="177" t="s">
        <v>1918</v>
      </c>
      <c r="F49" s="180" t="s">
        <v>1862</v>
      </c>
      <c r="G49" s="180" t="s">
        <v>1863</v>
      </c>
      <c r="H49" s="389" t="s">
        <v>1919</v>
      </c>
      <c r="I49" s="216">
        <v>25370434</v>
      </c>
      <c r="J49" s="495" t="s">
        <v>154</v>
      </c>
      <c r="K49" s="245">
        <v>2</v>
      </c>
      <c r="L49" s="13">
        <f>32166-29121</f>
        <v>3045</v>
      </c>
      <c r="M49" s="184"/>
      <c r="N49" s="184"/>
      <c r="O49" s="103">
        <f t="shared" si="0"/>
        <v>3045</v>
      </c>
    </row>
    <row r="50" spans="1:15" ht="29.25">
      <c r="A50" s="305" t="s">
        <v>11</v>
      </c>
      <c r="B50" s="180" t="s">
        <v>12</v>
      </c>
      <c r="C50" s="177" t="s">
        <v>1863</v>
      </c>
      <c r="D50" s="176"/>
      <c r="E50" s="177" t="s">
        <v>353</v>
      </c>
      <c r="F50" s="180" t="s">
        <v>1862</v>
      </c>
      <c r="G50" s="180" t="s">
        <v>1863</v>
      </c>
      <c r="H50" s="389" t="s">
        <v>1920</v>
      </c>
      <c r="I50" s="216">
        <v>2917950</v>
      </c>
      <c r="J50" s="495" t="s">
        <v>154</v>
      </c>
      <c r="K50" s="245">
        <v>1.5</v>
      </c>
      <c r="L50" s="13">
        <f>138184-124854</f>
        <v>13330</v>
      </c>
      <c r="M50" s="184"/>
      <c r="N50" s="184"/>
      <c r="O50" s="103">
        <f t="shared" si="0"/>
        <v>13330</v>
      </c>
    </row>
    <row r="51" spans="1:15" ht="43.5">
      <c r="A51" s="305" t="s">
        <v>11</v>
      </c>
      <c r="B51" s="180" t="s">
        <v>1921</v>
      </c>
      <c r="C51" s="177"/>
      <c r="D51" s="176"/>
      <c r="E51" s="177"/>
      <c r="F51" s="180" t="s">
        <v>1862</v>
      </c>
      <c r="G51" s="180" t="s">
        <v>1863</v>
      </c>
      <c r="H51" s="389" t="s">
        <v>1922</v>
      </c>
      <c r="I51" s="216">
        <v>242873</v>
      </c>
      <c r="J51" s="495" t="s">
        <v>154</v>
      </c>
      <c r="K51" s="245">
        <v>0.5</v>
      </c>
      <c r="L51" s="13">
        <f>3154-1468</f>
        <v>1686</v>
      </c>
      <c r="M51" s="184"/>
      <c r="N51" s="184"/>
      <c r="O51" s="103">
        <f t="shared" si="0"/>
        <v>1686</v>
      </c>
    </row>
    <row r="52" spans="1:15" ht="29.25">
      <c r="A52" s="305" t="s">
        <v>11</v>
      </c>
      <c r="B52" s="180" t="s">
        <v>12</v>
      </c>
      <c r="C52" s="177" t="s">
        <v>1863</v>
      </c>
      <c r="D52" s="176" t="s">
        <v>217</v>
      </c>
      <c r="E52" s="177"/>
      <c r="F52" s="180" t="s">
        <v>1862</v>
      </c>
      <c r="G52" s="180" t="s">
        <v>1863</v>
      </c>
      <c r="H52" s="389" t="s">
        <v>1923</v>
      </c>
      <c r="I52" s="216">
        <v>24913</v>
      </c>
      <c r="J52" s="495" t="s">
        <v>154</v>
      </c>
      <c r="K52" s="245">
        <v>0.5</v>
      </c>
      <c r="L52" s="13">
        <f>17963-14402</f>
        <v>3561</v>
      </c>
      <c r="M52" s="184"/>
      <c r="N52" s="184"/>
      <c r="O52" s="103">
        <f t="shared" si="0"/>
        <v>3561</v>
      </c>
    </row>
    <row r="53" spans="1:15" ht="29.25">
      <c r="A53" s="305" t="s">
        <v>11</v>
      </c>
      <c r="B53" s="180" t="s">
        <v>12</v>
      </c>
      <c r="C53" s="177" t="s">
        <v>1863</v>
      </c>
      <c r="D53" s="177" t="s">
        <v>1080</v>
      </c>
      <c r="E53" s="177" t="s">
        <v>686</v>
      </c>
      <c r="F53" s="180" t="s">
        <v>1862</v>
      </c>
      <c r="G53" s="180" t="s">
        <v>1863</v>
      </c>
      <c r="H53" s="389" t="s">
        <v>1924</v>
      </c>
      <c r="I53" s="216">
        <v>8513812</v>
      </c>
      <c r="J53" s="495" t="s">
        <v>154</v>
      </c>
      <c r="K53" s="245">
        <v>6</v>
      </c>
      <c r="L53" s="13">
        <f>122987-107970</f>
        <v>15017</v>
      </c>
      <c r="M53" s="184"/>
      <c r="N53" s="184"/>
      <c r="O53" s="103">
        <f t="shared" si="0"/>
        <v>15017</v>
      </c>
    </row>
    <row r="54" spans="1:15" ht="29.25">
      <c r="A54" s="305" t="s">
        <v>11</v>
      </c>
      <c r="B54" s="180" t="s">
        <v>12</v>
      </c>
      <c r="C54" s="177" t="s">
        <v>1863</v>
      </c>
      <c r="D54" s="177"/>
      <c r="E54" s="177" t="s">
        <v>878</v>
      </c>
      <c r="F54" s="180" t="s">
        <v>1862</v>
      </c>
      <c r="G54" s="180" t="s">
        <v>1863</v>
      </c>
      <c r="H54" s="389" t="s">
        <v>1925</v>
      </c>
      <c r="I54" s="216">
        <v>19949022</v>
      </c>
      <c r="J54" s="495" t="s">
        <v>154</v>
      </c>
      <c r="K54" s="245">
        <v>2</v>
      </c>
      <c r="L54" s="13">
        <f>82044-71493</f>
        <v>10551</v>
      </c>
      <c r="M54" s="184"/>
      <c r="N54" s="184"/>
      <c r="O54" s="103">
        <f t="shared" si="0"/>
        <v>10551</v>
      </c>
    </row>
    <row r="55" spans="1:15" ht="29.25">
      <c r="A55" s="305" t="s">
        <v>11</v>
      </c>
      <c r="B55" s="180" t="s">
        <v>12</v>
      </c>
      <c r="C55" s="177" t="s">
        <v>1863</v>
      </c>
      <c r="D55" s="177"/>
      <c r="E55" s="177" t="s">
        <v>319</v>
      </c>
      <c r="F55" s="180" t="s">
        <v>1862</v>
      </c>
      <c r="G55" s="180" t="s">
        <v>1863</v>
      </c>
      <c r="H55" s="389" t="s">
        <v>1926</v>
      </c>
      <c r="I55" s="216">
        <v>12712607</v>
      </c>
      <c r="J55" s="495" t="s">
        <v>154</v>
      </c>
      <c r="K55" s="245">
        <v>6</v>
      </c>
      <c r="L55" s="13">
        <f>140559-129170</f>
        <v>11389</v>
      </c>
      <c r="M55" s="184"/>
      <c r="N55" s="184"/>
      <c r="O55" s="103">
        <f t="shared" si="0"/>
        <v>11389</v>
      </c>
    </row>
    <row r="56" spans="1:15" ht="29.25">
      <c r="A56" s="305" t="s">
        <v>11</v>
      </c>
      <c r="B56" s="180" t="s">
        <v>12</v>
      </c>
      <c r="C56" s="177" t="s">
        <v>1863</v>
      </c>
      <c r="D56" s="177" t="s">
        <v>1927</v>
      </c>
      <c r="E56" s="177"/>
      <c r="F56" s="180" t="s">
        <v>1862</v>
      </c>
      <c r="G56" s="180" t="s">
        <v>1863</v>
      </c>
      <c r="H56" s="389" t="s">
        <v>1928</v>
      </c>
      <c r="I56" s="216">
        <v>19574156</v>
      </c>
      <c r="J56" s="495" t="s">
        <v>154</v>
      </c>
      <c r="K56" s="245">
        <v>1</v>
      </c>
      <c r="L56" s="13">
        <f>5292-4434</f>
        <v>858</v>
      </c>
      <c r="M56" s="184"/>
      <c r="N56" s="184"/>
      <c r="O56" s="103">
        <f t="shared" si="0"/>
        <v>858</v>
      </c>
    </row>
    <row r="57" spans="1:15" ht="29.25">
      <c r="A57" s="305" t="s">
        <v>11</v>
      </c>
      <c r="B57" s="180" t="s">
        <v>12</v>
      </c>
      <c r="C57" s="177" t="s">
        <v>1863</v>
      </c>
      <c r="D57" s="177"/>
      <c r="E57" s="177"/>
      <c r="F57" s="180" t="s">
        <v>1862</v>
      </c>
      <c r="G57" s="180" t="s">
        <v>1863</v>
      </c>
      <c r="H57" s="389" t="s">
        <v>1929</v>
      </c>
      <c r="I57" s="216">
        <v>8010935</v>
      </c>
      <c r="J57" s="495" t="s">
        <v>154</v>
      </c>
      <c r="K57" s="245">
        <v>4</v>
      </c>
      <c r="L57" s="13">
        <f>129835-112909</f>
        <v>16926</v>
      </c>
      <c r="M57" s="184"/>
      <c r="N57" s="184"/>
      <c r="O57" s="103">
        <f t="shared" si="0"/>
        <v>16926</v>
      </c>
    </row>
    <row r="58" spans="1:15" ht="29.25">
      <c r="A58" s="305" t="s">
        <v>11</v>
      </c>
      <c r="B58" s="180" t="s">
        <v>12</v>
      </c>
      <c r="C58" s="177" t="s">
        <v>1863</v>
      </c>
      <c r="D58" s="177"/>
      <c r="E58" s="177" t="s">
        <v>354</v>
      </c>
      <c r="F58" s="180" t="s">
        <v>1862</v>
      </c>
      <c r="G58" s="180" t="s">
        <v>1863</v>
      </c>
      <c r="H58" s="389" t="s">
        <v>1930</v>
      </c>
      <c r="I58" s="216">
        <v>83426876</v>
      </c>
      <c r="J58" s="495" t="s">
        <v>154</v>
      </c>
      <c r="K58" s="245">
        <v>3</v>
      </c>
      <c r="L58" s="13">
        <f>893*12</f>
        <v>10716</v>
      </c>
      <c r="M58" s="184"/>
      <c r="N58" s="184"/>
      <c r="O58" s="103">
        <f t="shared" si="0"/>
        <v>10716</v>
      </c>
    </row>
    <row r="59" spans="1:15" ht="29.25">
      <c r="A59" s="305" t="s">
        <v>11</v>
      </c>
      <c r="B59" s="180" t="s">
        <v>12</v>
      </c>
      <c r="C59" s="177" t="s">
        <v>1931</v>
      </c>
      <c r="D59" s="177"/>
      <c r="E59" s="177" t="s">
        <v>878</v>
      </c>
      <c r="F59" s="180" t="s">
        <v>1862</v>
      </c>
      <c r="G59" s="180" t="s">
        <v>1863</v>
      </c>
      <c r="H59" s="389" t="s">
        <v>1932</v>
      </c>
      <c r="I59" s="216">
        <v>1481169</v>
      </c>
      <c r="J59" s="495" t="s">
        <v>154</v>
      </c>
      <c r="K59" s="245">
        <v>2</v>
      </c>
      <c r="L59" s="13">
        <f>5434-3168</f>
        <v>2266</v>
      </c>
      <c r="M59" s="184"/>
      <c r="N59" s="184"/>
      <c r="O59" s="103">
        <f t="shared" si="0"/>
        <v>2266</v>
      </c>
    </row>
    <row r="60" spans="1:15" ht="29.25">
      <c r="A60" s="305" t="s">
        <v>11</v>
      </c>
      <c r="B60" s="180" t="s">
        <v>12</v>
      </c>
      <c r="C60" s="177" t="s">
        <v>1931</v>
      </c>
      <c r="D60" s="177"/>
      <c r="E60" s="177" t="s">
        <v>878</v>
      </c>
      <c r="F60" s="180" t="s">
        <v>1862</v>
      </c>
      <c r="G60" s="180" t="s">
        <v>1863</v>
      </c>
      <c r="H60" s="389" t="s">
        <v>1933</v>
      </c>
      <c r="I60" s="217">
        <v>23154198</v>
      </c>
      <c r="J60" s="495" t="s">
        <v>154</v>
      </c>
      <c r="K60" s="245">
        <v>2</v>
      </c>
      <c r="L60" s="13">
        <f>38137-33775</f>
        <v>4362</v>
      </c>
      <c r="M60" s="184"/>
      <c r="N60" s="184"/>
      <c r="O60" s="103">
        <f t="shared" si="0"/>
        <v>4362</v>
      </c>
    </row>
    <row r="61" spans="1:15" ht="29.25">
      <c r="A61" s="305" t="s">
        <v>11</v>
      </c>
      <c r="B61" s="180" t="s">
        <v>12</v>
      </c>
      <c r="C61" s="177" t="s">
        <v>1931</v>
      </c>
      <c r="D61" s="177"/>
      <c r="E61" s="177" t="s">
        <v>878</v>
      </c>
      <c r="F61" s="180" t="s">
        <v>1862</v>
      </c>
      <c r="G61" s="180" t="s">
        <v>1863</v>
      </c>
      <c r="H61" s="389" t="s">
        <v>1934</v>
      </c>
      <c r="I61" s="216">
        <v>18697789</v>
      </c>
      <c r="J61" s="495" t="s">
        <v>154</v>
      </c>
      <c r="K61" s="245">
        <v>2</v>
      </c>
      <c r="L61" s="13">
        <f>5375-5375</f>
        <v>0</v>
      </c>
      <c r="M61" s="184"/>
      <c r="N61" s="184"/>
      <c r="O61" s="103">
        <f t="shared" si="0"/>
        <v>0</v>
      </c>
    </row>
    <row r="62" spans="1:15" ht="29.25">
      <c r="A62" s="305" t="s">
        <v>11</v>
      </c>
      <c r="B62" s="180" t="s">
        <v>12</v>
      </c>
      <c r="C62" s="177" t="s">
        <v>1935</v>
      </c>
      <c r="D62" s="177"/>
      <c r="E62" s="177"/>
      <c r="F62" s="180" t="s">
        <v>1862</v>
      </c>
      <c r="G62" s="180" t="s">
        <v>1863</v>
      </c>
      <c r="H62" s="389" t="s">
        <v>1936</v>
      </c>
      <c r="I62" s="216">
        <v>25679908</v>
      </c>
      <c r="J62" s="495" t="s">
        <v>154</v>
      </c>
      <c r="K62" s="245">
        <v>2</v>
      </c>
      <c r="L62" s="13">
        <f>13604-11352</f>
        <v>2252</v>
      </c>
      <c r="M62" s="184"/>
      <c r="N62" s="184"/>
      <c r="O62" s="103">
        <f t="shared" si="0"/>
        <v>2252</v>
      </c>
    </row>
    <row r="63" spans="1:15" ht="29.25">
      <c r="A63" s="305" t="s">
        <v>11</v>
      </c>
      <c r="B63" s="180" t="s">
        <v>12</v>
      </c>
      <c r="C63" s="177" t="s">
        <v>1935</v>
      </c>
      <c r="D63" s="177"/>
      <c r="E63" s="177">
        <v>20</v>
      </c>
      <c r="F63" s="180" t="s">
        <v>1862</v>
      </c>
      <c r="G63" s="180" t="s">
        <v>1863</v>
      </c>
      <c r="H63" s="389" t="s">
        <v>1937</v>
      </c>
      <c r="I63" s="216">
        <v>19570685</v>
      </c>
      <c r="J63" s="495" t="s">
        <v>154</v>
      </c>
      <c r="K63" s="245">
        <v>2</v>
      </c>
      <c r="L63" s="13">
        <f>50125-47227</f>
        <v>2898</v>
      </c>
      <c r="M63" s="184"/>
      <c r="N63" s="184"/>
      <c r="O63" s="103">
        <f t="shared" si="0"/>
        <v>2898</v>
      </c>
    </row>
    <row r="64" spans="1:15" ht="29.25">
      <c r="A64" s="305" t="s">
        <v>11</v>
      </c>
      <c r="B64" s="180" t="s">
        <v>12</v>
      </c>
      <c r="C64" s="177" t="s">
        <v>1938</v>
      </c>
      <c r="D64" s="176"/>
      <c r="E64" s="177"/>
      <c r="F64" s="180" t="s">
        <v>1862</v>
      </c>
      <c r="G64" s="180" t="s">
        <v>1863</v>
      </c>
      <c r="H64" s="389" t="s">
        <v>1939</v>
      </c>
      <c r="I64" s="217">
        <v>25466920</v>
      </c>
      <c r="J64" s="495" t="s">
        <v>154</v>
      </c>
      <c r="K64" s="245">
        <v>2</v>
      </c>
      <c r="L64" s="13">
        <f>85414-77188</f>
        <v>8226</v>
      </c>
      <c r="M64" s="184"/>
      <c r="N64" s="184"/>
      <c r="O64" s="103">
        <f t="shared" si="0"/>
        <v>8226</v>
      </c>
    </row>
    <row r="65" spans="1:15" ht="29.25">
      <c r="A65" s="305" t="s">
        <v>11</v>
      </c>
      <c r="B65" s="180" t="s">
        <v>12</v>
      </c>
      <c r="C65" s="177" t="s">
        <v>1940</v>
      </c>
      <c r="D65" s="176"/>
      <c r="E65" s="177"/>
      <c r="F65" s="180" t="s">
        <v>1862</v>
      </c>
      <c r="G65" s="180" t="s">
        <v>1863</v>
      </c>
      <c r="H65" s="389" t="s">
        <v>1941</v>
      </c>
      <c r="I65" s="216">
        <v>25937431</v>
      </c>
      <c r="J65" s="495" t="s">
        <v>154</v>
      </c>
      <c r="K65" s="245">
        <v>2</v>
      </c>
      <c r="L65" s="13">
        <f>35048-31995</f>
        <v>3053</v>
      </c>
      <c r="M65" s="184"/>
      <c r="N65" s="184"/>
      <c r="O65" s="103">
        <f t="shared" si="0"/>
        <v>3053</v>
      </c>
    </row>
    <row r="66" spans="1:15" ht="29.25">
      <c r="A66" s="305" t="s">
        <v>11</v>
      </c>
      <c r="B66" s="180" t="s">
        <v>12</v>
      </c>
      <c r="C66" s="177" t="s">
        <v>1942</v>
      </c>
      <c r="D66" s="176"/>
      <c r="E66" s="177"/>
      <c r="F66" s="180" t="s">
        <v>1862</v>
      </c>
      <c r="G66" s="180" t="s">
        <v>1863</v>
      </c>
      <c r="H66" s="389" t="s">
        <v>1943</v>
      </c>
      <c r="I66" s="216">
        <v>23455101</v>
      </c>
      <c r="J66" s="495" t="s">
        <v>154</v>
      </c>
      <c r="K66" s="245">
        <v>1</v>
      </c>
      <c r="L66" s="13">
        <f>7442-6171</f>
        <v>1271</v>
      </c>
      <c r="M66" s="184"/>
      <c r="N66" s="184"/>
      <c r="O66" s="103">
        <f t="shared" si="0"/>
        <v>1271</v>
      </c>
    </row>
    <row r="67" spans="1:15" ht="29.25">
      <c r="A67" s="305" t="s">
        <v>11</v>
      </c>
      <c r="B67" s="180" t="s">
        <v>12</v>
      </c>
      <c r="C67" s="177" t="s">
        <v>1944</v>
      </c>
      <c r="D67" s="176"/>
      <c r="E67" s="177"/>
      <c r="F67" s="180" t="s">
        <v>1862</v>
      </c>
      <c r="G67" s="180" t="s">
        <v>1863</v>
      </c>
      <c r="H67" s="389" t="s">
        <v>1945</v>
      </c>
      <c r="I67" s="216">
        <v>16948188</v>
      </c>
      <c r="J67" s="495" t="s">
        <v>154</v>
      </c>
      <c r="K67" s="245">
        <v>1</v>
      </c>
      <c r="L67" s="13">
        <f>23747-18359</f>
        <v>5388</v>
      </c>
      <c r="M67" s="184"/>
      <c r="N67" s="184"/>
      <c r="O67" s="103">
        <f t="shared" si="0"/>
        <v>5388</v>
      </c>
    </row>
    <row r="68" spans="1:15" ht="29.25">
      <c r="A68" s="305" t="s">
        <v>11</v>
      </c>
      <c r="B68" s="180" t="s">
        <v>12</v>
      </c>
      <c r="C68" s="177" t="s">
        <v>1946</v>
      </c>
      <c r="D68" s="176"/>
      <c r="E68" s="177"/>
      <c r="F68" s="180" t="s">
        <v>1862</v>
      </c>
      <c r="G68" s="180" t="s">
        <v>1863</v>
      </c>
      <c r="H68" s="389" t="s">
        <v>1947</v>
      </c>
      <c r="I68" s="216">
        <v>11205206</v>
      </c>
      <c r="J68" s="495" t="s">
        <v>154</v>
      </c>
      <c r="K68" s="245">
        <v>1</v>
      </c>
      <c r="L68" s="13">
        <f>12567-9294</f>
        <v>3273</v>
      </c>
      <c r="M68" s="184"/>
      <c r="N68" s="184"/>
      <c r="O68" s="103">
        <f t="shared" si="0"/>
        <v>3273</v>
      </c>
    </row>
    <row r="69" spans="1:15" ht="29.25">
      <c r="A69" s="305" t="s">
        <v>11</v>
      </c>
      <c r="B69" s="180" t="s">
        <v>12</v>
      </c>
      <c r="C69" s="177" t="s">
        <v>1948</v>
      </c>
      <c r="D69" s="176"/>
      <c r="E69" s="177"/>
      <c r="F69" s="180" t="s">
        <v>1862</v>
      </c>
      <c r="G69" s="180" t="s">
        <v>1863</v>
      </c>
      <c r="H69" s="389" t="s">
        <v>1949</v>
      </c>
      <c r="I69" s="216">
        <v>70542277</v>
      </c>
      <c r="J69" s="495" t="s">
        <v>154</v>
      </c>
      <c r="K69" s="245">
        <v>7</v>
      </c>
      <c r="L69" s="13">
        <f>45341-32572</f>
        <v>12769</v>
      </c>
      <c r="M69" s="184"/>
      <c r="N69" s="184"/>
      <c r="O69" s="103">
        <f t="shared" si="0"/>
        <v>12769</v>
      </c>
    </row>
    <row r="70" spans="1:15" ht="29.25">
      <c r="A70" s="305" t="s">
        <v>11</v>
      </c>
      <c r="B70" s="180" t="s">
        <v>12</v>
      </c>
      <c r="C70" s="177" t="s">
        <v>1946</v>
      </c>
      <c r="D70" s="176"/>
      <c r="E70" s="177"/>
      <c r="F70" s="180" t="s">
        <v>1862</v>
      </c>
      <c r="G70" s="180" t="s">
        <v>1863</v>
      </c>
      <c r="H70" s="389" t="s">
        <v>1950</v>
      </c>
      <c r="I70" s="216">
        <v>23422128</v>
      </c>
      <c r="J70" s="495" t="s">
        <v>154</v>
      </c>
      <c r="K70" s="245">
        <v>0.6</v>
      </c>
      <c r="L70" s="13">
        <f>4528-3771</f>
        <v>757</v>
      </c>
      <c r="M70" s="184"/>
      <c r="N70" s="184"/>
      <c r="O70" s="103">
        <f t="shared" si="0"/>
        <v>757</v>
      </c>
    </row>
    <row r="71" spans="1:15" ht="29.25">
      <c r="A71" s="305" t="s">
        <v>11</v>
      </c>
      <c r="B71" s="180" t="s">
        <v>12</v>
      </c>
      <c r="C71" s="177" t="s">
        <v>1951</v>
      </c>
      <c r="D71" s="176"/>
      <c r="E71" s="177">
        <v>2</v>
      </c>
      <c r="F71" s="180" t="s">
        <v>1862</v>
      </c>
      <c r="G71" s="180" t="s">
        <v>1863</v>
      </c>
      <c r="H71" s="389" t="s">
        <v>1952</v>
      </c>
      <c r="I71" s="216">
        <v>1567799</v>
      </c>
      <c r="J71" s="495" t="s">
        <v>154</v>
      </c>
      <c r="K71" s="245">
        <v>1.5</v>
      </c>
      <c r="L71" s="13">
        <f>6709-3460</f>
        <v>3249</v>
      </c>
      <c r="M71" s="184"/>
      <c r="N71" s="184"/>
      <c r="O71" s="103">
        <f t="shared" si="0"/>
        <v>3249</v>
      </c>
    </row>
    <row r="72" spans="1:15" ht="29.25">
      <c r="A72" s="305" t="s">
        <v>11</v>
      </c>
      <c r="B72" s="180" t="s">
        <v>12</v>
      </c>
      <c r="C72" s="177" t="s">
        <v>1953</v>
      </c>
      <c r="D72" s="176"/>
      <c r="E72" s="177"/>
      <c r="F72" s="180" t="s">
        <v>1862</v>
      </c>
      <c r="G72" s="180" t="s">
        <v>1863</v>
      </c>
      <c r="H72" s="389" t="s">
        <v>1954</v>
      </c>
      <c r="I72" s="216">
        <v>90904580</v>
      </c>
      <c r="J72" s="495" t="s">
        <v>154</v>
      </c>
      <c r="K72" s="245">
        <v>1.5</v>
      </c>
      <c r="L72" s="13">
        <f>91815-85383</f>
        <v>6432</v>
      </c>
      <c r="M72" s="184"/>
      <c r="N72" s="184"/>
      <c r="O72" s="103">
        <f t="shared" si="0"/>
        <v>6432</v>
      </c>
    </row>
    <row r="73" spans="1:15" ht="29.25">
      <c r="A73" s="305" t="s">
        <v>11</v>
      </c>
      <c r="B73" s="180" t="s">
        <v>12</v>
      </c>
      <c r="C73" s="177" t="s">
        <v>1953</v>
      </c>
      <c r="D73" s="176"/>
      <c r="E73" s="177"/>
      <c r="F73" s="180" t="s">
        <v>1862</v>
      </c>
      <c r="G73" s="180" t="s">
        <v>1863</v>
      </c>
      <c r="H73" s="389" t="s">
        <v>1955</v>
      </c>
      <c r="I73" s="216">
        <v>20549791</v>
      </c>
      <c r="J73" s="495" t="s">
        <v>154</v>
      </c>
      <c r="K73" s="245">
        <v>1.5</v>
      </c>
      <c r="L73" s="13">
        <f>33604-30367</f>
        <v>3237</v>
      </c>
      <c r="M73" s="184"/>
      <c r="N73" s="184"/>
      <c r="O73" s="103">
        <f t="shared" si="0"/>
        <v>3237</v>
      </c>
    </row>
    <row r="74" spans="1:15" ht="29.25">
      <c r="A74" s="305" t="s">
        <v>11</v>
      </c>
      <c r="B74" s="177" t="s">
        <v>12</v>
      </c>
      <c r="C74" s="177" t="s">
        <v>1951</v>
      </c>
      <c r="D74" s="176"/>
      <c r="E74" s="177" t="s">
        <v>146</v>
      </c>
      <c r="F74" s="180" t="s">
        <v>1862</v>
      </c>
      <c r="G74" s="180" t="s">
        <v>1863</v>
      </c>
      <c r="H74" s="389" t="s">
        <v>1956</v>
      </c>
      <c r="I74" s="216">
        <v>1567787</v>
      </c>
      <c r="J74" s="495" t="s">
        <v>154</v>
      </c>
      <c r="K74" s="245">
        <v>1.5</v>
      </c>
      <c r="L74" s="13">
        <f>7430-3686</f>
        <v>3744</v>
      </c>
      <c r="M74" s="184"/>
      <c r="N74" s="184"/>
      <c r="O74" s="103">
        <f t="shared" si="0"/>
        <v>3744</v>
      </c>
    </row>
    <row r="75" spans="1:15" ht="29.25">
      <c r="A75" s="277" t="s">
        <v>11</v>
      </c>
      <c r="B75" s="180" t="s">
        <v>12</v>
      </c>
      <c r="C75" s="188" t="s">
        <v>1957</v>
      </c>
      <c r="D75" s="53"/>
      <c r="E75" s="53"/>
      <c r="F75" s="180" t="s">
        <v>1862</v>
      </c>
      <c r="G75" s="180" t="s">
        <v>1863</v>
      </c>
      <c r="H75" s="389" t="s">
        <v>1958</v>
      </c>
      <c r="I75" s="53">
        <v>104027</v>
      </c>
      <c r="J75" s="495" t="s">
        <v>154</v>
      </c>
      <c r="K75" s="245">
        <v>2</v>
      </c>
      <c r="L75" s="13">
        <f>5322-3914</f>
        <v>1408</v>
      </c>
      <c r="M75" s="184"/>
      <c r="N75" s="184"/>
      <c r="O75" s="103">
        <f t="shared" si="0"/>
        <v>1408</v>
      </c>
    </row>
    <row r="76" spans="1:15" ht="29.25">
      <c r="A76" s="410" t="s">
        <v>11</v>
      </c>
      <c r="B76" s="363" t="s">
        <v>12</v>
      </c>
      <c r="C76" s="80" t="s">
        <v>1957</v>
      </c>
      <c r="D76" s="57"/>
      <c r="E76" s="57" t="s">
        <v>354</v>
      </c>
      <c r="F76" s="180" t="s">
        <v>1862</v>
      </c>
      <c r="G76" s="180" t="s">
        <v>1863</v>
      </c>
      <c r="H76" s="389" t="s">
        <v>1959</v>
      </c>
      <c r="I76" s="57">
        <v>1481166</v>
      </c>
      <c r="J76" s="495" t="s">
        <v>154</v>
      </c>
      <c r="K76" s="245">
        <v>1</v>
      </c>
      <c r="L76" s="13">
        <f>5427-3136</f>
        <v>2291</v>
      </c>
      <c r="M76" s="184"/>
      <c r="N76" s="184"/>
      <c r="O76" s="103">
        <f t="shared" si="0"/>
        <v>2291</v>
      </c>
    </row>
    <row r="77" spans="1:15" s="51" customFormat="1" ht="30" thickBot="1">
      <c r="A77" s="278" t="s">
        <v>11</v>
      </c>
      <c r="B77" s="642" t="s">
        <v>12</v>
      </c>
      <c r="C77" s="191" t="s">
        <v>1957</v>
      </c>
      <c r="D77" s="57"/>
      <c r="E77" s="56"/>
      <c r="F77" s="180" t="s">
        <v>1862</v>
      </c>
      <c r="G77" s="180" t="s">
        <v>1863</v>
      </c>
      <c r="H77" s="389" t="s">
        <v>1960</v>
      </c>
      <c r="I77" s="56">
        <v>24918460</v>
      </c>
      <c r="J77" s="495" t="s">
        <v>154</v>
      </c>
      <c r="K77" s="275">
        <v>2</v>
      </c>
      <c r="L77" s="13">
        <f>72918-66865</f>
        <v>6053</v>
      </c>
      <c r="M77" s="184"/>
      <c r="N77" s="184"/>
      <c r="O77" s="103">
        <f t="shared" si="0"/>
        <v>6053</v>
      </c>
    </row>
    <row r="78" spans="2:15" ht="24.75" customHeight="1">
      <c r="B78" s="643" t="s">
        <v>155</v>
      </c>
      <c r="C78" s="644" t="s">
        <v>1864</v>
      </c>
      <c r="D78" s="645"/>
      <c r="E78" s="639"/>
      <c r="F78" s="293"/>
      <c r="G78" s="570" t="s">
        <v>1998</v>
      </c>
      <c r="H78" s="633" t="s">
        <v>1864</v>
      </c>
      <c r="L78" s="20"/>
      <c r="M78" s="20"/>
      <c r="N78" s="20"/>
      <c r="O78" s="310">
        <f>SUM(O18:O77)</f>
        <v>304478</v>
      </c>
    </row>
    <row r="79" spans="2:16" ht="15">
      <c r="B79" s="296"/>
      <c r="C79" s="297" t="s">
        <v>1865</v>
      </c>
      <c r="D79" s="631"/>
      <c r="E79" s="639"/>
      <c r="F79" s="293"/>
      <c r="G79" s="640"/>
      <c r="H79" s="634" t="s">
        <v>1865</v>
      </c>
      <c r="M79" s="20"/>
      <c r="N79" s="20"/>
      <c r="O79" s="20"/>
      <c r="P79" s="20"/>
    </row>
    <row r="80" spans="2:16" ht="15.75" thickBot="1">
      <c r="B80" s="296"/>
      <c r="C80" s="297" t="s">
        <v>2011</v>
      </c>
      <c r="D80" s="631"/>
      <c r="E80" s="639"/>
      <c r="F80" s="293"/>
      <c r="G80" s="641"/>
      <c r="H80" s="636" t="s">
        <v>2011</v>
      </c>
      <c r="M80" s="20"/>
      <c r="N80" s="20"/>
      <c r="O80" s="20"/>
      <c r="P80" s="20"/>
    </row>
    <row r="81" spans="2:16" ht="15">
      <c r="B81" s="629" t="s">
        <v>1689</v>
      </c>
      <c r="C81" s="297">
        <v>8212394019</v>
      </c>
      <c r="D81" s="631"/>
      <c r="E81" s="639"/>
      <c r="F81" s="293"/>
      <c r="G81" s="281"/>
      <c r="H81" s="297"/>
      <c r="M81" s="20"/>
      <c r="N81" s="20"/>
      <c r="O81" s="20"/>
      <c r="P81" s="20"/>
    </row>
    <row r="82" spans="2:16" ht="15.75" thickBot="1">
      <c r="B82" s="637" t="s">
        <v>1693</v>
      </c>
      <c r="C82" s="561" t="s">
        <v>1866</v>
      </c>
      <c r="D82" s="638"/>
      <c r="E82" s="639"/>
      <c r="F82" s="639"/>
      <c r="G82" s="639"/>
      <c r="H82" s="639"/>
      <c r="M82" s="20"/>
      <c r="N82" s="20"/>
      <c r="O82" s="20"/>
      <c r="P82" s="20"/>
    </row>
    <row r="83" spans="2:16" ht="14.25">
      <c r="B83" s="307"/>
      <c r="C83" s="276"/>
      <c r="D83" s="308"/>
      <c r="M83" s="20"/>
      <c r="N83" s="20"/>
      <c r="O83" s="20"/>
      <c r="P83" s="20"/>
    </row>
    <row r="84" spans="13:16" ht="15" thickBot="1">
      <c r="M84" s="20"/>
      <c r="N84" s="20"/>
      <c r="O84" s="20"/>
      <c r="P84" s="20"/>
    </row>
    <row r="85" spans="11:16" ht="48" customHeight="1">
      <c r="K85" s="707" t="s">
        <v>157</v>
      </c>
      <c r="L85" s="702" t="s">
        <v>1034</v>
      </c>
      <c r="M85" s="703"/>
      <c r="N85" s="704"/>
      <c r="O85" s="713" t="s">
        <v>158</v>
      </c>
      <c r="P85" s="20"/>
    </row>
    <row r="86" spans="11:15" ht="23.25" customHeight="1" thickBot="1">
      <c r="K86" s="709"/>
      <c r="L86" s="130" t="s">
        <v>159</v>
      </c>
      <c r="M86" s="130" t="s">
        <v>1035</v>
      </c>
      <c r="N86" s="130" t="s">
        <v>1036</v>
      </c>
      <c r="O86" s="714"/>
    </row>
    <row r="87" spans="11:15" ht="23.25" customHeight="1" thickBot="1">
      <c r="K87" s="550" t="s">
        <v>154</v>
      </c>
      <c r="L87" s="17">
        <f>SUM(O18:O77)</f>
        <v>304478</v>
      </c>
      <c r="M87" s="551"/>
      <c r="N87" s="552"/>
      <c r="O87" s="546">
        <v>60</v>
      </c>
    </row>
    <row r="88" spans="11:15" ht="27" customHeight="1" thickBot="1">
      <c r="K88" s="348" t="s">
        <v>160</v>
      </c>
      <c r="L88" s="547">
        <f>SUM(L87:L87)</f>
        <v>304478</v>
      </c>
      <c r="M88" s="548">
        <f>SUM(M87:M87)</f>
        <v>0</v>
      </c>
      <c r="N88" s="549">
        <f>SUM(N87:N87)</f>
        <v>0</v>
      </c>
      <c r="O88" s="354">
        <f>SUM(O87:O87)</f>
        <v>60</v>
      </c>
    </row>
    <row r="89" spans="12:15" ht="27" customHeight="1" thickBot="1">
      <c r="L89" s="20" t="s">
        <v>161</v>
      </c>
      <c r="M89" s="346">
        <f>SUM(L88:N88)</f>
        <v>304478</v>
      </c>
      <c r="N89" s="2"/>
      <c r="O89" s="2"/>
    </row>
  </sheetData>
  <sheetProtection/>
  <mergeCells count="19">
    <mergeCell ref="K85:K86"/>
    <mergeCell ref="L85:N85"/>
    <mergeCell ref="O85:O86"/>
    <mergeCell ref="H15:H17"/>
    <mergeCell ref="I15:I17"/>
    <mergeCell ref="J15:J17"/>
    <mergeCell ref="K15:K17"/>
    <mergeCell ref="L15:O15"/>
    <mergeCell ref="L16:O16"/>
    <mergeCell ref="B1:K1"/>
    <mergeCell ref="B3:J3"/>
    <mergeCell ref="B5:J5"/>
    <mergeCell ref="A15:A17"/>
    <mergeCell ref="B15:B17"/>
    <mergeCell ref="C15:C17"/>
    <mergeCell ref="D15:D17"/>
    <mergeCell ref="E15:E17"/>
    <mergeCell ref="F15:F17"/>
    <mergeCell ref="G15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9"/>
  <sheetViews>
    <sheetView zoomScale="80" zoomScaleNormal="80" zoomScalePageLayoutView="0" workbookViewId="0" topLeftCell="A112">
      <selection activeCell="B132" sqref="B132"/>
    </sheetView>
  </sheetViews>
  <sheetFormatPr defaultColWidth="8.796875" defaultRowHeight="14.25"/>
  <cols>
    <col min="1" max="1" width="12.19921875" style="1" customWidth="1"/>
    <col min="2" max="2" width="16.19921875" style="0" customWidth="1"/>
    <col min="3" max="3" width="12.8984375" style="0" customWidth="1"/>
    <col min="4" max="4" width="15.59765625" style="0" customWidth="1"/>
    <col min="5" max="5" width="9.8984375" style="0" customWidth="1"/>
    <col min="6" max="6" width="11.5" style="0" customWidth="1"/>
    <col min="7" max="7" width="15.69921875" style="0" customWidth="1"/>
    <col min="8" max="8" width="26.3984375" style="0" customWidth="1"/>
    <col min="9" max="9" width="26.09765625" style="0" customWidth="1"/>
    <col min="10" max="10" width="14.69921875" style="0" customWidth="1"/>
    <col min="11" max="11" width="10.09765625" style="0" customWidth="1"/>
    <col min="12" max="12" width="13.8984375" style="0" customWidth="1"/>
    <col min="13" max="13" width="14.59765625" style="0" customWidth="1"/>
    <col min="14" max="14" width="15.3984375" style="0" customWidth="1"/>
    <col min="15" max="15" width="15.69921875" style="0" customWidth="1"/>
    <col min="16" max="16" width="18.09765625" style="0" customWidth="1"/>
    <col min="17" max="17" width="17.3984375" style="0" customWidth="1"/>
    <col min="18" max="18" width="16.3984375" style="0" customWidth="1"/>
    <col min="19" max="19" width="15.69921875" style="0" customWidth="1"/>
    <col min="20" max="20" width="24.69921875" style="0" customWidth="1"/>
    <col min="21" max="21" width="22.69921875" style="0" customWidth="1"/>
  </cols>
  <sheetData>
    <row r="1" spans="1:15" ht="18">
      <c r="A1"/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  <c r="M1" s="1"/>
      <c r="O1" s="2"/>
    </row>
    <row r="2" spans="1:15" ht="15">
      <c r="A2"/>
      <c r="B2" s="222"/>
      <c r="C2" s="222"/>
      <c r="D2" s="222"/>
      <c r="E2" s="222"/>
      <c r="F2" s="222"/>
      <c r="G2" s="222"/>
      <c r="H2" s="223"/>
      <c r="I2" s="224"/>
      <c r="J2" s="222"/>
      <c r="K2" s="222"/>
      <c r="M2" s="1"/>
      <c r="O2" s="2"/>
    </row>
    <row r="3" spans="1:15" ht="27.75" customHeight="1">
      <c r="A3"/>
      <c r="B3" s="673" t="s">
        <v>1058</v>
      </c>
      <c r="C3" s="674"/>
      <c r="D3" s="674"/>
      <c r="E3" s="674"/>
      <c r="F3" s="674"/>
      <c r="G3" s="674"/>
      <c r="H3" s="674"/>
      <c r="I3" s="674"/>
      <c r="J3" s="675"/>
      <c r="K3" s="222"/>
      <c r="M3" s="1"/>
      <c r="O3" s="2"/>
    </row>
    <row r="4" spans="1:15" ht="20.25">
      <c r="A4"/>
      <c r="B4" s="223"/>
      <c r="C4" s="223"/>
      <c r="D4" s="223"/>
      <c r="E4" s="223"/>
      <c r="F4" s="223"/>
      <c r="G4" s="223"/>
      <c r="H4" s="223"/>
      <c r="I4" s="224"/>
      <c r="J4" s="222"/>
      <c r="K4" s="231"/>
      <c r="L4" s="3"/>
      <c r="M4" s="1"/>
      <c r="O4" s="2"/>
    </row>
    <row r="5" spans="1:15" ht="20.25">
      <c r="A5"/>
      <c r="B5" s="679" t="s">
        <v>1060</v>
      </c>
      <c r="C5" s="679"/>
      <c r="D5" s="679"/>
      <c r="E5" s="679"/>
      <c r="F5" s="679"/>
      <c r="G5" s="679"/>
      <c r="H5" s="679"/>
      <c r="I5" s="679"/>
      <c r="J5" s="679"/>
      <c r="K5" s="231"/>
      <c r="L5" s="3"/>
      <c r="M5" s="1"/>
      <c r="O5" s="2"/>
    </row>
    <row r="6" spans="1:15" ht="20.25">
      <c r="A6"/>
      <c r="B6" s="223"/>
      <c r="C6" s="223"/>
      <c r="D6" s="223"/>
      <c r="E6" s="223"/>
      <c r="F6" s="223"/>
      <c r="G6" s="223"/>
      <c r="H6" s="679" t="s">
        <v>1059</v>
      </c>
      <c r="I6" s="679"/>
      <c r="J6" s="679"/>
      <c r="K6" s="231"/>
      <c r="L6" s="3"/>
      <c r="M6" s="1"/>
      <c r="O6" s="2"/>
    </row>
    <row r="7" spans="1:15" ht="20.25">
      <c r="A7"/>
      <c r="B7" s="223"/>
      <c r="C7" s="223"/>
      <c r="D7" s="223"/>
      <c r="E7" s="223"/>
      <c r="F7" s="223"/>
      <c r="G7" s="223"/>
      <c r="H7" s="679" t="s">
        <v>1061</v>
      </c>
      <c r="I7" s="679"/>
      <c r="J7" s="679"/>
      <c r="K7" s="231"/>
      <c r="L7" s="3"/>
      <c r="M7" s="1"/>
      <c r="O7" s="2"/>
    </row>
    <row r="8" spans="1:15" ht="20.25">
      <c r="A8"/>
      <c r="B8" s="225" t="s">
        <v>967</v>
      </c>
      <c r="C8" s="222"/>
      <c r="D8" s="223"/>
      <c r="E8" s="223"/>
      <c r="F8" s="223"/>
      <c r="G8" s="222"/>
      <c r="H8" s="223"/>
      <c r="I8" s="224"/>
      <c r="J8" s="222"/>
      <c r="K8" s="231"/>
      <c r="L8" s="3"/>
      <c r="M8" s="1"/>
      <c r="O8" s="2"/>
    </row>
    <row r="9" spans="1:15" ht="15">
      <c r="A9"/>
      <c r="B9" s="528" t="s">
        <v>1986</v>
      </c>
      <c r="C9" s="222"/>
      <c r="D9" s="223"/>
      <c r="E9" s="223"/>
      <c r="F9" s="223"/>
      <c r="G9" s="222"/>
      <c r="H9" s="223"/>
      <c r="I9" s="224"/>
      <c r="J9" s="222"/>
      <c r="K9" s="222"/>
      <c r="M9" s="1"/>
      <c r="O9" s="2"/>
    </row>
    <row r="10" spans="1:15" ht="15.75">
      <c r="A10"/>
      <c r="B10" s="226" t="s">
        <v>1828</v>
      </c>
      <c r="C10" s="222"/>
      <c r="D10" s="227"/>
      <c r="E10" s="223"/>
      <c r="F10" s="223"/>
      <c r="G10" s="222"/>
      <c r="H10" s="223"/>
      <c r="I10" s="224"/>
      <c r="J10" s="222"/>
      <c r="K10" s="222"/>
      <c r="M10" s="1"/>
      <c r="O10" s="2"/>
    </row>
    <row r="11" spans="1:15" ht="15.75">
      <c r="A11"/>
      <c r="B11" s="226" t="s">
        <v>1681</v>
      </c>
      <c r="C11" s="222"/>
      <c r="D11" s="227"/>
      <c r="E11" s="223"/>
      <c r="F11" s="223"/>
      <c r="G11" s="222"/>
      <c r="H11" s="223"/>
      <c r="I11" s="224"/>
      <c r="J11" s="222"/>
      <c r="K11" s="222"/>
      <c r="M11" s="1"/>
      <c r="O11" s="2"/>
    </row>
    <row r="12" spans="1:15" ht="15">
      <c r="A12"/>
      <c r="B12" s="222" t="s">
        <v>1047</v>
      </c>
      <c r="C12" s="222"/>
      <c r="D12" s="222"/>
      <c r="E12" s="222"/>
      <c r="F12" s="222"/>
      <c r="G12" s="222"/>
      <c r="H12" s="223"/>
      <c r="I12" s="224"/>
      <c r="J12" s="222"/>
      <c r="K12" s="222"/>
      <c r="M12" s="1"/>
      <c r="O12" s="2"/>
    </row>
    <row r="13" spans="1:15" ht="15.75">
      <c r="A13"/>
      <c r="B13" s="228" t="s">
        <v>1030</v>
      </c>
      <c r="C13" s="229" t="s">
        <v>1031</v>
      </c>
      <c r="D13" s="227"/>
      <c r="E13" s="227"/>
      <c r="F13" s="227"/>
      <c r="G13" s="227"/>
      <c r="H13" s="230"/>
      <c r="I13" s="222"/>
      <c r="J13" s="222"/>
      <c r="K13" s="222"/>
      <c r="M13" s="1"/>
      <c r="O13" s="2"/>
    </row>
    <row r="14" spans="1:15" ht="15.75">
      <c r="A14"/>
      <c r="B14" s="228" t="s">
        <v>1032</v>
      </c>
      <c r="C14" s="225" t="s">
        <v>1033</v>
      </c>
      <c r="D14" s="227"/>
      <c r="E14" s="227"/>
      <c r="F14" s="227"/>
      <c r="G14" s="227"/>
      <c r="H14" s="230"/>
      <c r="I14" s="222"/>
      <c r="J14" s="222"/>
      <c r="K14" s="222"/>
      <c r="M14" s="1"/>
      <c r="O14" s="2"/>
    </row>
    <row r="15" spans="1:15" ht="13.5" customHeight="1">
      <c r="A15"/>
      <c r="B15" s="128"/>
      <c r="C15" s="115"/>
      <c r="D15" s="31"/>
      <c r="E15" s="31"/>
      <c r="F15" s="31"/>
      <c r="G15" s="31"/>
      <c r="H15" s="129"/>
      <c r="I15" s="116"/>
      <c r="J15" s="116"/>
      <c r="M15" s="1"/>
      <c r="O15" s="2"/>
    </row>
    <row r="16" spans="1:15" ht="14.25">
      <c r="A16" s="88"/>
      <c r="B16" s="31"/>
      <c r="C16" s="31"/>
      <c r="D16" s="701" t="s">
        <v>1062</v>
      </c>
      <c r="E16" s="701"/>
      <c r="F16" s="31"/>
      <c r="G16" s="31"/>
      <c r="H16" s="31"/>
      <c r="I16" s="31"/>
      <c r="J16" s="31"/>
      <c r="M16" s="1"/>
      <c r="O16" s="2"/>
    </row>
    <row r="17" spans="1:15" ht="15" customHeight="1" thickBot="1">
      <c r="A17" s="88"/>
      <c r="B17" s="31"/>
      <c r="C17" s="31"/>
      <c r="D17" s="701"/>
      <c r="E17" s="701"/>
      <c r="F17" s="31"/>
      <c r="G17" s="31"/>
      <c r="H17" s="31"/>
      <c r="I17" s="31"/>
      <c r="J17" s="31"/>
      <c r="M17" s="1"/>
      <c r="O17" s="2"/>
    </row>
    <row r="18" spans="1:15" ht="40.5" customHeight="1">
      <c r="A18" s="707" t="s">
        <v>0</v>
      </c>
      <c r="B18" s="676" t="s">
        <v>993</v>
      </c>
      <c r="C18" s="680" t="s">
        <v>2</v>
      </c>
      <c r="D18" s="680" t="s">
        <v>3</v>
      </c>
      <c r="E18" s="686" t="s">
        <v>1038</v>
      </c>
      <c r="F18" s="686" t="s">
        <v>5</v>
      </c>
      <c r="G18" s="680" t="s">
        <v>6</v>
      </c>
      <c r="H18" s="686" t="s">
        <v>7</v>
      </c>
      <c r="I18" s="686" t="s">
        <v>753</v>
      </c>
      <c r="J18" s="686" t="s">
        <v>157</v>
      </c>
      <c r="K18" s="692" t="s">
        <v>992</v>
      </c>
      <c r="L18" s="683" t="s">
        <v>1039</v>
      </c>
      <c r="M18" s="684"/>
      <c r="N18" s="684"/>
      <c r="O18" s="685"/>
    </row>
    <row r="19" spans="1:15" ht="39" customHeight="1">
      <c r="A19" s="708"/>
      <c r="B19" s="677"/>
      <c r="C19" s="681"/>
      <c r="D19" s="681"/>
      <c r="E19" s="687"/>
      <c r="F19" s="687"/>
      <c r="G19" s="681"/>
      <c r="H19" s="687"/>
      <c r="I19" s="699"/>
      <c r="J19" s="687"/>
      <c r="K19" s="693"/>
      <c r="L19" s="689" t="s">
        <v>1040</v>
      </c>
      <c r="M19" s="690"/>
      <c r="N19" s="690"/>
      <c r="O19" s="691"/>
    </row>
    <row r="20" spans="1:15" ht="33" customHeight="1" thickBot="1">
      <c r="A20" s="709"/>
      <c r="B20" s="678"/>
      <c r="C20" s="682"/>
      <c r="D20" s="682"/>
      <c r="E20" s="688"/>
      <c r="F20" s="688"/>
      <c r="G20" s="682"/>
      <c r="H20" s="688"/>
      <c r="I20" s="700"/>
      <c r="J20" s="688"/>
      <c r="K20" s="694"/>
      <c r="L20" s="136" t="s">
        <v>1041</v>
      </c>
      <c r="M20" s="137" t="s">
        <v>1035</v>
      </c>
      <c r="N20" s="137" t="s">
        <v>1036</v>
      </c>
      <c r="O20" s="138" t="s">
        <v>10</v>
      </c>
    </row>
    <row r="21" spans="1:15" ht="30.75">
      <c r="A21" s="280" t="s">
        <v>11</v>
      </c>
      <c r="B21" s="5" t="s">
        <v>12</v>
      </c>
      <c r="C21" s="6" t="s">
        <v>14</v>
      </c>
      <c r="D21" s="6"/>
      <c r="E21" s="6">
        <v>21</v>
      </c>
      <c r="F21" s="6" t="s">
        <v>13</v>
      </c>
      <c r="G21" s="6" t="s">
        <v>14</v>
      </c>
      <c r="H21" s="420" t="s">
        <v>15</v>
      </c>
      <c r="I21" s="242">
        <v>41061</v>
      </c>
      <c r="J21" s="7" t="s">
        <v>16</v>
      </c>
      <c r="K21" s="8">
        <v>1.3</v>
      </c>
      <c r="L21" s="9"/>
      <c r="M21" s="10">
        <f>8784-7127</f>
        <v>1657</v>
      </c>
      <c r="N21" s="10">
        <f>25509-21410</f>
        <v>4099</v>
      </c>
      <c r="O21" s="10">
        <f>SUM(M21:N21)</f>
        <v>5756</v>
      </c>
    </row>
    <row r="22" spans="1:15" ht="30.75">
      <c r="A22" s="280" t="s">
        <v>11</v>
      </c>
      <c r="B22" s="5" t="s">
        <v>12</v>
      </c>
      <c r="C22" s="6" t="s">
        <v>14</v>
      </c>
      <c r="D22" s="6"/>
      <c r="E22" s="6">
        <v>46</v>
      </c>
      <c r="F22" s="6" t="s">
        <v>13</v>
      </c>
      <c r="G22" s="6" t="s">
        <v>14</v>
      </c>
      <c r="H22" s="420" t="s">
        <v>17</v>
      </c>
      <c r="I22" s="242">
        <v>41434</v>
      </c>
      <c r="J22" s="7" t="s">
        <v>16</v>
      </c>
      <c r="K22" s="8">
        <v>2.2</v>
      </c>
      <c r="L22" s="9"/>
      <c r="M22" s="10">
        <f>17419-14070</f>
        <v>3349</v>
      </c>
      <c r="N22" s="10">
        <f>25379-21197</f>
        <v>4182</v>
      </c>
      <c r="O22" s="10">
        <f aca="true" t="shared" si="0" ref="O22:O85">SUM(M22:N22)</f>
        <v>7531</v>
      </c>
    </row>
    <row r="23" spans="1:15" ht="30.75">
      <c r="A23" s="280" t="s">
        <v>11</v>
      </c>
      <c r="B23" s="5" t="s">
        <v>12</v>
      </c>
      <c r="C23" s="6" t="s">
        <v>18</v>
      </c>
      <c r="D23" s="6"/>
      <c r="E23" s="6">
        <v>1</v>
      </c>
      <c r="F23" s="6" t="s">
        <v>19</v>
      </c>
      <c r="G23" s="6" t="s">
        <v>20</v>
      </c>
      <c r="H23" s="420" t="s">
        <v>21</v>
      </c>
      <c r="I23" s="242">
        <v>40405</v>
      </c>
      <c r="J23" s="7" t="s">
        <v>16</v>
      </c>
      <c r="K23" s="8">
        <v>6.6</v>
      </c>
      <c r="L23" s="9"/>
      <c r="M23" s="10">
        <f>18656-15484</f>
        <v>3172</v>
      </c>
      <c r="N23" s="10">
        <f>82020-67428</f>
        <v>14592</v>
      </c>
      <c r="O23" s="10">
        <f t="shared" si="0"/>
        <v>17764</v>
      </c>
    </row>
    <row r="24" spans="1:15" ht="30.75">
      <c r="A24" s="280" t="s">
        <v>11</v>
      </c>
      <c r="B24" s="5" t="s">
        <v>12</v>
      </c>
      <c r="C24" s="6" t="s">
        <v>18</v>
      </c>
      <c r="D24" s="6"/>
      <c r="E24" s="6"/>
      <c r="F24" s="6" t="s">
        <v>19</v>
      </c>
      <c r="G24" s="6" t="s">
        <v>20</v>
      </c>
      <c r="H24" s="420" t="s">
        <v>22</v>
      </c>
      <c r="I24" s="242">
        <v>41433</v>
      </c>
      <c r="J24" s="7" t="s">
        <v>16</v>
      </c>
      <c r="K24" s="8">
        <v>3</v>
      </c>
      <c r="L24" s="9"/>
      <c r="M24" s="10">
        <f>11863-9203</f>
        <v>2660</v>
      </c>
      <c r="N24" s="10">
        <f>36538-29726</f>
        <v>6812</v>
      </c>
      <c r="O24" s="10">
        <f t="shared" si="0"/>
        <v>9472</v>
      </c>
    </row>
    <row r="25" spans="1:15" ht="30.75">
      <c r="A25" s="280" t="s">
        <v>11</v>
      </c>
      <c r="B25" s="5" t="s">
        <v>12</v>
      </c>
      <c r="C25" s="6" t="s">
        <v>23</v>
      </c>
      <c r="D25" s="6"/>
      <c r="E25" s="6">
        <v>15</v>
      </c>
      <c r="F25" s="6" t="s">
        <v>13</v>
      </c>
      <c r="G25" s="6" t="s">
        <v>14</v>
      </c>
      <c r="H25" s="420" t="s">
        <v>24</v>
      </c>
      <c r="I25" s="242">
        <v>41435</v>
      </c>
      <c r="J25" s="7" t="s">
        <v>16</v>
      </c>
      <c r="K25" s="8">
        <v>2.2</v>
      </c>
      <c r="L25" s="9"/>
      <c r="M25" s="10">
        <f>4890-3669</f>
        <v>1221</v>
      </c>
      <c r="N25" s="10">
        <f>15343-11992</f>
        <v>3351</v>
      </c>
      <c r="O25" s="10">
        <f t="shared" si="0"/>
        <v>4572</v>
      </c>
    </row>
    <row r="26" spans="1:15" ht="30.75">
      <c r="A26" s="280" t="s">
        <v>11</v>
      </c>
      <c r="B26" s="5" t="s">
        <v>12</v>
      </c>
      <c r="C26" s="6" t="s">
        <v>14</v>
      </c>
      <c r="D26" s="6"/>
      <c r="E26" s="6" t="s">
        <v>146</v>
      </c>
      <c r="F26" s="6" t="s">
        <v>13</v>
      </c>
      <c r="G26" s="6" t="s">
        <v>14</v>
      </c>
      <c r="H26" s="420" t="s">
        <v>25</v>
      </c>
      <c r="I26" s="242">
        <v>41436</v>
      </c>
      <c r="J26" s="7" t="s">
        <v>16</v>
      </c>
      <c r="K26" s="8">
        <v>0.3</v>
      </c>
      <c r="L26" s="9"/>
      <c r="M26" s="10">
        <f>1750-1405</f>
        <v>345</v>
      </c>
      <c r="N26" s="10">
        <f>5786-4763</f>
        <v>1023</v>
      </c>
      <c r="O26" s="10">
        <f t="shared" si="0"/>
        <v>1368</v>
      </c>
    </row>
    <row r="27" spans="1:15" ht="30.75">
      <c r="A27" s="280" t="s">
        <v>11</v>
      </c>
      <c r="B27" s="5" t="s">
        <v>12</v>
      </c>
      <c r="C27" s="6" t="s">
        <v>1554</v>
      </c>
      <c r="D27" s="6"/>
      <c r="E27" s="6" t="s">
        <v>686</v>
      </c>
      <c r="F27" s="6" t="s">
        <v>13</v>
      </c>
      <c r="G27" s="6" t="s">
        <v>14</v>
      </c>
      <c r="H27" s="420" t="s">
        <v>26</v>
      </c>
      <c r="I27" s="242">
        <v>41057</v>
      </c>
      <c r="J27" s="7" t="s">
        <v>16</v>
      </c>
      <c r="K27" s="8">
        <v>2.2</v>
      </c>
      <c r="L27" s="9"/>
      <c r="M27" s="10">
        <f>6887-5523</f>
        <v>1364</v>
      </c>
      <c r="N27" s="10">
        <f>20773-17278</f>
        <v>3495</v>
      </c>
      <c r="O27" s="10">
        <f t="shared" si="0"/>
        <v>4859</v>
      </c>
    </row>
    <row r="28" spans="1:15" ht="30.75">
      <c r="A28" s="280" t="s">
        <v>11</v>
      </c>
      <c r="B28" s="5" t="s">
        <v>12</v>
      </c>
      <c r="C28" s="6" t="s">
        <v>27</v>
      </c>
      <c r="D28" s="6"/>
      <c r="E28" s="6"/>
      <c r="F28" s="6" t="s">
        <v>13</v>
      </c>
      <c r="G28" s="6" t="s">
        <v>14</v>
      </c>
      <c r="H28" s="420" t="s">
        <v>28</v>
      </c>
      <c r="I28" s="242">
        <v>41053</v>
      </c>
      <c r="J28" s="7" t="s">
        <v>16</v>
      </c>
      <c r="K28" s="8">
        <v>2.2</v>
      </c>
      <c r="L28" s="9"/>
      <c r="M28" s="10">
        <f>10864-8784</f>
        <v>2080</v>
      </c>
      <c r="N28" s="10">
        <f>33579-28014</f>
        <v>5565</v>
      </c>
      <c r="O28" s="10">
        <f t="shared" si="0"/>
        <v>7645</v>
      </c>
    </row>
    <row r="29" spans="1:15" ht="30.75">
      <c r="A29" s="280" t="s">
        <v>11</v>
      </c>
      <c r="B29" s="5" t="s">
        <v>12</v>
      </c>
      <c r="C29" s="6" t="s">
        <v>29</v>
      </c>
      <c r="D29" s="6"/>
      <c r="E29" s="6" t="s">
        <v>146</v>
      </c>
      <c r="F29" s="6" t="s">
        <v>19</v>
      </c>
      <c r="G29" s="6" t="s">
        <v>20</v>
      </c>
      <c r="H29" s="420" t="s">
        <v>30</v>
      </c>
      <c r="I29" s="242">
        <v>41196</v>
      </c>
      <c r="J29" s="7" t="s">
        <v>16</v>
      </c>
      <c r="K29" s="8">
        <v>2.2</v>
      </c>
      <c r="L29" s="9"/>
      <c r="M29" s="10">
        <f>8010-6401</f>
        <v>1609</v>
      </c>
      <c r="N29" s="10">
        <f>23890-19849</f>
        <v>4041</v>
      </c>
      <c r="O29" s="10">
        <f t="shared" si="0"/>
        <v>5650</v>
      </c>
    </row>
    <row r="30" spans="1:15" ht="30.75">
      <c r="A30" s="280" t="s">
        <v>11</v>
      </c>
      <c r="B30" s="5" t="s">
        <v>12</v>
      </c>
      <c r="C30" s="6" t="s">
        <v>29</v>
      </c>
      <c r="D30" s="6"/>
      <c r="E30" s="6" t="s">
        <v>686</v>
      </c>
      <c r="F30" s="6" t="s">
        <v>19</v>
      </c>
      <c r="G30" s="6" t="s">
        <v>20</v>
      </c>
      <c r="H30" s="420" t="s">
        <v>31</v>
      </c>
      <c r="I30" s="242">
        <v>41052</v>
      </c>
      <c r="J30" s="7" t="s">
        <v>16</v>
      </c>
      <c r="K30" s="8">
        <v>2.2</v>
      </c>
      <c r="L30" s="9"/>
      <c r="M30" s="10">
        <f>8188-6388</f>
        <v>1800</v>
      </c>
      <c r="N30" s="10">
        <f>25854-20903</f>
        <v>4951</v>
      </c>
      <c r="O30" s="10">
        <f t="shared" si="0"/>
        <v>6751</v>
      </c>
    </row>
    <row r="31" spans="1:15" ht="30.75">
      <c r="A31" s="280" t="s">
        <v>11</v>
      </c>
      <c r="B31" s="5" t="s">
        <v>12</v>
      </c>
      <c r="C31" s="6" t="s">
        <v>29</v>
      </c>
      <c r="D31" s="6"/>
      <c r="E31" s="6" t="s">
        <v>878</v>
      </c>
      <c r="F31" s="6" t="s">
        <v>19</v>
      </c>
      <c r="G31" s="6" t="s">
        <v>20</v>
      </c>
      <c r="H31" s="420" t="s">
        <v>32</v>
      </c>
      <c r="I31" s="242">
        <v>41438</v>
      </c>
      <c r="J31" s="7" t="s">
        <v>16</v>
      </c>
      <c r="K31" s="8">
        <v>2.2</v>
      </c>
      <c r="L31" s="9"/>
      <c r="M31" s="10">
        <f>3612-2905</f>
        <v>707</v>
      </c>
      <c r="N31" s="10">
        <f>10746-8964</f>
        <v>1782</v>
      </c>
      <c r="O31" s="10">
        <f t="shared" si="0"/>
        <v>2489</v>
      </c>
    </row>
    <row r="32" spans="1:15" ht="30.75">
      <c r="A32" s="280" t="s">
        <v>11</v>
      </c>
      <c r="B32" s="5" t="s">
        <v>12</v>
      </c>
      <c r="C32" s="6" t="s">
        <v>33</v>
      </c>
      <c r="D32" s="6"/>
      <c r="E32" s="6"/>
      <c r="F32" s="6" t="s">
        <v>13</v>
      </c>
      <c r="G32" s="6" t="s">
        <v>14</v>
      </c>
      <c r="H32" s="420" t="s">
        <v>34</v>
      </c>
      <c r="I32" s="242">
        <v>41054</v>
      </c>
      <c r="J32" s="7" t="s">
        <v>16</v>
      </c>
      <c r="K32" s="8">
        <v>0.8</v>
      </c>
      <c r="L32" s="9"/>
      <c r="M32" s="10">
        <f>4929-3913</f>
        <v>1016</v>
      </c>
      <c r="N32" s="10">
        <f>14967-12310</f>
        <v>2657</v>
      </c>
      <c r="O32" s="10">
        <f t="shared" si="0"/>
        <v>3673</v>
      </c>
    </row>
    <row r="33" spans="1:15" ht="30.75">
      <c r="A33" s="280" t="s">
        <v>11</v>
      </c>
      <c r="B33" s="5" t="s">
        <v>12</v>
      </c>
      <c r="C33" s="6" t="s">
        <v>35</v>
      </c>
      <c r="D33" s="6"/>
      <c r="E33" s="6"/>
      <c r="F33" s="6" t="s">
        <v>13</v>
      </c>
      <c r="G33" s="6" t="s">
        <v>14</v>
      </c>
      <c r="H33" s="420" t="s">
        <v>36</v>
      </c>
      <c r="I33" s="242">
        <v>41055</v>
      </c>
      <c r="J33" s="7" t="s">
        <v>16</v>
      </c>
      <c r="K33" s="8">
        <v>2.2</v>
      </c>
      <c r="L33" s="9"/>
      <c r="M33" s="10">
        <f>11470-9244</f>
        <v>2226</v>
      </c>
      <c r="N33" s="10">
        <f>32807-27204</f>
        <v>5603</v>
      </c>
      <c r="O33" s="10">
        <f t="shared" si="0"/>
        <v>7829</v>
      </c>
    </row>
    <row r="34" spans="1:15" ht="30.75">
      <c r="A34" s="280" t="s">
        <v>11</v>
      </c>
      <c r="B34" s="5" t="s">
        <v>12</v>
      </c>
      <c r="C34" s="6" t="s">
        <v>35</v>
      </c>
      <c r="D34" s="6"/>
      <c r="E34" s="6">
        <v>5</v>
      </c>
      <c r="F34" s="6" t="s">
        <v>13</v>
      </c>
      <c r="G34" s="6" t="s">
        <v>14</v>
      </c>
      <c r="H34" s="420" t="s">
        <v>37</v>
      </c>
      <c r="I34" s="242">
        <v>41440</v>
      </c>
      <c r="J34" s="7" t="s">
        <v>16</v>
      </c>
      <c r="K34" s="8">
        <v>2.2</v>
      </c>
      <c r="L34" s="9"/>
      <c r="M34" s="10">
        <f>6258-4929</f>
        <v>1329</v>
      </c>
      <c r="N34" s="10">
        <f>17564-14515</f>
        <v>3049</v>
      </c>
      <c r="O34" s="10">
        <f t="shared" si="0"/>
        <v>4378</v>
      </c>
    </row>
    <row r="35" spans="1:15" ht="30.75">
      <c r="A35" s="280" t="s">
        <v>11</v>
      </c>
      <c r="B35" s="5" t="s">
        <v>12</v>
      </c>
      <c r="C35" s="6" t="s">
        <v>39</v>
      </c>
      <c r="D35" s="6"/>
      <c r="E35" s="6">
        <v>80</v>
      </c>
      <c r="F35" s="6" t="s">
        <v>13</v>
      </c>
      <c r="G35" s="6" t="s">
        <v>14</v>
      </c>
      <c r="H35" s="420" t="s">
        <v>38</v>
      </c>
      <c r="I35" s="242">
        <v>41439</v>
      </c>
      <c r="J35" s="7" t="s">
        <v>16</v>
      </c>
      <c r="K35" s="8">
        <v>2.2</v>
      </c>
      <c r="L35" s="9"/>
      <c r="M35" s="10">
        <f>2893-2350</f>
        <v>543</v>
      </c>
      <c r="N35" s="10">
        <f>8482-7109</f>
        <v>1373</v>
      </c>
      <c r="O35" s="10">
        <f t="shared" si="0"/>
        <v>1916</v>
      </c>
    </row>
    <row r="36" spans="1:15" ht="30.75">
      <c r="A36" s="280" t="s">
        <v>11</v>
      </c>
      <c r="B36" s="5" t="s">
        <v>12</v>
      </c>
      <c r="C36" s="6" t="s">
        <v>39</v>
      </c>
      <c r="D36" s="6"/>
      <c r="E36" s="6">
        <v>3</v>
      </c>
      <c r="F36" s="6" t="s">
        <v>13</v>
      </c>
      <c r="G36" s="6" t="s">
        <v>14</v>
      </c>
      <c r="H36" s="420" t="s">
        <v>40</v>
      </c>
      <c r="I36" s="242">
        <v>41437</v>
      </c>
      <c r="J36" s="7" t="s">
        <v>16</v>
      </c>
      <c r="K36" s="8">
        <v>2.2</v>
      </c>
      <c r="L36" s="9"/>
      <c r="M36" s="10">
        <f>6384-5155</f>
        <v>1229</v>
      </c>
      <c r="N36" s="10">
        <f>18909-15808</f>
        <v>3101</v>
      </c>
      <c r="O36" s="10">
        <f t="shared" si="0"/>
        <v>4330</v>
      </c>
    </row>
    <row r="37" spans="1:15" ht="30.75">
      <c r="A37" s="280" t="s">
        <v>11</v>
      </c>
      <c r="B37" s="5" t="s">
        <v>12</v>
      </c>
      <c r="C37" s="6" t="s">
        <v>39</v>
      </c>
      <c r="D37" s="6"/>
      <c r="E37" s="6">
        <v>1</v>
      </c>
      <c r="F37" s="6" t="s">
        <v>13</v>
      </c>
      <c r="G37" s="6" t="s">
        <v>14</v>
      </c>
      <c r="H37" s="420" t="s">
        <v>41</v>
      </c>
      <c r="I37" s="242">
        <v>41432</v>
      </c>
      <c r="J37" s="7" t="s">
        <v>16</v>
      </c>
      <c r="K37" s="8">
        <v>2.2</v>
      </c>
      <c r="L37" s="9"/>
      <c r="M37" s="10">
        <f>4166-3342</f>
        <v>824</v>
      </c>
      <c r="N37" s="10">
        <f>12322-10227</f>
        <v>2095</v>
      </c>
      <c r="O37" s="10">
        <f t="shared" si="0"/>
        <v>2919</v>
      </c>
    </row>
    <row r="38" spans="1:15" ht="30.75">
      <c r="A38" s="280" t="s">
        <v>11</v>
      </c>
      <c r="B38" s="5" t="s">
        <v>12</v>
      </c>
      <c r="C38" s="6" t="s">
        <v>39</v>
      </c>
      <c r="D38" s="6"/>
      <c r="E38" s="6">
        <v>2</v>
      </c>
      <c r="F38" s="6" t="s">
        <v>13</v>
      </c>
      <c r="G38" s="6" t="s">
        <v>14</v>
      </c>
      <c r="H38" s="420" t="s">
        <v>42</v>
      </c>
      <c r="I38" s="242">
        <v>41059</v>
      </c>
      <c r="J38" s="7" t="s">
        <v>16</v>
      </c>
      <c r="K38" s="8">
        <v>2.2</v>
      </c>
      <c r="L38" s="9"/>
      <c r="M38" s="10">
        <f>2859-2292</f>
        <v>567</v>
      </c>
      <c r="N38" s="10">
        <f>8416-7006</f>
        <v>1410</v>
      </c>
      <c r="O38" s="10">
        <f t="shared" si="0"/>
        <v>1977</v>
      </c>
    </row>
    <row r="39" spans="1:15" ht="30.75">
      <c r="A39" s="280" t="s">
        <v>11</v>
      </c>
      <c r="B39" s="5" t="s">
        <v>12</v>
      </c>
      <c r="C39" s="11" t="s">
        <v>20</v>
      </c>
      <c r="D39" s="6" t="s">
        <v>43</v>
      </c>
      <c r="E39" s="6">
        <v>16</v>
      </c>
      <c r="F39" s="6" t="s">
        <v>19</v>
      </c>
      <c r="G39" s="6" t="s">
        <v>20</v>
      </c>
      <c r="H39" s="420" t="s">
        <v>44</v>
      </c>
      <c r="I39" s="242">
        <v>41027</v>
      </c>
      <c r="J39" s="7" t="s">
        <v>16</v>
      </c>
      <c r="K39" s="8">
        <v>2.5</v>
      </c>
      <c r="L39" s="9"/>
      <c r="M39" s="10">
        <f>17245-13773</f>
        <v>3472</v>
      </c>
      <c r="N39" s="10">
        <f>52148-43442</f>
        <v>8706</v>
      </c>
      <c r="O39" s="10">
        <f t="shared" si="0"/>
        <v>12178</v>
      </c>
    </row>
    <row r="40" spans="1:15" ht="30.75">
      <c r="A40" s="280" t="s">
        <v>11</v>
      </c>
      <c r="B40" s="5" t="s">
        <v>12</v>
      </c>
      <c r="C40" s="11" t="s">
        <v>20</v>
      </c>
      <c r="D40" s="6" t="s">
        <v>45</v>
      </c>
      <c r="E40" s="6">
        <v>23</v>
      </c>
      <c r="F40" s="6" t="s">
        <v>19</v>
      </c>
      <c r="G40" s="6" t="s">
        <v>20</v>
      </c>
      <c r="H40" s="420" t="s">
        <v>46</v>
      </c>
      <c r="I40" s="242">
        <v>12639</v>
      </c>
      <c r="J40" s="7" t="s">
        <v>16</v>
      </c>
      <c r="K40" s="8">
        <v>6.6</v>
      </c>
      <c r="L40" s="9"/>
      <c r="M40" s="10">
        <f>14817-12431</f>
        <v>2386</v>
      </c>
      <c r="N40" s="10">
        <f>46942-38633</f>
        <v>8309</v>
      </c>
      <c r="O40" s="10">
        <f t="shared" si="0"/>
        <v>10695</v>
      </c>
    </row>
    <row r="41" spans="1:15" ht="30.75">
      <c r="A41" s="280" t="s">
        <v>11</v>
      </c>
      <c r="B41" s="5" t="s">
        <v>12</v>
      </c>
      <c r="C41" s="11" t="s">
        <v>20</v>
      </c>
      <c r="D41" s="6" t="s">
        <v>47</v>
      </c>
      <c r="E41" s="6">
        <v>100</v>
      </c>
      <c r="F41" s="6" t="s">
        <v>19</v>
      </c>
      <c r="G41" s="6" t="s">
        <v>20</v>
      </c>
      <c r="H41" s="420" t="s">
        <v>48</v>
      </c>
      <c r="I41" s="242">
        <v>41369</v>
      </c>
      <c r="J41" s="7" t="s">
        <v>16</v>
      </c>
      <c r="K41" s="8">
        <v>2.2</v>
      </c>
      <c r="L41" s="9"/>
      <c r="M41" s="10">
        <f>6004-4766</f>
        <v>1238</v>
      </c>
      <c r="N41" s="10">
        <f>17870-14632</f>
        <v>3238</v>
      </c>
      <c r="O41" s="10">
        <f t="shared" si="0"/>
        <v>4476</v>
      </c>
    </row>
    <row r="42" spans="1:15" ht="30.75">
      <c r="A42" s="280" t="s">
        <v>11</v>
      </c>
      <c r="B42" s="5" t="s">
        <v>12</v>
      </c>
      <c r="C42" s="11" t="s">
        <v>20</v>
      </c>
      <c r="D42" s="6" t="s">
        <v>47</v>
      </c>
      <c r="E42" s="6"/>
      <c r="F42" s="6" t="s">
        <v>19</v>
      </c>
      <c r="G42" s="6" t="s">
        <v>20</v>
      </c>
      <c r="H42" s="420" t="s">
        <v>49</v>
      </c>
      <c r="I42" s="242">
        <v>41371</v>
      </c>
      <c r="J42" s="7" t="s">
        <v>16</v>
      </c>
      <c r="K42" s="8">
        <v>2.2</v>
      </c>
      <c r="L42" s="9"/>
      <c r="M42" s="10">
        <f>12982-10265</f>
        <v>2717</v>
      </c>
      <c r="N42" s="10">
        <f>37505-30754</f>
        <v>6751</v>
      </c>
      <c r="O42" s="10">
        <f t="shared" si="0"/>
        <v>9468</v>
      </c>
    </row>
    <row r="43" spans="1:15" ht="30.75">
      <c r="A43" s="280" t="s">
        <v>11</v>
      </c>
      <c r="B43" s="5" t="s">
        <v>12</v>
      </c>
      <c r="C43" s="11" t="s">
        <v>20</v>
      </c>
      <c r="D43" s="6" t="s">
        <v>50</v>
      </c>
      <c r="E43" s="6">
        <v>94</v>
      </c>
      <c r="F43" s="6" t="s">
        <v>19</v>
      </c>
      <c r="G43" s="6" t="s">
        <v>20</v>
      </c>
      <c r="H43" s="420" t="s">
        <v>51</v>
      </c>
      <c r="I43" s="242">
        <v>41366</v>
      </c>
      <c r="J43" s="7" t="s">
        <v>16</v>
      </c>
      <c r="K43" s="8">
        <v>2.2</v>
      </c>
      <c r="L43" s="9"/>
      <c r="M43" s="10">
        <f>11445-9186</f>
        <v>2259</v>
      </c>
      <c r="N43" s="10">
        <f>33161-27624</f>
        <v>5537</v>
      </c>
      <c r="O43" s="10">
        <f t="shared" si="0"/>
        <v>7796</v>
      </c>
    </row>
    <row r="44" spans="1:15" ht="30.75">
      <c r="A44" s="280" t="s">
        <v>11</v>
      </c>
      <c r="B44" s="5" t="s">
        <v>12</v>
      </c>
      <c r="C44" s="6" t="s">
        <v>52</v>
      </c>
      <c r="D44" s="6"/>
      <c r="E44" s="6" t="s">
        <v>53</v>
      </c>
      <c r="F44" s="6" t="s">
        <v>19</v>
      </c>
      <c r="G44" s="6" t="s">
        <v>20</v>
      </c>
      <c r="H44" s="420" t="s">
        <v>54</v>
      </c>
      <c r="I44" s="242">
        <v>41106</v>
      </c>
      <c r="J44" s="7" t="s">
        <v>16</v>
      </c>
      <c r="K44" s="8">
        <v>2.2</v>
      </c>
      <c r="L44" s="9"/>
      <c r="M44" s="10">
        <f>5300-4194</f>
        <v>1106</v>
      </c>
      <c r="N44" s="10">
        <f>15437-12645</f>
        <v>2792</v>
      </c>
      <c r="O44" s="10">
        <f t="shared" si="0"/>
        <v>3898</v>
      </c>
    </row>
    <row r="45" spans="1:15" ht="30.75">
      <c r="A45" s="280" t="s">
        <v>11</v>
      </c>
      <c r="B45" s="5" t="s">
        <v>12</v>
      </c>
      <c r="C45" s="11" t="s">
        <v>20</v>
      </c>
      <c r="D45" s="6" t="s">
        <v>47</v>
      </c>
      <c r="E45" s="6">
        <v>17</v>
      </c>
      <c r="F45" s="6" t="s">
        <v>19</v>
      </c>
      <c r="G45" s="6" t="s">
        <v>20</v>
      </c>
      <c r="H45" s="420" t="s">
        <v>55</v>
      </c>
      <c r="I45" s="242">
        <v>38243</v>
      </c>
      <c r="J45" s="7" t="s">
        <v>16</v>
      </c>
      <c r="K45" s="8">
        <v>6.6</v>
      </c>
      <c r="L45" s="9"/>
      <c r="M45" s="10">
        <f>14185-11612</f>
        <v>2573</v>
      </c>
      <c r="N45" s="10">
        <f>57915-47317</f>
        <v>10598</v>
      </c>
      <c r="O45" s="10">
        <f t="shared" si="0"/>
        <v>13171</v>
      </c>
    </row>
    <row r="46" spans="1:15" ht="30.75">
      <c r="A46" s="280" t="s">
        <v>11</v>
      </c>
      <c r="B46" s="5" t="s">
        <v>12</v>
      </c>
      <c r="C46" s="11" t="s">
        <v>20</v>
      </c>
      <c r="D46" s="6" t="s">
        <v>56</v>
      </c>
      <c r="E46" s="6"/>
      <c r="F46" s="6" t="s">
        <v>19</v>
      </c>
      <c r="G46" s="6" t="s">
        <v>20</v>
      </c>
      <c r="H46" s="420" t="s">
        <v>57</v>
      </c>
      <c r="I46" s="242">
        <v>39396</v>
      </c>
      <c r="J46" s="7" t="s">
        <v>16</v>
      </c>
      <c r="K46" s="8">
        <v>6.6</v>
      </c>
      <c r="L46" s="9"/>
      <c r="M46" s="10">
        <f>14594-11910</f>
        <v>2684</v>
      </c>
      <c r="N46" s="10">
        <f>55854-44377</f>
        <v>11477</v>
      </c>
      <c r="O46" s="10">
        <f t="shared" si="0"/>
        <v>14161</v>
      </c>
    </row>
    <row r="47" spans="1:15" ht="30.75">
      <c r="A47" s="280" t="s">
        <v>11</v>
      </c>
      <c r="B47" s="5" t="s">
        <v>12</v>
      </c>
      <c r="C47" s="11" t="s">
        <v>20</v>
      </c>
      <c r="D47" s="6" t="s">
        <v>58</v>
      </c>
      <c r="E47" s="6"/>
      <c r="F47" s="6" t="s">
        <v>19</v>
      </c>
      <c r="G47" s="6" t="s">
        <v>20</v>
      </c>
      <c r="H47" s="420" t="s">
        <v>59</v>
      </c>
      <c r="I47" s="242">
        <v>41340</v>
      </c>
      <c r="J47" s="7" t="s">
        <v>16</v>
      </c>
      <c r="K47" s="8">
        <v>1.4</v>
      </c>
      <c r="L47" s="9"/>
      <c r="M47" s="10">
        <f>10159-8123</f>
        <v>2036</v>
      </c>
      <c r="N47" s="10">
        <f>31447-25921</f>
        <v>5526</v>
      </c>
      <c r="O47" s="10">
        <f t="shared" si="0"/>
        <v>7562</v>
      </c>
    </row>
    <row r="48" spans="1:15" ht="30.75">
      <c r="A48" s="280" t="s">
        <v>11</v>
      </c>
      <c r="B48" s="5" t="s">
        <v>12</v>
      </c>
      <c r="C48" s="11" t="s">
        <v>20</v>
      </c>
      <c r="D48" s="6" t="s">
        <v>50</v>
      </c>
      <c r="E48" s="6" t="s">
        <v>1553</v>
      </c>
      <c r="F48" s="6" t="s">
        <v>19</v>
      </c>
      <c r="G48" s="6" t="s">
        <v>20</v>
      </c>
      <c r="H48" s="420" t="s">
        <v>60</v>
      </c>
      <c r="I48" s="242">
        <v>36921</v>
      </c>
      <c r="J48" s="7" t="s">
        <v>16</v>
      </c>
      <c r="K48" s="8">
        <v>6.6</v>
      </c>
      <c r="L48" s="9"/>
      <c r="M48" s="10">
        <f>40244-32675</f>
        <v>7569</v>
      </c>
      <c r="N48" s="10">
        <f>163598-131789</f>
        <v>31809</v>
      </c>
      <c r="O48" s="10">
        <f t="shared" si="0"/>
        <v>39378</v>
      </c>
    </row>
    <row r="49" spans="1:15" ht="30.75">
      <c r="A49" s="280" t="s">
        <v>11</v>
      </c>
      <c r="B49" s="5" t="s">
        <v>12</v>
      </c>
      <c r="C49" s="11" t="s">
        <v>20</v>
      </c>
      <c r="D49" s="6" t="s">
        <v>61</v>
      </c>
      <c r="E49" s="6">
        <v>33</v>
      </c>
      <c r="F49" s="6" t="s">
        <v>19</v>
      </c>
      <c r="G49" s="6" t="s">
        <v>20</v>
      </c>
      <c r="H49" s="420" t="s">
        <v>62</v>
      </c>
      <c r="I49" s="242">
        <v>41367</v>
      </c>
      <c r="J49" s="7" t="s">
        <v>16</v>
      </c>
      <c r="K49" s="8">
        <v>2.5</v>
      </c>
      <c r="L49" s="9"/>
      <c r="M49" s="10">
        <f>7352-5773</f>
        <v>1579</v>
      </c>
      <c r="N49" s="10">
        <f>21929-17977</f>
        <v>3952</v>
      </c>
      <c r="O49" s="10">
        <f t="shared" si="0"/>
        <v>5531</v>
      </c>
    </row>
    <row r="50" spans="1:15" ht="30.75">
      <c r="A50" s="280" t="s">
        <v>11</v>
      </c>
      <c r="B50" s="5" t="s">
        <v>12</v>
      </c>
      <c r="C50" s="11" t="s">
        <v>20</v>
      </c>
      <c r="D50" s="6" t="s">
        <v>63</v>
      </c>
      <c r="E50" s="6" t="s">
        <v>146</v>
      </c>
      <c r="F50" s="6" t="s">
        <v>19</v>
      </c>
      <c r="G50" s="6" t="s">
        <v>20</v>
      </c>
      <c r="H50" s="420" t="s">
        <v>64</v>
      </c>
      <c r="I50" s="242">
        <v>41364</v>
      </c>
      <c r="J50" s="7" t="s">
        <v>16</v>
      </c>
      <c r="K50" s="8">
        <v>2.2</v>
      </c>
      <c r="L50" s="9"/>
      <c r="M50" s="10">
        <f>11708-9290</f>
        <v>2418</v>
      </c>
      <c r="N50" s="10">
        <f>35841-29433</f>
        <v>6408</v>
      </c>
      <c r="O50" s="10">
        <f t="shared" si="0"/>
        <v>8826</v>
      </c>
    </row>
    <row r="51" spans="1:15" ht="30.75">
      <c r="A51" s="280" t="s">
        <v>11</v>
      </c>
      <c r="B51" s="5" t="s">
        <v>12</v>
      </c>
      <c r="C51" s="11" t="s">
        <v>20</v>
      </c>
      <c r="D51" s="6" t="s">
        <v>65</v>
      </c>
      <c r="E51" s="6"/>
      <c r="F51" s="6" t="s">
        <v>19</v>
      </c>
      <c r="G51" s="6" t="s">
        <v>20</v>
      </c>
      <c r="H51" s="420" t="s">
        <v>66</v>
      </c>
      <c r="I51" s="242">
        <v>41363</v>
      </c>
      <c r="J51" s="7" t="s">
        <v>16</v>
      </c>
      <c r="K51" s="8">
        <v>2.2</v>
      </c>
      <c r="L51" s="9"/>
      <c r="M51" s="10">
        <f>9642-7662</f>
        <v>1980</v>
      </c>
      <c r="N51" s="10">
        <f>28218-23304</f>
        <v>4914</v>
      </c>
      <c r="O51" s="10">
        <f t="shared" si="0"/>
        <v>6894</v>
      </c>
    </row>
    <row r="52" spans="1:15" ht="30.75">
      <c r="A52" s="280" t="s">
        <v>11</v>
      </c>
      <c r="B52" s="5" t="s">
        <v>12</v>
      </c>
      <c r="C52" s="11" t="s">
        <v>20</v>
      </c>
      <c r="D52" s="6" t="s">
        <v>67</v>
      </c>
      <c r="E52" s="6"/>
      <c r="F52" s="6" t="s">
        <v>19</v>
      </c>
      <c r="G52" s="6" t="s">
        <v>20</v>
      </c>
      <c r="H52" s="420" t="s">
        <v>68</v>
      </c>
      <c r="I52" s="242">
        <v>41362</v>
      </c>
      <c r="J52" s="7" t="s">
        <v>16</v>
      </c>
      <c r="K52" s="8">
        <v>2.2</v>
      </c>
      <c r="L52" s="9"/>
      <c r="M52" s="10">
        <f>6246-4847</f>
        <v>1399</v>
      </c>
      <c r="N52" s="10">
        <f>18188-14677</f>
        <v>3511</v>
      </c>
      <c r="O52" s="10">
        <f t="shared" si="0"/>
        <v>4910</v>
      </c>
    </row>
    <row r="53" spans="1:15" ht="30.75">
      <c r="A53" s="280" t="s">
        <v>11</v>
      </c>
      <c r="B53" s="5" t="s">
        <v>12</v>
      </c>
      <c r="C53" s="11" t="s">
        <v>20</v>
      </c>
      <c r="D53" s="6" t="s">
        <v>69</v>
      </c>
      <c r="E53" s="6">
        <v>3</v>
      </c>
      <c r="F53" s="6" t="s">
        <v>19</v>
      </c>
      <c r="G53" s="6" t="s">
        <v>20</v>
      </c>
      <c r="H53" s="420" t="s">
        <v>70</v>
      </c>
      <c r="I53" s="242">
        <v>41023</v>
      </c>
      <c r="J53" s="7" t="s">
        <v>16</v>
      </c>
      <c r="K53" s="8">
        <v>4</v>
      </c>
      <c r="L53" s="9"/>
      <c r="M53" s="10">
        <f>14536-11664</f>
        <v>2872</v>
      </c>
      <c r="N53" s="10">
        <f>41958-34880</f>
        <v>7078</v>
      </c>
      <c r="O53" s="10">
        <f t="shared" si="0"/>
        <v>9950</v>
      </c>
    </row>
    <row r="54" spans="1:15" ht="30.75">
      <c r="A54" s="280" t="s">
        <v>11</v>
      </c>
      <c r="B54" s="5" t="s">
        <v>12</v>
      </c>
      <c r="C54" s="11" t="s">
        <v>20</v>
      </c>
      <c r="D54" s="6" t="s">
        <v>69</v>
      </c>
      <c r="E54" s="6">
        <v>2</v>
      </c>
      <c r="F54" s="6" t="s">
        <v>19</v>
      </c>
      <c r="G54" s="6" t="s">
        <v>20</v>
      </c>
      <c r="H54" s="420" t="s">
        <v>71</v>
      </c>
      <c r="I54" s="242">
        <v>39307</v>
      </c>
      <c r="J54" s="7" t="s">
        <v>16</v>
      </c>
      <c r="K54" s="8">
        <v>6.6</v>
      </c>
      <c r="L54" s="9"/>
      <c r="M54" s="10">
        <f>10504-8571</f>
        <v>1933</v>
      </c>
      <c r="N54" s="10">
        <f>42196-34306</f>
        <v>7890</v>
      </c>
      <c r="O54" s="10">
        <f t="shared" si="0"/>
        <v>9823</v>
      </c>
    </row>
    <row r="55" spans="1:15" ht="30.75">
      <c r="A55" s="280" t="s">
        <v>11</v>
      </c>
      <c r="B55" s="5" t="s">
        <v>12</v>
      </c>
      <c r="C55" s="5" t="s">
        <v>72</v>
      </c>
      <c r="D55" s="6"/>
      <c r="E55" s="6"/>
      <c r="F55" s="6" t="s">
        <v>19</v>
      </c>
      <c r="G55" s="6" t="s">
        <v>20</v>
      </c>
      <c r="H55" s="420" t="s">
        <v>73</v>
      </c>
      <c r="I55" s="242">
        <v>41104</v>
      </c>
      <c r="J55" s="7" t="s">
        <v>16</v>
      </c>
      <c r="K55" s="8">
        <v>2.2</v>
      </c>
      <c r="L55" s="9"/>
      <c r="M55" s="10">
        <f>7671-6170</f>
        <v>1501</v>
      </c>
      <c r="N55" s="10">
        <f>22456-18726</f>
        <v>3730</v>
      </c>
      <c r="O55" s="10">
        <f t="shared" si="0"/>
        <v>5231</v>
      </c>
    </row>
    <row r="56" spans="1:15" ht="30.75">
      <c r="A56" s="280" t="s">
        <v>11</v>
      </c>
      <c r="B56" s="5" t="s">
        <v>12</v>
      </c>
      <c r="C56" s="5" t="s">
        <v>72</v>
      </c>
      <c r="D56" s="6"/>
      <c r="E56" s="6">
        <v>3</v>
      </c>
      <c r="F56" s="6" t="s">
        <v>19</v>
      </c>
      <c r="G56" s="6" t="s">
        <v>20</v>
      </c>
      <c r="H56" s="420" t="s">
        <v>74</v>
      </c>
      <c r="I56" s="242">
        <v>41111</v>
      </c>
      <c r="J56" s="7" t="s">
        <v>16</v>
      </c>
      <c r="K56" s="8">
        <v>2.2</v>
      </c>
      <c r="L56" s="9"/>
      <c r="M56" s="10">
        <f>5728-4416</f>
        <v>1312</v>
      </c>
      <c r="N56" s="10">
        <f>16687-13320</f>
        <v>3367</v>
      </c>
      <c r="O56" s="10">
        <f t="shared" si="0"/>
        <v>4679</v>
      </c>
    </row>
    <row r="57" spans="1:15" ht="30.75">
      <c r="A57" s="280" t="s">
        <v>11</v>
      </c>
      <c r="B57" s="5" t="s">
        <v>12</v>
      </c>
      <c r="C57" s="11" t="s">
        <v>20</v>
      </c>
      <c r="D57" s="6" t="s">
        <v>75</v>
      </c>
      <c r="E57" s="6">
        <v>47</v>
      </c>
      <c r="F57" s="6" t="s">
        <v>19</v>
      </c>
      <c r="G57" s="6" t="s">
        <v>20</v>
      </c>
      <c r="H57" s="420" t="s">
        <v>76</v>
      </c>
      <c r="I57" s="242">
        <v>41368</v>
      </c>
      <c r="J57" s="7" t="s">
        <v>16</v>
      </c>
      <c r="K57" s="8">
        <v>2.2</v>
      </c>
      <c r="L57" s="9"/>
      <c r="M57" s="10">
        <f>16841-13200</f>
        <v>3641</v>
      </c>
      <c r="N57" s="10">
        <f>48687-39837</f>
        <v>8850</v>
      </c>
      <c r="O57" s="10">
        <f t="shared" si="0"/>
        <v>12491</v>
      </c>
    </row>
    <row r="58" spans="1:15" ht="30.75">
      <c r="A58" s="280" t="s">
        <v>11</v>
      </c>
      <c r="B58" s="5" t="s">
        <v>12</v>
      </c>
      <c r="C58" s="11" t="s">
        <v>20</v>
      </c>
      <c r="D58" s="6" t="s">
        <v>77</v>
      </c>
      <c r="E58" s="6"/>
      <c r="F58" s="6" t="s">
        <v>19</v>
      </c>
      <c r="G58" s="6" t="s">
        <v>20</v>
      </c>
      <c r="H58" s="420" t="s">
        <v>78</v>
      </c>
      <c r="I58" s="242">
        <v>41026</v>
      </c>
      <c r="J58" s="7" t="s">
        <v>16</v>
      </c>
      <c r="K58" s="8">
        <v>0.9</v>
      </c>
      <c r="L58" s="9"/>
      <c r="M58" s="10">
        <f>26442-21201</f>
        <v>5241</v>
      </c>
      <c r="N58" s="10">
        <f>79012-65844</f>
        <v>13168</v>
      </c>
      <c r="O58" s="10">
        <f t="shared" si="0"/>
        <v>18409</v>
      </c>
    </row>
    <row r="59" spans="1:15" ht="30.75">
      <c r="A59" s="280" t="s">
        <v>11</v>
      </c>
      <c r="B59" s="5" t="s">
        <v>12</v>
      </c>
      <c r="C59" s="11" t="s">
        <v>20</v>
      </c>
      <c r="D59" s="6" t="s">
        <v>79</v>
      </c>
      <c r="E59" s="6">
        <v>6</v>
      </c>
      <c r="F59" s="6" t="s">
        <v>19</v>
      </c>
      <c r="G59" s="6" t="s">
        <v>20</v>
      </c>
      <c r="H59" s="420" t="s">
        <v>80</v>
      </c>
      <c r="I59" s="242">
        <v>41029</v>
      </c>
      <c r="J59" s="7" t="s">
        <v>16</v>
      </c>
      <c r="K59" s="8">
        <v>2.2</v>
      </c>
      <c r="L59" s="9"/>
      <c r="M59" s="10">
        <f>7744-6207</f>
        <v>1537</v>
      </c>
      <c r="N59" s="10">
        <f>23954-19960</f>
        <v>3994</v>
      </c>
      <c r="O59" s="10">
        <f t="shared" si="0"/>
        <v>5531</v>
      </c>
    </row>
    <row r="60" spans="1:15" ht="30.75">
      <c r="A60" s="280" t="s">
        <v>11</v>
      </c>
      <c r="B60" s="5" t="s">
        <v>12</v>
      </c>
      <c r="C60" s="11" t="s">
        <v>20</v>
      </c>
      <c r="D60" s="6" t="s">
        <v>81</v>
      </c>
      <c r="E60" s="6">
        <v>21</v>
      </c>
      <c r="F60" s="6" t="s">
        <v>19</v>
      </c>
      <c r="G60" s="6" t="s">
        <v>20</v>
      </c>
      <c r="H60" s="420" t="s">
        <v>82</v>
      </c>
      <c r="I60" s="242">
        <v>41025</v>
      </c>
      <c r="J60" s="7" t="s">
        <v>16</v>
      </c>
      <c r="K60" s="8">
        <v>3</v>
      </c>
      <c r="L60" s="9"/>
      <c r="M60" s="10">
        <f>17799-13699</f>
        <v>4100</v>
      </c>
      <c r="N60" s="10">
        <f>54947-44100</f>
        <v>10847</v>
      </c>
      <c r="O60" s="10">
        <f t="shared" si="0"/>
        <v>14947</v>
      </c>
    </row>
    <row r="61" spans="1:15" ht="30.75">
      <c r="A61" s="280" t="s">
        <v>11</v>
      </c>
      <c r="B61" s="5" t="s">
        <v>12</v>
      </c>
      <c r="C61" s="11" t="s">
        <v>20</v>
      </c>
      <c r="D61" s="6" t="s">
        <v>83</v>
      </c>
      <c r="E61" s="6">
        <v>60</v>
      </c>
      <c r="F61" s="6" t="s">
        <v>19</v>
      </c>
      <c r="G61" s="6" t="s">
        <v>20</v>
      </c>
      <c r="H61" s="420" t="s">
        <v>84</v>
      </c>
      <c r="I61" s="242">
        <v>41030</v>
      </c>
      <c r="J61" s="7" t="s">
        <v>16</v>
      </c>
      <c r="K61" s="8">
        <v>3.5</v>
      </c>
      <c r="L61" s="9"/>
      <c r="M61" s="10">
        <f>9472-7348</f>
        <v>2124</v>
      </c>
      <c r="N61" s="10">
        <f>29632-23699</f>
        <v>5933</v>
      </c>
      <c r="O61" s="10">
        <f t="shared" si="0"/>
        <v>8057</v>
      </c>
    </row>
    <row r="62" spans="1:15" ht="30.75">
      <c r="A62" s="280" t="s">
        <v>11</v>
      </c>
      <c r="B62" s="5" t="s">
        <v>12</v>
      </c>
      <c r="C62" s="11" t="s">
        <v>20</v>
      </c>
      <c r="D62" s="6" t="s">
        <v>85</v>
      </c>
      <c r="E62" s="6">
        <v>15</v>
      </c>
      <c r="F62" s="6" t="s">
        <v>19</v>
      </c>
      <c r="G62" s="6" t="s">
        <v>20</v>
      </c>
      <c r="H62" s="420" t="s">
        <v>86</v>
      </c>
      <c r="I62" s="242">
        <v>41022</v>
      </c>
      <c r="J62" s="7" t="s">
        <v>16</v>
      </c>
      <c r="K62" s="8">
        <v>2.5</v>
      </c>
      <c r="L62" s="9"/>
      <c r="M62" s="10">
        <f>10095-7404</f>
        <v>2691</v>
      </c>
      <c r="N62" s="10">
        <f>29068-22251</f>
        <v>6817</v>
      </c>
      <c r="O62" s="10">
        <f t="shared" si="0"/>
        <v>9508</v>
      </c>
    </row>
    <row r="63" spans="1:15" ht="30.75">
      <c r="A63" s="280" t="s">
        <v>11</v>
      </c>
      <c r="B63" s="5" t="s">
        <v>12</v>
      </c>
      <c r="C63" s="11" t="s">
        <v>20</v>
      </c>
      <c r="D63" s="6" t="s">
        <v>87</v>
      </c>
      <c r="E63" s="6">
        <v>9</v>
      </c>
      <c r="F63" s="6" t="s">
        <v>19</v>
      </c>
      <c r="G63" s="6" t="s">
        <v>20</v>
      </c>
      <c r="H63" s="420" t="s">
        <v>88</v>
      </c>
      <c r="I63" s="242">
        <v>41028</v>
      </c>
      <c r="J63" s="7" t="s">
        <v>16</v>
      </c>
      <c r="K63" s="8">
        <v>2.5</v>
      </c>
      <c r="L63" s="9"/>
      <c r="M63" s="10">
        <f>9079-8957</f>
        <v>122</v>
      </c>
      <c r="N63" s="10">
        <f>28755-28490</f>
        <v>265</v>
      </c>
      <c r="O63" s="10">
        <f t="shared" si="0"/>
        <v>387</v>
      </c>
    </row>
    <row r="64" spans="1:15" ht="30.75">
      <c r="A64" s="280" t="s">
        <v>11</v>
      </c>
      <c r="B64" s="5" t="s">
        <v>12</v>
      </c>
      <c r="C64" s="11" t="s">
        <v>20</v>
      </c>
      <c r="D64" s="6" t="s">
        <v>89</v>
      </c>
      <c r="E64" s="6">
        <v>2</v>
      </c>
      <c r="F64" s="6" t="s">
        <v>19</v>
      </c>
      <c r="G64" s="6" t="s">
        <v>20</v>
      </c>
      <c r="H64" s="420" t="s">
        <v>90</v>
      </c>
      <c r="I64" s="242">
        <v>41031</v>
      </c>
      <c r="J64" s="7" t="s">
        <v>16</v>
      </c>
      <c r="K64" s="8">
        <v>4</v>
      </c>
      <c r="L64" s="9"/>
      <c r="M64" s="10">
        <f>24489-18287</f>
        <v>6202</v>
      </c>
      <c r="N64" s="10">
        <f>73891-57888</f>
        <v>16003</v>
      </c>
      <c r="O64" s="10">
        <f t="shared" si="0"/>
        <v>22205</v>
      </c>
    </row>
    <row r="65" spans="1:15" ht="30.75">
      <c r="A65" s="280" t="s">
        <v>11</v>
      </c>
      <c r="B65" s="5" t="s">
        <v>12</v>
      </c>
      <c r="C65" s="11" t="s">
        <v>20</v>
      </c>
      <c r="D65" s="6" t="s">
        <v>91</v>
      </c>
      <c r="E65" s="6">
        <v>6</v>
      </c>
      <c r="F65" s="6" t="s">
        <v>19</v>
      </c>
      <c r="G65" s="6" t="s">
        <v>20</v>
      </c>
      <c r="H65" s="420" t="s">
        <v>92</v>
      </c>
      <c r="I65" s="242">
        <v>41562</v>
      </c>
      <c r="J65" s="7" t="s">
        <v>16</v>
      </c>
      <c r="K65" s="8">
        <v>3.3</v>
      </c>
      <c r="L65" s="9"/>
      <c r="M65" s="10">
        <f>21590-17053</f>
        <v>4537</v>
      </c>
      <c r="N65" s="10">
        <f>65596-53930</f>
        <v>11666</v>
      </c>
      <c r="O65" s="10">
        <f t="shared" si="0"/>
        <v>16203</v>
      </c>
    </row>
    <row r="66" spans="1:15" ht="30.75">
      <c r="A66" s="280" t="s">
        <v>11</v>
      </c>
      <c r="B66" s="5" t="s">
        <v>12</v>
      </c>
      <c r="C66" s="11" t="s">
        <v>20</v>
      </c>
      <c r="D66" s="6" t="s">
        <v>63</v>
      </c>
      <c r="E66" s="6" t="s">
        <v>686</v>
      </c>
      <c r="F66" s="6" t="s">
        <v>19</v>
      </c>
      <c r="G66" s="6" t="s">
        <v>20</v>
      </c>
      <c r="H66" s="420" t="s">
        <v>93</v>
      </c>
      <c r="I66" s="242">
        <v>36918</v>
      </c>
      <c r="J66" s="7" t="s">
        <v>16</v>
      </c>
      <c r="K66" s="8">
        <v>3.3</v>
      </c>
      <c r="L66" s="9"/>
      <c r="M66" s="10">
        <f>24188-20235</f>
        <v>3953</v>
      </c>
      <c r="N66" s="10">
        <f>97435-81078</f>
        <v>16357</v>
      </c>
      <c r="O66" s="10">
        <f t="shared" si="0"/>
        <v>20310</v>
      </c>
    </row>
    <row r="67" spans="1:15" ht="30.75">
      <c r="A67" s="280" t="s">
        <v>11</v>
      </c>
      <c r="B67" s="5" t="s">
        <v>12</v>
      </c>
      <c r="C67" s="11" t="s">
        <v>20</v>
      </c>
      <c r="D67" s="6" t="s">
        <v>94</v>
      </c>
      <c r="E67" s="6"/>
      <c r="F67" s="6" t="s">
        <v>19</v>
      </c>
      <c r="G67" s="6" t="s">
        <v>20</v>
      </c>
      <c r="H67" s="420" t="s">
        <v>95</v>
      </c>
      <c r="I67" s="242">
        <v>41365</v>
      </c>
      <c r="J67" s="7" t="s">
        <v>16</v>
      </c>
      <c r="K67" s="8">
        <v>3.8</v>
      </c>
      <c r="L67" s="9"/>
      <c r="M67" s="10">
        <f>12430-10024</f>
        <v>2406</v>
      </c>
      <c r="N67" s="10">
        <f>33317-27274</f>
        <v>6043</v>
      </c>
      <c r="O67" s="10">
        <f t="shared" si="0"/>
        <v>8449</v>
      </c>
    </row>
    <row r="68" spans="1:15" ht="30.75">
      <c r="A68" s="280" t="s">
        <v>11</v>
      </c>
      <c r="B68" s="5" t="s">
        <v>12</v>
      </c>
      <c r="C68" s="11" t="s">
        <v>20</v>
      </c>
      <c r="D68" s="6" t="s">
        <v>1518</v>
      </c>
      <c r="E68" s="6" t="s">
        <v>686</v>
      </c>
      <c r="F68" s="6" t="s">
        <v>19</v>
      </c>
      <c r="G68" s="6" t="s">
        <v>20</v>
      </c>
      <c r="H68" s="420" t="s">
        <v>96</v>
      </c>
      <c r="I68" s="242">
        <v>41370</v>
      </c>
      <c r="J68" s="7" t="s">
        <v>16</v>
      </c>
      <c r="K68" s="8">
        <v>2.2</v>
      </c>
      <c r="L68" s="9"/>
      <c r="M68" s="10">
        <f>3506-2783</f>
        <v>723</v>
      </c>
      <c r="N68" s="10">
        <f>10312-8509</f>
        <v>1803</v>
      </c>
      <c r="O68" s="10">
        <f t="shared" si="0"/>
        <v>2526</v>
      </c>
    </row>
    <row r="69" spans="1:15" ht="30.75">
      <c r="A69" s="280" t="s">
        <v>11</v>
      </c>
      <c r="B69" s="5" t="s">
        <v>12</v>
      </c>
      <c r="C69" s="11" t="s">
        <v>20</v>
      </c>
      <c r="D69" s="6" t="s">
        <v>1518</v>
      </c>
      <c r="E69" s="6" t="s">
        <v>146</v>
      </c>
      <c r="F69" s="6" t="s">
        <v>19</v>
      </c>
      <c r="G69" s="6" t="s">
        <v>20</v>
      </c>
      <c r="H69" s="420" t="s">
        <v>97</v>
      </c>
      <c r="I69" s="242">
        <v>41335</v>
      </c>
      <c r="J69" s="7" t="s">
        <v>16</v>
      </c>
      <c r="K69" s="8">
        <v>2.5</v>
      </c>
      <c r="L69" s="9"/>
      <c r="M69" s="10">
        <f>17803-14090</f>
        <v>3713</v>
      </c>
      <c r="N69" s="10">
        <f>52084-42746</f>
        <v>9338</v>
      </c>
      <c r="O69" s="10">
        <f t="shared" si="0"/>
        <v>13051</v>
      </c>
    </row>
    <row r="70" spans="1:15" ht="30.75">
      <c r="A70" s="280" t="s">
        <v>11</v>
      </c>
      <c r="B70" s="5" t="s">
        <v>12</v>
      </c>
      <c r="C70" s="6" t="s">
        <v>98</v>
      </c>
      <c r="D70" s="6"/>
      <c r="E70" s="6">
        <v>16</v>
      </c>
      <c r="F70" s="6" t="s">
        <v>19</v>
      </c>
      <c r="G70" s="6" t="s">
        <v>20</v>
      </c>
      <c r="H70" s="420" t="s">
        <v>99</v>
      </c>
      <c r="I70" s="242">
        <v>41192</v>
      </c>
      <c r="J70" s="7" t="s">
        <v>16</v>
      </c>
      <c r="K70" s="8">
        <v>1</v>
      </c>
      <c r="L70" s="9"/>
      <c r="M70" s="10">
        <f>6997-6997</f>
        <v>0</v>
      </c>
      <c r="N70" s="10">
        <f>22095-22095</f>
        <v>0</v>
      </c>
      <c r="O70" s="10">
        <f t="shared" si="0"/>
        <v>0</v>
      </c>
    </row>
    <row r="71" spans="1:15" ht="30.75">
      <c r="A71" s="280" t="s">
        <v>11</v>
      </c>
      <c r="B71" s="5" t="s">
        <v>12</v>
      </c>
      <c r="C71" s="6" t="s">
        <v>100</v>
      </c>
      <c r="D71" s="6"/>
      <c r="E71" s="6" t="s">
        <v>146</v>
      </c>
      <c r="F71" s="6" t="s">
        <v>19</v>
      </c>
      <c r="G71" s="6" t="s">
        <v>20</v>
      </c>
      <c r="H71" s="420" t="s">
        <v>101</v>
      </c>
      <c r="I71" s="242">
        <v>41334</v>
      </c>
      <c r="J71" s="7" t="s">
        <v>16</v>
      </c>
      <c r="K71" s="8">
        <v>0.3</v>
      </c>
      <c r="L71" s="9"/>
      <c r="M71" s="10">
        <f>1849-1442</f>
        <v>407</v>
      </c>
      <c r="N71" s="10">
        <f>5495-4436</f>
        <v>1059</v>
      </c>
      <c r="O71" s="10">
        <f t="shared" si="0"/>
        <v>1466</v>
      </c>
    </row>
    <row r="72" spans="1:15" ht="30.75">
      <c r="A72" s="280" t="s">
        <v>11</v>
      </c>
      <c r="B72" s="5" t="s">
        <v>12</v>
      </c>
      <c r="C72" s="6" t="s">
        <v>102</v>
      </c>
      <c r="D72" s="6"/>
      <c r="E72" s="6">
        <v>3</v>
      </c>
      <c r="F72" s="6" t="s">
        <v>19</v>
      </c>
      <c r="G72" s="6" t="s">
        <v>20</v>
      </c>
      <c r="H72" s="420" t="s">
        <v>103</v>
      </c>
      <c r="I72" s="242">
        <v>41102</v>
      </c>
      <c r="J72" s="7" t="s">
        <v>16</v>
      </c>
      <c r="K72" s="8">
        <v>3</v>
      </c>
      <c r="L72" s="9"/>
      <c r="M72" s="10">
        <f>8695-6901</f>
        <v>1794</v>
      </c>
      <c r="N72" s="10">
        <f>25662-21169</f>
        <v>4493</v>
      </c>
      <c r="O72" s="10">
        <f t="shared" si="0"/>
        <v>6287</v>
      </c>
    </row>
    <row r="73" spans="1:15" ht="30.75">
      <c r="A73" s="280" t="s">
        <v>11</v>
      </c>
      <c r="B73" s="5" t="s">
        <v>12</v>
      </c>
      <c r="C73" s="6" t="s">
        <v>98</v>
      </c>
      <c r="D73" s="6"/>
      <c r="E73" s="6" t="s">
        <v>104</v>
      </c>
      <c r="F73" s="6" t="s">
        <v>19</v>
      </c>
      <c r="G73" s="6" t="s">
        <v>20</v>
      </c>
      <c r="H73" s="420" t="s">
        <v>105</v>
      </c>
      <c r="I73" s="242">
        <v>41193</v>
      </c>
      <c r="J73" s="7" t="s">
        <v>16</v>
      </c>
      <c r="K73" s="8">
        <v>1</v>
      </c>
      <c r="L73" s="9"/>
      <c r="M73" s="10">
        <f>8982-7046</f>
        <v>1936</v>
      </c>
      <c r="N73" s="10">
        <f>27302-22562</f>
        <v>4740</v>
      </c>
      <c r="O73" s="10">
        <f t="shared" si="0"/>
        <v>6676</v>
      </c>
    </row>
    <row r="74" spans="1:15" ht="30.75">
      <c r="A74" s="280" t="s">
        <v>11</v>
      </c>
      <c r="B74" s="5" t="s">
        <v>12</v>
      </c>
      <c r="C74" s="6" t="s">
        <v>106</v>
      </c>
      <c r="D74" s="6"/>
      <c r="E74" s="6">
        <v>41</v>
      </c>
      <c r="F74" s="6" t="s">
        <v>19</v>
      </c>
      <c r="G74" s="6" t="s">
        <v>20</v>
      </c>
      <c r="H74" s="420" t="s">
        <v>107</v>
      </c>
      <c r="I74" s="242">
        <v>40407</v>
      </c>
      <c r="J74" s="7" t="s">
        <v>16</v>
      </c>
      <c r="K74" s="8">
        <v>6.6</v>
      </c>
      <c r="L74" s="9"/>
      <c r="M74" s="10">
        <f>21413-17694</f>
        <v>3719</v>
      </c>
      <c r="N74" s="10">
        <f>88243-72534</f>
        <v>15709</v>
      </c>
      <c r="O74" s="10">
        <f t="shared" si="0"/>
        <v>19428</v>
      </c>
    </row>
    <row r="75" spans="1:15" ht="30.75">
      <c r="A75" s="280" t="s">
        <v>11</v>
      </c>
      <c r="B75" s="5" t="s">
        <v>12</v>
      </c>
      <c r="C75" s="6" t="s">
        <v>106</v>
      </c>
      <c r="D75" s="6"/>
      <c r="E75" s="6">
        <v>92</v>
      </c>
      <c r="F75" s="6" t="s">
        <v>19</v>
      </c>
      <c r="G75" s="6" t="s">
        <v>20</v>
      </c>
      <c r="H75" s="420" t="s">
        <v>108</v>
      </c>
      <c r="I75" s="242">
        <v>40484</v>
      </c>
      <c r="J75" s="7" t="s">
        <v>16</v>
      </c>
      <c r="K75" s="8">
        <v>6.6</v>
      </c>
      <c r="L75" s="9"/>
      <c r="M75" s="10">
        <f>10333-8520</f>
        <v>1813</v>
      </c>
      <c r="N75" s="10">
        <f>42893-35254</f>
        <v>7639</v>
      </c>
      <c r="O75" s="10">
        <f t="shared" si="0"/>
        <v>9452</v>
      </c>
    </row>
    <row r="76" spans="1:15" ht="30.75">
      <c r="A76" s="280" t="s">
        <v>11</v>
      </c>
      <c r="B76" s="5" t="s">
        <v>12</v>
      </c>
      <c r="C76" s="6" t="s">
        <v>106</v>
      </c>
      <c r="D76" s="6"/>
      <c r="E76" s="6">
        <v>99</v>
      </c>
      <c r="F76" s="6" t="s">
        <v>19</v>
      </c>
      <c r="G76" s="6" t="s">
        <v>20</v>
      </c>
      <c r="H76" s="420" t="s">
        <v>109</v>
      </c>
      <c r="I76" s="242">
        <v>41199</v>
      </c>
      <c r="J76" s="7" t="s">
        <v>16</v>
      </c>
      <c r="K76" s="8">
        <v>2.2</v>
      </c>
      <c r="L76" s="9"/>
      <c r="M76" s="10">
        <f>3310-2551</f>
        <v>759</v>
      </c>
      <c r="N76" s="10">
        <f>9561-7679</f>
        <v>1882</v>
      </c>
      <c r="O76" s="10">
        <f t="shared" si="0"/>
        <v>2641</v>
      </c>
    </row>
    <row r="77" spans="1:15" ht="30.75">
      <c r="A77" s="280" t="s">
        <v>11</v>
      </c>
      <c r="B77" s="5" t="s">
        <v>12</v>
      </c>
      <c r="C77" s="6" t="s">
        <v>110</v>
      </c>
      <c r="D77" s="6"/>
      <c r="E77" s="6" t="s">
        <v>146</v>
      </c>
      <c r="F77" s="6" t="s">
        <v>19</v>
      </c>
      <c r="G77" s="6" t="s">
        <v>20</v>
      </c>
      <c r="H77" s="420" t="s">
        <v>111</v>
      </c>
      <c r="I77" s="242">
        <v>41341</v>
      </c>
      <c r="J77" s="7" t="s">
        <v>16</v>
      </c>
      <c r="K77" s="8">
        <v>0.9</v>
      </c>
      <c r="L77" s="9"/>
      <c r="M77" s="10">
        <f>10675-8706</f>
        <v>1969</v>
      </c>
      <c r="N77" s="10">
        <f>33072-27429</f>
        <v>5643</v>
      </c>
      <c r="O77" s="10">
        <f t="shared" si="0"/>
        <v>7612</v>
      </c>
    </row>
    <row r="78" spans="1:15" ht="30.75">
      <c r="A78" s="280" t="s">
        <v>11</v>
      </c>
      <c r="B78" s="5" t="s">
        <v>12</v>
      </c>
      <c r="C78" s="6" t="s">
        <v>110</v>
      </c>
      <c r="D78" s="6"/>
      <c r="E78" s="6" t="s">
        <v>686</v>
      </c>
      <c r="F78" s="6" t="s">
        <v>19</v>
      </c>
      <c r="G78" s="6" t="s">
        <v>20</v>
      </c>
      <c r="H78" s="420" t="s">
        <v>112</v>
      </c>
      <c r="I78" s="242">
        <v>41339</v>
      </c>
      <c r="J78" s="7" t="s">
        <v>16</v>
      </c>
      <c r="K78" s="8">
        <v>0.9</v>
      </c>
      <c r="L78" s="9"/>
      <c r="M78" s="10">
        <f>6949-5531</f>
        <v>1418</v>
      </c>
      <c r="N78" s="10">
        <f>20022-16542</f>
        <v>3480</v>
      </c>
      <c r="O78" s="10">
        <f t="shared" si="0"/>
        <v>4898</v>
      </c>
    </row>
    <row r="79" spans="1:15" ht="30.75">
      <c r="A79" s="280" t="s">
        <v>11</v>
      </c>
      <c r="B79" s="5" t="s">
        <v>12</v>
      </c>
      <c r="C79" s="6" t="s">
        <v>113</v>
      </c>
      <c r="D79" s="6"/>
      <c r="E79" s="6">
        <v>160</v>
      </c>
      <c r="F79" s="6" t="s">
        <v>19</v>
      </c>
      <c r="G79" s="6" t="s">
        <v>20</v>
      </c>
      <c r="H79" s="420" t="s">
        <v>114</v>
      </c>
      <c r="I79" s="242">
        <v>70526302</v>
      </c>
      <c r="J79" s="7" t="s">
        <v>16</v>
      </c>
      <c r="K79" s="8">
        <v>3.3</v>
      </c>
      <c r="L79" s="9"/>
      <c r="M79" s="10">
        <f>12988-10772</f>
        <v>2216</v>
      </c>
      <c r="N79" s="10">
        <f>57538-46901</f>
        <v>10637</v>
      </c>
      <c r="O79" s="10">
        <f t="shared" si="0"/>
        <v>12853</v>
      </c>
    </row>
    <row r="80" spans="1:15" ht="30.75">
      <c r="A80" s="280" t="s">
        <v>11</v>
      </c>
      <c r="B80" s="5" t="s">
        <v>12</v>
      </c>
      <c r="C80" s="6" t="s">
        <v>113</v>
      </c>
      <c r="D80" s="6"/>
      <c r="E80" s="6">
        <v>90</v>
      </c>
      <c r="F80" s="6" t="s">
        <v>19</v>
      </c>
      <c r="G80" s="6" t="s">
        <v>20</v>
      </c>
      <c r="H80" s="420" t="s">
        <v>115</v>
      </c>
      <c r="I80" s="242">
        <v>38240</v>
      </c>
      <c r="J80" s="7" t="s">
        <v>16</v>
      </c>
      <c r="K80" s="8">
        <v>2.9</v>
      </c>
      <c r="L80" s="9"/>
      <c r="M80" s="10">
        <f>9080-7433</f>
        <v>1647</v>
      </c>
      <c r="N80" s="10">
        <f>37567-30699</f>
        <v>6868</v>
      </c>
      <c r="O80" s="10">
        <f t="shared" si="0"/>
        <v>8515</v>
      </c>
    </row>
    <row r="81" spans="1:15" ht="30.75">
      <c r="A81" s="280" t="s">
        <v>11</v>
      </c>
      <c r="B81" s="5" t="s">
        <v>12</v>
      </c>
      <c r="C81" s="6" t="s">
        <v>113</v>
      </c>
      <c r="D81" s="6"/>
      <c r="E81" s="6">
        <v>139</v>
      </c>
      <c r="F81" s="6" t="s">
        <v>19</v>
      </c>
      <c r="G81" s="6" t="s">
        <v>20</v>
      </c>
      <c r="H81" s="420" t="s">
        <v>116</v>
      </c>
      <c r="I81" s="242">
        <v>39312</v>
      </c>
      <c r="J81" s="7" t="s">
        <v>16</v>
      </c>
      <c r="K81" s="8">
        <v>2.2</v>
      </c>
      <c r="L81" s="9"/>
      <c r="M81" s="10">
        <f>8220-6764</f>
        <v>1456</v>
      </c>
      <c r="N81" s="10">
        <f>34057-27969</f>
        <v>6088</v>
      </c>
      <c r="O81" s="10">
        <f t="shared" si="0"/>
        <v>7544</v>
      </c>
    </row>
    <row r="82" spans="1:15" ht="30.75">
      <c r="A82" s="280" t="s">
        <v>11</v>
      </c>
      <c r="B82" s="5" t="s">
        <v>12</v>
      </c>
      <c r="C82" s="6" t="s">
        <v>113</v>
      </c>
      <c r="D82" s="6" t="s">
        <v>117</v>
      </c>
      <c r="E82" s="6">
        <v>90</v>
      </c>
      <c r="F82" s="6" t="s">
        <v>19</v>
      </c>
      <c r="G82" s="6" t="s">
        <v>20</v>
      </c>
      <c r="H82" s="420" t="s">
        <v>118</v>
      </c>
      <c r="I82" s="242">
        <v>38238</v>
      </c>
      <c r="J82" s="7" t="s">
        <v>16</v>
      </c>
      <c r="K82" s="8">
        <v>2.3</v>
      </c>
      <c r="L82" s="9"/>
      <c r="M82" s="10">
        <f>12220-10016</f>
        <v>2204</v>
      </c>
      <c r="N82" s="10">
        <f>49683-40696</f>
        <v>8987</v>
      </c>
      <c r="O82" s="10">
        <f t="shared" si="0"/>
        <v>11191</v>
      </c>
    </row>
    <row r="83" spans="1:15" ht="30.75">
      <c r="A83" s="280" t="s">
        <v>11</v>
      </c>
      <c r="B83" s="5" t="s">
        <v>12</v>
      </c>
      <c r="C83" s="6" t="s">
        <v>113</v>
      </c>
      <c r="D83" s="6"/>
      <c r="E83" s="6">
        <v>34</v>
      </c>
      <c r="F83" s="6" t="s">
        <v>19</v>
      </c>
      <c r="G83" s="6" t="s">
        <v>20</v>
      </c>
      <c r="H83" s="420" t="s">
        <v>119</v>
      </c>
      <c r="I83" s="242">
        <v>36923</v>
      </c>
      <c r="J83" s="7" t="s">
        <v>16</v>
      </c>
      <c r="K83" s="8">
        <v>2.4</v>
      </c>
      <c r="L83" s="9"/>
      <c r="M83" s="10">
        <f>10247-8499</f>
        <v>1748</v>
      </c>
      <c r="N83" s="10">
        <f>41492-34085</f>
        <v>7407</v>
      </c>
      <c r="O83" s="10">
        <f t="shared" si="0"/>
        <v>9155</v>
      </c>
    </row>
    <row r="84" spans="1:15" ht="30.75">
      <c r="A84" s="280" t="s">
        <v>11</v>
      </c>
      <c r="B84" s="5" t="s">
        <v>12</v>
      </c>
      <c r="C84" s="6" t="s">
        <v>120</v>
      </c>
      <c r="D84" s="6"/>
      <c r="E84" s="6">
        <v>11</v>
      </c>
      <c r="F84" s="6" t="s">
        <v>19</v>
      </c>
      <c r="G84" s="6" t="s">
        <v>20</v>
      </c>
      <c r="H84" s="420" t="s">
        <v>121</v>
      </c>
      <c r="I84" s="242">
        <v>41332</v>
      </c>
      <c r="J84" s="7" t="s">
        <v>16</v>
      </c>
      <c r="K84" s="8">
        <v>2.2</v>
      </c>
      <c r="L84" s="9"/>
      <c r="M84" s="10">
        <f>12165-9802</f>
        <v>2363</v>
      </c>
      <c r="N84" s="10">
        <f>36084-30156</f>
        <v>5928</v>
      </c>
      <c r="O84" s="10">
        <f t="shared" si="0"/>
        <v>8291</v>
      </c>
    </row>
    <row r="85" spans="1:15" ht="30.75">
      <c r="A85" s="280" t="s">
        <v>11</v>
      </c>
      <c r="B85" s="5" t="s">
        <v>12</v>
      </c>
      <c r="C85" s="6" t="s">
        <v>122</v>
      </c>
      <c r="D85" s="6"/>
      <c r="E85" s="6"/>
      <c r="F85" s="6" t="s">
        <v>19</v>
      </c>
      <c r="G85" s="6" t="s">
        <v>20</v>
      </c>
      <c r="H85" s="420" t="s">
        <v>123</v>
      </c>
      <c r="I85" s="242">
        <v>41338</v>
      </c>
      <c r="J85" s="7" t="s">
        <v>16</v>
      </c>
      <c r="K85" s="8">
        <v>2.2</v>
      </c>
      <c r="L85" s="9"/>
      <c r="M85" s="10">
        <f>4026-3188</f>
        <v>838</v>
      </c>
      <c r="N85" s="10">
        <f>10972-9137</f>
        <v>1835</v>
      </c>
      <c r="O85" s="10">
        <f t="shared" si="0"/>
        <v>2673</v>
      </c>
    </row>
    <row r="86" spans="1:15" ht="30.75">
      <c r="A86" s="280" t="s">
        <v>11</v>
      </c>
      <c r="B86" s="5" t="s">
        <v>12</v>
      </c>
      <c r="C86" s="6" t="s">
        <v>124</v>
      </c>
      <c r="D86" s="6"/>
      <c r="E86" s="6">
        <v>6</v>
      </c>
      <c r="F86" s="6" t="s">
        <v>19</v>
      </c>
      <c r="G86" s="6" t="s">
        <v>20</v>
      </c>
      <c r="H86" s="420" t="s">
        <v>125</v>
      </c>
      <c r="I86" s="242">
        <v>41058</v>
      </c>
      <c r="J86" s="7" t="s">
        <v>16</v>
      </c>
      <c r="K86" s="8">
        <v>1</v>
      </c>
      <c r="L86" s="9"/>
      <c r="M86" s="10">
        <f>6998-5635</f>
        <v>1363</v>
      </c>
      <c r="N86" s="10">
        <f>20185-16854</f>
        <v>3331</v>
      </c>
      <c r="O86" s="10">
        <f aca="true" t="shared" si="1" ref="O86:O106">SUM(M86:N86)</f>
        <v>4694</v>
      </c>
    </row>
    <row r="87" spans="1:15" ht="30.75">
      <c r="A87" s="280" t="s">
        <v>11</v>
      </c>
      <c r="B87" s="5" t="s">
        <v>12</v>
      </c>
      <c r="C87" s="6" t="s">
        <v>124</v>
      </c>
      <c r="D87" s="6"/>
      <c r="E87" s="6">
        <v>38</v>
      </c>
      <c r="F87" s="6" t="s">
        <v>19</v>
      </c>
      <c r="G87" s="6" t="s">
        <v>20</v>
      </c>
      <c r="H87" s="420" t="s">
        <v>126</v>
      </c>
      <c r="I87" s="242">
        <v>41060</v>
      </c>
      <c r="J87" s="7" t="s">
        <v>16</v>
      </c>
      <c r="K87" s="8">
        <v>2.2</v>
      </c>
      <c r="L87" s="9"/>
      <c r="M87" s="10">
        <f>5484-4330</f>
        <v>1154</v>
      </c>
      <c r="N87" s="10">
        <f>16481-13463</f>
        <v>3018</v>
      </c>
      <c r="O87" s="10">
        <f t="shared" si="1"/>
        <v>4172</v>
      </c>
    </row>
    <row r="88" spans="1:15" ht="30.75">
      <c r="A88" s="280" t="s">
        <v>11</v>
      </c>
      <c r="B88" s="5" t="s">
        <v>12</v>
      </c>
      <c r="C88" s="220" t="s">
        <v>124</v>
      </c>
      <c r="D88" s="6" t="s">
        <v>1546</v>
      </c>
      <c r="E88" s="6"/>
      <c r="F88" s="6" t="s">
        <v>19</v>
      </c>
      <c r="G88" s="6" t="s">
        <v>20</v>
      </c>
      <c r="H88" s="420" t="s">
        <v>127</v>
      </c>
      <c r="I88" s="242">
        <v>41024</v>
      </c>
      <c r="J88" s="7" t="s">
        <v>16</v>
      </c>
      <c r="K88" s="8">
        <v>2.2</v>
      </c>
      <c r="L88" s="9"/>
      <c r="M88" s="10">
        <f>1756-1393</f>
        <v>363</v>
      </c>
      <c r="N88" s="10">
        <f>5375-4388</f>
        <v>987</v>
      </c>
      <c r="O88" s="10">
        <f t="shared" si="1"/>
        <v>1350</v>
      </c>
    </row>
    <row r="89" spans="1:15" ht="30.75">
      <c r="A89" s="280" t="s">
        <v>11</v>
      </c>
      <c r="B89" s="5" t="s">
        <v>12</v>
      </c>
      <c r="C89" s="6" t="s">
        <v>128</v>
      </c>
      <c r="D89" s="6"/>
      <c r="E89" s="6">
        <v>14</v>
      </c>
      <c r="F89" s="6" t="s">
        <v>19</v>
      </c>
      <c r="G89" s="6" t="s">
        <v>20</v>
      </c>
      <c r="H89" s="420" t="s">
        <v>129</v>
      </c>
      <c r="I89" s="242">
        <v>41198</v>
      </c>
      <c r="J89" s="7" t="s">
        <v>16</v>
      </c>
      <c r="K89" s="8">
        <v>3.5</v>
      </c>
      <c r="L89" s="9"/>
      <c r="M89" s="10">
        <f>11286-9047</f>
        <v>2239</v>
      </c>
      <c r="N89" s="10">
        <f>34351-28512</f>
        <v>5839</v>
      </c>
      <c r="O89" s="10">
        <f t="shared" si="1"/>
        <v>8078</v>
      </c>
    </row>
    <row r="90" spans="1:15" ht="30.75">
      <c r="A90" s="280" t="s">
        <v>11</v>
      </c>
      <c r="B90" s="5" t="s">
        <v>12</v>
      </c>
      <c r="C90" s="6" t="s">
        <v>100</v>
      </c>
      <c r="D90" s="6"/>
      <c r="E90" s="6" t="s">
        <v>686</v>
      </c>
      <c r="F90" s="6" t="s">
        <v>19</v>
      </c>
      <c r="G90" s="6" t="s">
        <v>20</v>
      </c>
      <c r="H90" s="420" t="s">
        <v>130</v>
      </c>
      <c r="I90" s="242">
        <v>39305</v>
      </c>
      <c r="J90" s="7" t="s">
        <v>16</v>
      </c>
      <c r="K90" s="8">
        <v>6.6</v>
      </c>
      <c r="L90" s="9"/>
      <c r="M90" s="10">
        <f>4682-3946</f>
        <v>736</v>
      </c>
      <c r="N90" s="10">
        <f>18592-15704</f>
        <v>2888</v>
      </c>
      <c r="O90" s="10">
        <f t="shared" si="1"/>
        <v>3624</v>
      </c>
    </row>
    <row r="91" spans="1:15" ht="30.75">
      <c r="A91" s="280" t="s">
        <v>11</v>
      </c>
      <c r="B91" s="5" t="s">
        <v>12</v>
      </c>
      <c r="C91" s="6" t="s">
        <v>100</v>
      </c>
      <c r="D91" s="6"/>
      <c r="E91" s="6" t="s">
        <v>878</v>
      </c>
      <c r="F91" s="6" t="s">
        <v>19</v>
      </c>
      <c r="G91" s="6" t="s">
        <v>20</v>
      </c>
      <c r="H91" s="420" t="s">
        <v>131</v>
      </c>
      <c r="I91" s="242">
        <v>36915</v>
      </c>
      <c r="J91" s="7" t="s">
        <v>16</v>
      </c>
      <c r="K91" s="8">
        <v>2.4</v>
      </c>
      <c r="L91" s="9"/>
      <c r="M91" s="10">
        <f>8908-7052</f>
        <v>1856</v>
      </c>
      <c r="N91" s="10">
        <f>36835-29089</f>
        <v>7746</v>
      </c>
      <c r="O91" s="10">
        <f t="shared" si="1"/>
        <v>9602</v>
      </c>
    </row>
    <row r="92" spans="1:15" ht="30.75">
      <c r="A92" s="280" t="s">
        <v>11</v>
      </c>
      <c r="B92" s="5" t="s">
        <v>12</v>
      </c>
      <c r="C92" s="6" t="s">
        <v>100</v>
      </c>
      <c r="D92" s="6"/>
      <c r="E92" s="6" t="s">
        <v>319</v>
      </c>
      <c r="F92" s="6" t="s">
        <v>19</v>
      </c>
      <c r="G92" s="6" t="s">
        <v>20</v>
      </c>
      <c r="H92" s="420" t="s">
        <v>132</v>
      </c>
      <c r="I92" s="242">
        <v>36917</v>
      </c>
      <c r="J92" s="7" t="s">
        <v>16</v>
      </c>
      <c r="K92" s="8">
        <v>6.6</v>
      </c>
      <c r="L92" s="9"/>
      <c r="M92" s="10">
        <f>8049-6566</f>
        <v>1483</v>
      </c>
      <c r="N92" s="10">
        <f>33125-26974</f>
        <v>6151</v>
      </c>
      <c r="O92" s="10">
        <f t="shared" si="1"/>
        <v>7634</v>
      </c>
    </row>
    <row r="93" spans="1:15" ht="30.75">
      <c r="A93" s="280" t="s">
        <v>11</v>
      </c>
      <c r="B93" s="5" t="s">
        <v>12</v>
      </c>
      <c r="C93" s="6" t="s">
        <v>133</v>
      </c>
      <c r="D93" s="6"/>
      <c r="E93" s="6"/>
      <c r="F93" s="6" t="s">
        <v>19</v>
      </c>
      <c r="G93" s="6" t="s">
        <v>20</v>
      </c>
      <c r="H93" s="420" t="s">
        <v>134</v>
      </c>
      <c r="I93" s="242">
        <v>41105</v>
      </c>
      <c r="J93" s="7" t="s">
        <v>16</v>
      </c>
      <c r="K93" s="8">
        <v>2.2</v>
      </c>
      <c r="L93" s="9"/>
      <c r="M93" s="10">
        <f>4734-3792</f>
        <v>942</v>
      </c>
      <c r="N93" s="10">
        <f>14270-11889</f>
        <v>2381</v>
      </c>
      <c r="O93" s="10">
        <f t="shared" si="1"/>
        <v>3323</v>
      </c>
    </row>
    <row r="94" spans="1:15" ht="30.75">
      <c r="A94" s="280" t="s">
        <v>11</v>
      </c>
      <c r="B94" s="5" t="s">
        <v>12</v>
      </c>
      <c r="C94" s="6" t="s">
        <v>133</v>
      </c>
      <c r="D94" s="6"/>
      <c r="E94" s="6">
        <v>41</v>
      </c>
      <c r="F94" s="6" t="s">
        <v>19</v>
      </c>
      <c r="G94" s="6" t="s">
        <v>20</v>
      </c>
      <c r="H94" s="420" t="s">
        <v>135</v>
      </c>
      <c r="I94" s="242">
        <v>41108</v>
      </c>
      <c r="J94" s="7" t="s">
        <v>16</v>
      </c>
      <c r="K94" s="8">
        <v>2.2</v>
      </c>
      <c r="L94" s="9"/>
      <c r="M94" s="10">
        <f>5770-4609</f>
        <v>1161</v>
      </c>
      <c r="N94" s="10">
        <f>17716-14720</f>
        <v>2996</v>
      </c>
      <c r="O94" s="10">
        <f t="shared" si="1"/>
        <v>4157</v>
      </c>
    </row>
    <row r="95" spans="1:15" ht="30.75">
      <c r="A95" s="280" t="s">
        <v>11</v>
      </c>
      <c r="B95" s="5" t="s">
        <v>12</v>
      </c>
      <c r="C95" s="6" t="s">
        <v>133</v>
      </c>
      <c r="D95" s="6"/>
      <c r="E95" s="6">
        <v>63</v>
      </c>
      <c r="F95" s="6" t="s">
        <v>19</v>
      </c>
      <c r="G95" s="6" t="s">
        <v>20</v>
      </c>
      <c r="H95" s="420" t="s">
        <v>136</v>
      </c>
      <c r="I95" s="242">
        <v>41110</v>
      </c>
      <c r="J95" s="7" t="s">
        <v>16</v>
      </c>
      <c r="K95" s="8">
        <v>2.2</v>
      </c>
      <c r="L95" s="9"/>
      <c r="M95" s="10">
        <f>6230-5047</f>
        <v>1183</v>
      </c>
      <c r="N95" s="10">
        <f>19430-16265</f>
        <v>3165</v>
      </c>
      <c r="O95" s="10">
        <f t="shared" si="1"/>
        <v>4348</v>
      </c>
    </row>
    <row r="96" spans="1:15" ht="30.75">
      <c r="A96" s="280" t="s">
        <v>11</v>
      </c>
      <c r="B96" s="5" t="s">
        <v>12</v>
      </c>
      <c r="C96" s="6" t="s">
        <v>20</v>
      </c>
      <c r="D96" s="6" t="s">
        <v>137</v>
      </c>
      <c r="E96" s="6">
        <v>44</v>
      </c>
      <c r="F96" s="6" t="s">
        <v>19</v>
      </c>
      <c r="G96" s="6" t="s">
        <v>20</v>
      </c>
      <c r="H96" s="420" t="s">
        <v>138</v>
      </c>
      <c r="I96" s="242">
        <v>41107</v>
      </c>
      <c r="J96" s="7" t="s">
        <v>16</v>
      </c>
      <c r="K96" s="8">
        <v>2.2</v>
      </c>
      <c r="L96" s="9"/>
      <c r="M96" s="10">
        <f>2655-2181</f>
        <v>474</v>
      </c>
      <c r="N96" s="10">
        <f>7371-6131</f>
        <v>1240</v>
      </c>
      <c r="O96" s="10">
        <f t="shared" si="1"/>
        <v>1714</v>
      </c>
    </row>
    <row r="97" spans="1:15" ht="30.75">
      <c r="A97" s="280" t="s">
        <v>11</v>
      </c>
      <c r="B97" s="5" t="s">
        <v>12</v>
      </c>
      <c r="C97" s="6" t="s">
        <v>20</v>
      </c>
      <c r="D97" s="6" t="s">
        <v>139</v>
      </c>
      <c r="E97" s="6">
        <v>2</v>
      </c>
      <c r="F97" s="6" t="s">
        <v>19</v>
      </c>
      <c r="G97" s="6" t="s">
        <v>20</v>
      </c>
      <c r="H97" s="420" t="s">
        <v>140</v>
      </c>
      <c r="I97" s="242">
        <v>41441</v>
      </c>
      <c r="J97" s="7" t="s">
        <v>16</v>
      </c>
      <c r="K97" s="8">
        <v>2.2</v>
      </c>
      <c r="L97" s="9"/>
      <c r="M97" s="10">
        <f>5453-4352</f>
        <v>1101</v>
      </c>
      <c r="N97" s="10">
        <f>16211-13443</f>
        <v>2768</v>
      </c>
      <c r="O97" s="10">
        <f t="shared" si="1"/>
        <v>3869</v>
      </c>
    </row>
    <row r="98" spans="1:15" ht="30.75">
      <c r="A98" s="280" t="s">
        <v>11</v>
      </c>
      <c r="B98" s="5" t="s">
        <v>12</v>
      </c>
      <c r="C98" s="6" t="s">
        <v>20</v>
      </c>
      <c r="D98" s="6" t="s">
        <v>139</v>
      </c>
      <c r="E98" s="6">
        <v>61</v>
      </c>
      <c r="F98" s="6" t="s">
        <v>19</v>
      </c>
      <c r="G98" s="6" t="s">
        <v>20</v>
      </c>
      <c r="H98" s="420" t="s">
        <v>141</v>
      </c>
      <c r="I98" s="242">
        <v>41109</v>
      </c>
      <c r="J98" s="7" t="s">
        <v>16</v>
      </c>
      <c r="K98" s="8">
        <v>1.3</v>
      </c>
      <c r="L98" s="9"/>
      <c r="M98" s="10">
        <f>8356-4637</f>
        <v>3719</v>
      </c>
      <c r="N98" s="10">
        <f>23439-14330</f>
        <v>9109</v>
      </c>
      <c r="O98" s="10">
        <f t="shared" si="1"/>
        <v>12828</v>
      </c>
    </row>
    <row r="99" spans="1:15" ht="30.75">
      <c r="A99" s="280" t="s">
        <v>11</v>
      </c>
      <c r="B99" s="5" t="s">
        <v>12</v>
      </c>
      <c r="C99" s="6" t="s">
        <v>142</v>
      </c>
      <c r="D99" s="6"/>
      <c r="E99" s="6">
        <v>19</v>
      </c>
      <c r="F99" s="6" t="s">
        <v>19</v>
      </c>
      <c r="G99" s="6" t="s">
        <v>20</v>
      </c>
      <c r="H99" s="420" t="s">
        <v>143</v>
      </c>
      <c r="I99" s="242">
        <v>41337</v>
      </c>
      <c r="J99" s="7" t="s">
        <v>16</v>
      </c>
      <c r="K99" s="8">
        <v>1.2</v>
      </c>
      <c r="L99" s="9"/>
      <c r="M99" s="10">
        <f>4741-3796</f>
        <v>945</v>
      </c>
      <c r="N99" s="10">
        <f>14066-11695</f>
        <v>2371</v>
      </c>
      <c r="O99" s="10">
        <f t="shared" si="1"/>
        <v>3316</v>
      </c>
    </row>
    <row r="100" spans="1:15" ht="30.75">
      <c r="A100" s="280" t="s">
        <v>11</v>
      </c>
      <c r="B100" s="5" t="s">
        <v>12</v>
      </c>
      <c r="C100" s="6" t="s">
        <v>142</v>
      </c>
      <c r="D100" s="6"/>
      <c r="E100" s="6">
        <v>55</v>
      </c>
      <c r="F100" s="6" t="s">
        <v>19</v>
      </c>
      <c r="G100" s="6" t="s">
        <v>20</v>
      </c>
      <c r="H100" s="420" t="s">
        <v>144</v>
      </c>
      <c r="I100" s="242">
        <v>41333</v>
      </c>
      <c r="J100" s="7" t="s">
        <v>16</v>
      </c>
      <c r="K100" s="8">
        <v>2.2</v>
      </c>
      <c r="L100" s="9"/>
      <c r="M100" s="10">
        <f>8702-7012</f>
        <v>1690</v>
      </c>
      <c r="N100" s="10">
        <f>25533-21315</f>
        <v>4218</v>
      </c>
      <c r="O100" s="10">
        <f t="shared" si="1"/>
        <v>5908</v>
      </c>
    </row>
    <row r="101" spans="1:15" ht="30.75">
      <c r="A101" s="280" t="s">
        <v>11</v>
      </c>
      <c r="B101" s="5" t="s">
        <v>12</v>
      </c>
      <c r="C101" s="6" t="s">
        <v>142</v>
      </c>
      <c r="D101" s="6"/>
      <c r="E101" s="6">
        <v>91</v>
      </c>
      <c r="F101" s="6" t="s">
        <v>19</v>
      </c>
      <c r="G101" s="6" t="s">
        <v>20</v>
      </c>
      <c r="H101" s="420" t="s">
        <v>145</v>
      </c>
      <c r="I101" s="242">
        <v>41336</v>
      </c>
      <c r="J101" s="7" t="s">
        <v>16</v>
      </c>
      <c r="K101" s="8">
        <v>2.2</v>
      </c>
      <c r="L101" s="9"/>
      <c r="M101" s="10">
        <f>3379-2674</f>
        <v>705</v>
      </c>
      <c r="N101" s="10">
        <f>9749-8011</f>
        <v>1738</v>
      </c>
      <c r="O101" s="10">
        <f t="shared" si="1"/>
        <v>2443</v>
      </c>
    </row>
    <row r="102" spans="1:15" ht="30.75">
      <c r="A102" s="280" t="s">
        <v>11</v>
      </c>
      <c r="B102" s="5" t="s">
        <v>12</v>
      </c>
      <c r="C102" s="6" t="s">
        <v>106</v>
      </c>
      <c r="D102" s="6"/>
      <c r="E102" s="6" t="s">
        <v>146</v>
      </c>
      <c r="F102" s="6" t="s">
        <v>19</v>
      </c>
      <c r="G102" s="6" t="s">
        <v>20</v>
      </c>
      <c r="H102" s="420" t="s">
        <v>147</v>
      </c>
      <c r="I102" s="242">
        <v>70526225</v>
      </c>
      <c r="J102" s="7" t="s">
        <v>16</v>
      </c>
      <c r="K102" s="8">
        <v>11</v>
      </c>
      <c r="L102" s="9"/>
      <c r="M102" s="10">
        <f>1118-936</f>
        <v>182</v>
      </c>
      <c r="N102" s="10">
        <f>3132-2502</f>
        <v>630</v>
      </c>
      <c r="O102" s="10">
        <f t="shared" si="1"/>
        <v>812</v>
      </c>
    </row>
    <row r="103" spans="1:15" ht="30.75">
      <c r="A103" s="280" t="s">
        <v>11</v>
      </c>
      <c r="B103" s="5" t="s">
        <v>12</v>
      </c>
      <c r="C103" s="6" t="s">
        <v>20</v>
      </c>
      <c r="D103" s="6"/>
      <c r="E103" s="6"/>
      <c r="F103" s="6" t="s">
        <v>19</v>
      </c>
      <c r="G103" s="6" t="s">
        <v>20</v>
      </c>
      <c r="H103" s="420" t="s">
        <v>148</v>
      </c>
      <c r="I103" s="242">
        <v>41056</v>
      </c>
      <c r="J103" s="7" t="s">
        <v>16</v>
      </c>
      <c r="K103" s="8">
        <v>2.2</v>
      </c>
      <c r="L103" s="9"/>
      <c r="M103" s="10">
        <f>5074-4045</f>
        <v>1029</v>
      </c>
      <c r="N103" s="10">
        <f>15621-12983</f>
        <v>2638</v>
      </c>
      <c r="O103" s="10">
        <f t="shared" si="1"/>
        <v>3667</v>
      </c>
    </row>
    <row r="104" spans="1:15" ht="30.75">
      <c r="A104" s="280" t="s">
        <v>11</v>
      </c>
      <c r="B104" s="5" t="s">
        <v>12</v>
      </c>
      <c r="C104" s="6" t="s">
        <v>20</v>
      </c>
      <c r="D104" s="6" t="s">
        <v>149</v>
      </c>
      <c r="E104" s="6"/>
      <c r="F104" s="6" t="s">
        <v>19</v>
      </c>
      <c r="G104" s="6" t="s">
        <v>20</v>
      </c>
      <c r="H104" s="420" t="s">
        <v>150</v>
      </c>
      <c r="I104" s="242">
        <v>40411</v>
      </c>
      <c r="J104" s="7" t="s">
        <v>16</v>
      </c>
      <c r="K104" s="8">
        <v>6.6</v>
      </c>
      <c r="L104" s="9"/>
      <c r="M104" s="10">
        <f>29697-24992</f>
        <v>4705</v>
      </c>
      <c r="N104" s="10">
        <f>131099-109272</f>
        <v>21827</v>
      </c>
      <c r="O104" s="10">
        <f t="shared" si="1"/>
        <v>26532</v>
      </c>
    </row>
    <row r="105" spans="1:15" ht="30.75">
      <c r="A105" s="280" t="s">
        <v>11</v>
      </c>
      <c r="B105" s="5" t="s">
        <v>12</v>
      </c>
      <c r="C105" s="6" t="s">
        <v>20</v>
      </c>
      <c r="D105" s="6"/>
      <c r="E105" s="6"/>
      <c r="F105" s="6" t="s">
        <v>19</v>
      </c>
      <c r="G105" s="6" t="s">
        <v>20</v>
      </c>
      <c r="H105" s="470" t="s">
        <v>151</v>
      </c>
      <c r="I105" s="242">
        <v>70618870</v>
      </c>
      <c r="J105" s="7" t="s">
        <v>16</v>
      </c>
      <c r="K105" s="8">
        <v>5</v>
      </c>
      <c r="L105" s="12"/>
      <c r="M105" s="114">
        <f>18664-15553</f>
        <v>3111</v>
      </c>
      <c r="N105" s="114">
        <f>81906-66625</f>
        <v>15281</v>
      </c>
      <c r="O105" s="10">
        <f t="shared" si="1"/>
        <v>18392</v>
      </c>
    </row>
    <row r="106" spans="1:15" ht="30.75">
      <c r="A106" s="280" t="s">
        <v>11</v>
      </c>
      <c r="B106" s="5" t="s">
        <v>12</v>
      </c>
      <c r="C106" s="6" t="s">
        <v>18</v>
      </c>
      <c r="D106" s="6"/>
      <c r="E106" s="6"/>
      <c r="F106" s="6" t="s">
        <v>19</v>
      </c>
      <c r="G106" s="6" t="s">
        <v>20</v>
      </c>
      <c r="H106" s="470" t="s">
        <v>153</v>
      </c>
      <c r="I106" s="242">
        <v>41779</v>
      </c>
      <c r="J106" s="7" t="s">
        <v>16</v>
      </c>
      <c r="K106" s="8">
        <v>0.5</v>
      </c>
      <c r="L106" s="12"/>
      <c r="M106" s="114">
        <f>5404-4440</f>
        <v>964</v>
      </c>
      <c r="N106" s="114">
        <f>8224-6917</f>
        <v>1307</v>
      </c>
      <c r="O106" s="10">
        <f t="shared" si="1"/>
        <v>2271</v>
      </c>
    </row>
    <row r="107" spans="1:15" ht="30.75">
      <c r="A107" s="280" t="s">
        <v>11</v>
      </c>
      <c r="B107" s="5" t="s">
        <v>12</v>
      </c>
      <c r="C107" s="6" t="s">
        <v>20</v>
      </c>
      <c r="D107" s="6" t="s">
        <v>87</v>
      </c>
      <c r="E107" s="6"/>
      <c r="F107" s="6" t="s">
        <v>19</v>
      </c>
      <c r="G107" s="6" t="s">
        <v>20</v>
      </c>
      <c r="H107" s="470" t="s">
        <v>1549</v>
      </c>
      <c r="I107" s="242">
        <v>218246</v>
      </c>
      <c r="J107" s="189" t="s">
        <v>152</v>
      </c>
      <c r="K107" s="8">
        <v>13</v>
      </c>
      <c r="L107" s="10">
        <f>40832-22868</f>
        <v>17964</v>
      </c>
      <c r="M107" s="12"/>
      <c r="N107" s="12"/>
      <c r="O107" s="10">
        <f>L107</f>
        <v>17964</v>
      </c>
    </row>
    <row r="108" spans="1:15" ht="30.75">
      <c r="A108" s="280" t="s">
        <v>11</v>
      </c>
      <c r="B108" s="5" t="s">
        <v>12</v>
      </c>
      <c r="C108" s="5" t="s">
        <v>1550</v>
      </c>
      <c r="D108" s="6" t="s">
        <v>1551</v>
      </c>
      <c r="E108" s="6"/>
      <c r="F108" s="6" t="s">
        <v>19</v>
      </c>
      <c r="G108" s="6" t="s">
        <v>20</v>
      </c>
      <c r="H108" s="470" t="s">
        <v>1552</v>
      </c>
      <c r="I108" s="242">
        <v>101528</v>
      </c>
      <c r="J108" s="7" t="s">
        <v>16</v>
      </c>
      <c r="K108" s="8">
        <v>0.5</v>
      </c>
      <c r="L108" s="12"/>
      <c r="M108" s="114">
        <f>1633-1376</f>
        <v>257</v>
      </c>
      <c r="N108" s="114">
        <f>6800-5793</f>
        <v>1007</v>
      </c>
      <c r="O108" s="10">
        <f>SUM(M108:N108)</f>
        <v>1264</v>
      </c>
    </row>
    <row r="109" spans="1:15" ht="30.75">
      <c r="A109" s="280" t="s">
        <v>11</v>
      </c>
      <c r="B109" s="426" t="s">
        <v>162</v>
      </c>
      <c r="C109" s="426" t="s">
        <v>1547</v>
      </c>
      <c r="D109" s="109" t="s">
        <v>87</v>
      </c>
      <c r="E109" s="110"/>
      <c r="F109" s="111" t="s">
        <v>19</v>
      </c>
      <c r="G109" s="111" t="s">
        <v>20</v>
      </c>
      <c r="H109" s="471" t="s">
        <v>1548</v>
      </c>
      <c r="I109" s="109">
        <v>35045</v>
      </c>
      <c r="J109" s="190" t="s">
        <v>152</v>
      </c>
      <c r="K109" s="112">
        <v>1</v>
      </c>
      <c r="L109" s="113">
        <f>12919-10166</f>
        <v>2753</v>
      </c>
      <c r="M109" s="12"/>
      <c r="N109" s="12"/>
      <c r="O109" s="114">
        <f>L109</f>
        <v>2753</v>
      </c>
    </row>
    <row r="110" spans="1:15" ht="29.25">
      <c r="A110" s="322" t="s">
        <v>11</v>
      </c>
      <c r="B110" s="186" t="s">
        <v>1090</v>
      </c>
      <c r="C110" s="186" t="s">
        <v>1091</v>
      </c>
      <c r="D110" s="186"/>
      <c r="E110" s="187"/>
      <c r="F110" s="188" t="s">
        <v>19</v>
      </c>
      <c r="G110" s="188" t="s">
        <v>20</v>
      </c>
      <c r="H110" s="469" t="s">
        <v>1695</v>
      </c>
      <c r="I110" s="208">
        <v>29122</v>
      </c>
      <c r="J110" s="429" t="s">
        <v>152</v>
      </c>
      <c r="K110" s="324">
        <v>1.5</v>
      </c>
      <c r="L110" s="325">
        <f>18056-14645</f>
        <v>3411</v>
      </c>
      <c r="M110" s="326"/>
      <c r="N110" s="326"/>
      <c r="O110" s="13">
        <f>L110</f>
        <v>3411</v>
      </c>
    </row>
    <row r="111" spans="1:15" ht="29.25">
      <c r="A111" s="280" t="s">
        <v>11</v>
      </c>
      <c r="B111" s="186" t="s">
        <v>12</v>
      </c>
      <c r="C111" s="62" t="s">
        <v>14</v>
      </c>
      <c r="D111" s="62" t="s">
        <v>94</v>
      </c>
      <c r="E111" s="56"/>
      <c r="F111" s="80" t="s">
        <v>13</v>
      </c>
      <c r="G111" s="56" t="s">
        <v>14</v>
      </c>
      <c r="H111" s="469" t="s">
        <v>1823</v>
      </c>
      <c r="I111" s="56">
        <v>1494759</v>
      </c>
      <c r="J111" s="210" t="s">
        <v>152</v>
      </c>
      <c r="K111" s="245">
        <v>3</v>
      </c>
      <c r="L111" s="30">
        <f>5770-2795</f>
        <v>2975</v>
      </c>
      <c r="M111" s="46"/>
      <c r="N111" s="46"/>
      <c r="O111" s="30">
        <f>L111</f>
        <v>2975</v>
      </c>
    </row>
    <row r="112" spans="1:15" ht="29.25">
      <c r="A112" s="322" t="s">
        <v>11</v>
      </c>
      <c r="B112" s="187" t="s">
        <v>12</v>
      </c>
      <c r="C112" s="200" t="s">
        <v>110</v>
      </c>
      <c r="D112" s="211"/>
      <c r="E112" s="53"/>
      <c r="F112" s="188" t="s">
        <v>19</v>
      </c>
      <c r="G112" s="188" t="s">
        <v>20</v>
      </c>
      <c r="H112" s="469" t="s">
        <v>1824</v>
      </c>
      <c r="I112" s="53">
        <v>1494748</v>
      </c>
      <c r="J112" s="211" t="s">
        <v>152</v>
      </c>
      <c r="K112" s="270">
        <v>3</v>
      </c>
      <c r="L112" s="26">
        <f>2058-988</f>
        <v>1070</v>
      </c>
      <c r="M112" s="55"/>
      <c r="N112" s="55"/>
      <c r="O112" s="26">
        <f>L112</f>
        <v>1070</v>
      </c>
    </row>
    <row r="113" spans="1:15" ht="18.75" thickBot="1">
      <c r="A113" s="280" t="s">
        <v>11</v>
      </c>
      <c r="B113" s="168" t="s">
        <v>964</v>
      </c>
      <c r="C113" s="168" t="s">
        <v>18</v>
      </c>
      <c r="D113" s="56"/>
      <c r="E113" s="56"/>
      <c r="F113" s="80" t="s">
        <v>19</v>
      </c>
      <c r="G113" s="56" t="s">
        <v>20</v>
      </c>
      <c r="H113" s="469" t="s">
        <v>1841</v>
      </c>
      <c r="I113" s="56">
        <v>90022525</v>
      </c>
      <c r="J113" s="210" t="s">
        <v>152</v>
      </c>
      <c r="K113" s="401">
        <v>1</v>
      </c>
      <c r="L113" s="56">
        <f>2480-39</f>
        <v>2441</v>
      </c>
      <c r="M113" s="46"/>
      <c r="N113" s="46"/>
      <c r="O113" s="56">
        <f>L113</f>
        <v>2441</v>
      </c>
    </row>
    <row r="114" spans="2:15" ht="18.75" customHeight="1">
      <c r="B114" s="555" t="s">
        <v>155</v>
      </c>
      <c r="C114" s="556" t="s">
        <v>964</v>
      </c>
      <c r="D114" s="557"/>
      <c r="G114" s="75" t="s">
        <v>1998</v>
      </c>
      <c r="H114" s="563" t="s">
        <v>964</v>
      </c>
      <c r="N114" s="13" t="s">
        <v>156</v>
      </c>
      <c r="O114" s="284">
        <f>SUM(O21:O113)</f>
        <v>714874</v>
      </c>
    </row>
    <row r="115" spans="2:16" ht="18.75" customHeight="1">
      <c r="B115" s="558"/>
      <c r="C115" s="422" t="s">
        <v>1997</v>
      </c>
      <c r="D115" s="559"/>
      <c r="G115" s="106"/>
      <c r="H115" s="564" t="s">
        <v>1997</v>
      </c>
      <c r="M115" s="2"/>
      <c r="N115" s="2"/>
      <c r="O115" s="219"/>
      <c r="P115" s="239"/>
    </row>
    <row r="116" spans="2:16" ht="18.75" customHeight="1" thickBot="1">
      <c r="B116" s="106"/>
      <c r="C116" s="293" t="s">
        <v>966</v>
      </c>
      <c r="D116" s="559"/>
      <c r="G116" s="565"/>
      <c r="H116" s="562" t="s">
        <v>966</v>
      </c>
      <c r="O116" s="219"/>
      <c r="P116" s="239"/>
    </row>
    <row r="117" spans="2:16" ht="18.75" customHeight="1">
      <c r="B117" s="296" t="s">
        <v>1689</v>
      </c>
      <c r="C117" s="297">
        <v>8222147185</v>
      </c>
      <c r="D117" s="559"/>
      <c r="O117" s="219"/>
      <c r="P117" s="239"/>
    </row>
    <row r="118" spans="2:16" ht="18.75" customHeight="1" thickBot="1">
      <c r="B118" s="560" t="s">
        <v>1693</v>
      </c>
      <c r="C118" s="561" t="s">
        <v>1694</v>
      </c>
      <c r="D118" s="562"/>
      <c r="O118" s="219"/>
      <c r="P118" s="239"/>
    </row>
    <row r="119" spans="2:16" ht="18.75" customHeight="1">
      <c r="B119" s="281"/>
      <c r="C119" s="69"/>
      <c r="D119" s="69"/>
      <c r="O119" s="219"/>
      <c r="P119" s="239"/>
    </row>
    <row r="120" spans="15:16" ht="14.25">
      <c r="O120" s="219"/>
      <c r="P120" s="219"/>
    </row>
    <row r="121" spans="4:5" ht="14.25">
      <c r="D121" s="710" t="s">
        <v>963</v>
      </c>
      <c r="E121" s="710"/>
    </row>
    <row r="122" spans="4:5" ht="15" thickBot="1">
      <c r="D122" s="710"/>
      <c r="E122" s="710"/>
    </row>
    <row r="123" spans="1:20" ht="45" customHeight="1">
      <c r="A123" s="707" t="s">
        <v>0</v>
      </c>
      <c r="B123" s="676" t="s">
        <v>993</v>
      </c>
      <c r="C123" s="680" t="s">
        <v>2</v>
      </c>
      <c r="D123" s="680" t="s">
        <v>3</v>
      </c>
      <c r="E123" s="686" t="s">
        <v>1038</v>
      </c>
      <c r="F123" s="686" t="s">
        <v>5</v>
      </c>
      <c r="G123" s="680" t="s">
        <v>6</v>
      </c>
      <c r="H123" s="686" t="s">
        <v>7</v>
      </c>
      <c r="I123" s="695" t="s">
        <v>753</v>
      </c>
      <c r="J123" s="686" t="s">
        <v>157</v>
      </c>
      <c r="K123" s="692" t="s">
        <v>992</v>
      </c>
      <c r="L123" s="683" t="s">
        <v>1039</v>
      </c>
      <c r="M123" s="684"/>
      <c r="N123" s="684"/>
      <c r="O123" s="685"/>
      <c r="P123" s="170"/>
      <c r="Q123" s="170"/>
      <c r="R123" s="170"/>
      <c r="S123" s="171"/>
      <c r="T123" s="171"/>
    </row>
    <row r="124" spans="1:20" ht="36" customHeight="1">
      <c r="A124" s="708"/>
      <c r="B124" s="677"/>
      <c r="C124" s="681"/>
      <c r="D124" s="681"/>
      <c r="E124" s="687"/>
      <c r="F124" s="687"/>
      <c r="G124" s="681"/>
      <c r="H124" s="687"/>
      <c r="I124" s="696"/>
      <c r="J124" s="687"/>
      <c r="K124" s="693"/>
      <c r="L124" s="689" t="s">
        <v>1040</v>
      </c>
      <c r="M124" s="690"/>
      <c r="N124" s="690"/>
      <c r="O124" s="691"/>
      <c r="P124" s="170"/>
      <c r="Q124" s="170"/>
      <c r="R124" s="170"/>
      <c r="S124" s="171"/>
      <c r="T124" s="171"/>
    </row>
    <row r="125" spans="1:20" ht="25.5" customHeight="1" thickBot="1">
      <c r="A125" s="709"/>
      <c r="B125" s="678"/>
      <c r="C125" s="682"/>
      <c r="D125" s="682"/>
      <c r="E125" s="688"/>
      <c r="F125" s="688"/>
      <c r="G125" s="682"/>
      <c r="H125" s="688"/>
      <c r="I125" s="697"/>
      <c r="J125" s="688"/>
      <c r="K125" s="694"/>
      <c r="L125" s="136" t="s">
        <v>1041</v>
      </c>
      <c r="M125" s="137" t="s">
        <v>1035</v>
      </c>
      <c r="N125" s="137" t="s">
        <v>1036</v>
      </c>
      <c r="O125" s="138" t="s">
        <v>10</v>
      </c>
      <c r="P125" s="170"/>
      <c r="Q125" s="170"/>
      <c r="R125" s="170"/>
      <c r="S125" s="171"/>
      <c r="T125" s="171"/>
    </row>
    <row r="126" spans="1:20" ht="44.25" thickBot="1">
      <c r="A126" s="400" t="s">
        <v>11</v>
      </c>
      <c r="B126" s="428" t="s">
        <v>1827</v>
      </c>
      <c r="C126" s="191" t="s">
        <v>20</v>
      </c>
      <c r="D126" s="191" t="s">
        <v>169</v>
      </c>
      <c r="E126" s="188"/>
      <c r="F126" s="188" t="s">
        <v>19</v>
      </c>
      <c r="G126" s="188" t="s">
        <v>20</v>
      </c>
      <c r="H126" s="469" t="s">
        <v>1825</v>
      </c>
      <c r="I126" s="427" t="s">
        <v>1826</v>
      </c>
      <c r="J126" s="193" t="s">
        <v>152</v>
      </c>
      <c r="K126" s="192">
        <v>2</v>
      </c>
      <c r="L126" s="54">
        <f>9469-7549</f>
        <v>1920</v>
      </c>
      <c r="M126" s="55"/>
      <c r="N126" s="55"/>
      <c r="O126" s="54">
        <f>L126</f>
        <v>1920</v>
      </c>
      <c r="P126" s="156"/>
      <c r="Q126" s="156"/>
      <c r="R126" s="156"/>
      <c r="S126" s="169"/>
      <c r="T126" s="169"/>
    </row>
    <row r="127" spans="2:21" ht="15">
      <c r="B127" s="75" t="s">
        <v>155</v>
      </c>
      <c r="C127" s="66" t="s">
        <v>964</v>
      </c>
      <c r="D127" s="35"/>
      <c r="G127" s="75" t="s">
        <v>1998</v>
      </c>
      <c r="H127" s="563" t="s">
        <v>964</v>
      </c>
      <c r="L127" s="2"/>
      <c r="M127" s="2"/>
      <c r="N127" s="13" t="s">
        <v>156</v>
      </c>
      <c r="O127" s="284">
        <f>O126</f>
        <v>1920</v>
      </c>
      <c r="Q127" s="156"/>
      <c r="R127" s="156"/>
      <c r="S127" s="156"/>
      <c r="T127" s="31"/>
      <c r="U127" s="31"/>
    </row>
    <row r="128" spans="2:21" ht="15">
      <c r="B128" s="37"/>
      <c r="C128" s="69" t="s">
        <v>965</v>
      </c>
      <c r="D128" s="39"/>
      <c r="G128" s="106"/>
      <c r="H128" s="564" t="s">
        <v>1997</v>
      </c>
      <c r="I128" s="218"/>
      <c r="L128" s="2"/>
      <c r="M128" s="2"/>
      <c r="N128" s="2"/>
      <c r="O128" s="2"/>
      <c r="P128" s="156"/>
      <c r="Q128" s="156"/>
      <c r="R128" s="156"/>
      <c r="S128" s="156"/>
      <c r="T128" s="31"/>
      <c r="U128" s="31"/>
    </row>
    <row r="129" spans="2:21" ht="14.25" customHeight="1" thickBot="1">
      <c r="B129" s="37"/>
      <c r="C129" s="69" t="s">
        <v>966</v>
      </c>
      <c r="D129" s="39"/>
      <c r="G129" s="565"/>
      <c r="H129" s="562" t="s">
        <v>966</v>
      </c>
      <c r="L129" s="2"/>
      <c r="M129" s="2"/>
      <c r="N129" s="2"/>
      <c r="O129" s="2"/>
      <c r="P129" s="156"/>
      <c r="Q129" s="156"/>
      <c r="R129" s="156"/>
      <c r="S129" s="156"/>
      <c r="T129" s="31"/>
      <c r="U129" s="31"/>
    </row>
    <row r="130" spans="2:10" ht="15.75" thickBot="1">
      <c r="B130" s="240" t="s">
        <v>2013</v>
      </c>
      <c r="C130" s="72" t="s">
        <v>2012</v>
      </c>
      <c r="D130" s="42"/>
      <c r="I130" s="59" t="s">
        <v>160</v>
      </c>
      <c r="J130" s="2">
        <f>O114+O127</f>
        <v>716794</v>
      </c>
    </row>
    <row r="131" spans="2:4" ht="15.75" thickBot="1">
      <c r="B131" s="69"/>
      <c r="C131" s="69"/>
      <c r="D131" s="69"/>
    </row>
    <row r="132" spans="7:19" ht="48.75" customHeight="1">
      <c r="G132" s="705" t="s">
        <v>157</v>
      </c>
      <c r="H132" s="702" t="s">
        <v>1034</v>
      </c>
      <c r="I132" s="703"/>
      <c r="J132" s="704"/>
      <c r="K132" s="711" t="s">
        <v>158</v>
      </c>
      <c r="Q132" s="2"/>
      <c r="R132" s="2"/>
      <c r="S132" s="2"/>
    </row>
    <row r="133" spans="7:19" ht="23.25" customHeight="1" thickBot="1">
      <c r="G133" s="706"/>
      <c r="H133" s="130" t="s">
        <v>159</v>
      </c>
      <c r="I133" s="130" t="s">
        <v>1035</v>
      </c>
      <c r="J133" s="130" t="s">
        <v>1036</v>
      </c>
      <c r="K133" s="712"/>
      <c r="Q133" s="2"/>
      <c r="R133" s="2"/>
      <c r="S133" s="2"/>
    </row>
    <row r="134" spans="7:19" ht="14.25">
      <c r="G134" s="131" t="s">
        <v>152</v>
      </c>
      <c r="H134" s="103">
        <f>O107+O109+O110+O111+O112+O113+O126</f>
        <v>32534</v>
      </c>
      <c r="I134" s="160"/>
      <c r="J134" s="160"/>
      <c r="K134" s="103">
        <v>7</v>
      </c>
      <c r="Q134" s="2"/>
      <c r="R134" s="2"/>
      <c r="S134" s="2"/>
    </row>
    <row r="135" spans="7:19" ht="15" thickBot="1">
      <c r="G135" s="168" t="s">
        <v>16</v>
      </c>
      <c r="H135" s="58"/>
      <c r="I135" s="14">
        <f>SUM(M21:M106,M108)</f>
        <v>169371</v>
      </c>
      <c r="J135" s="14">
        <f>SUM(N21:N106,N108)</f>
        <v>514889</v>
      </c>
      <c r="K135" s="14">
        <v>87</v>
      </c>
      <c r="Q135" s="2"/>
      <c r="R135" s="2"/>
      <c r="S135" s="2"/>
    </row>
    <row r="136" spans="7:11" ht="15" thickBot="1">
      <c r="G136" s="134" t="s">
        <v>160</v>
      </c>
      <c r="H136" s="135">
        <f>H134</f>
        <v>32534</v>
      </c>
      <c r="I136" s="18">
        <f>I135</f>
        <v>169371</v>
      </c>
      <c r="J136" s="15">
        <f>J135</f>
        <v>514889</v>
      </c>
      <c r="K136" s="328">
        <f>SUM(K134:K135)</f>
        <v>94</v>
      </c>
    </row>
    <row r="137" spans="8:11" ht="18.75" thickBot="1">
      <c r="H137" s="20" t="s">
        <v>161</v>
      </c>
      <c r="I137" s="327">
        <f>SUM(H136:J136)</f>
        <v>716794</v>
      </c>
      <c r="J137" s="2"/>
      <c r="K137" s="2"/>
    </row>
    <row r="138" spans="12:16" ht="14.25">
      <c r="L138" s="31"/>
      <c r="M138" s="31"/>
      <c r="N138" s="156"/>
      <c r="O138" s="31"/>
      <c r="P138" s="31"/>
    </row>
    <row r="139" spans="12:16" ht="14.25">
      <c r="L139" s="31"/>
      <c r="M139" s="31"/>
      <c r="N139" s="31"/>
      <c r="O139" s="31"/>
      <c r="P139" s="31"/>
    </row>
  </sheetData>
  <sheetProtection/>
  <mergeCells count="36">
    <mergeCell ref="H132:J132"/>
    <mergeCell ref="G132:G133"/>
    <mergeCell ref="A18:A20"/>
    <mergeCell ref="B18:B20"/>
    <mergeCell ref="D121:E122"/>
    <mergeCell ref="L123:O123"/>
    <mergeCell ref="G18:G20"/>
    <mergeCell ref="K132:K133"/>
    <mergeCell ref="G123:G125"/>
    <mergeCell ref="A123:A125"/>
    <mergeCell ref="B1:K1"/>
    <mergeCell ref="C18:C20"/>
    <mergeCell ref="I18:I20"/>
    <mergeCell ref="J18:J20"/>
    <mergeCell ref="H18:H20"/>
    <mergeCell ref="K18:K20"/>
    <mergeCell ref="D16:E17"/>
    <mergeCell ref="E18:E20"/>
    <mergeCell ref="F18:F20"/>
    <mergeCell ref="L124:O124"/>
    <mergeCell ref="J123:J125"/>
    <mergeCell ref="D18:D20"/>
    <mergeCell ref="K123:K125"/>
    <mergeCell ref="I123:I125"/>
    <mergeCell ref="F123:F125"/>
    <mergeCell ref="E123:E125"/>
    <mergeCell ref="B3:J3"/>
    <mergeCell ref="B123:B125"/>
    <mergeCell ref="B5:J5"/>
    <mergeCell ref="C123:C125"/>
    <mergeCell ref="D123:D125"/>
    <mergeCell ref="L18:O18"/>
    <mergeCell ref="H123:H125"/>
    <mergeCell ref="H6:J6"/>
    <mergeCell ref="H7:J7"/>
    <mergeCell ref="L19:O19"/>
  </mergeCells>
  <printOptions/>
  <pageMargins left="0.7" right="0.7" top="0.75" bottom="0.75" header="0.3" footer="0.3"/>
  <pageSetup horizontalDpi="600" verticalDpi="600" orientation="portrait" paperSize="9" r:id="rId1"/>
  <ignoredErrors>
    <ignoredError sqref="O107:O10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74"/>
  <sheetViews>
    <sheetView zoomScale="80" zoomScaleNormal="80" zoomScalePageLayoutView="0" workbookViewId="0" topLeftCell="A103">
      <selection activeCell="G124" sqref="G124"/>
    </sheetView>
  </sheetViews>
  <sheetFormatPr defaultColWidth="8.796875" defaultRowHeight="14.25"/>
  <cols>
    <col min="1" max="1" width="11.09765625" style="0" customWidth="1"/>
    <col min="2" max="2" width="13.3984375" style="0" customWidth="1"/>
    <col min="3" max="3" width="12.8984375" style="0" customWidth="1"/>
    <col min="4" max="4" width="17.19921875" style="0" customWidth="1"/>
    <col min="5" max="5" width="10.59765625" style="0" customWidth="1"/>
    <col min="6" max="6" width="9.09765625" style="0" customWidth="1"/>
    <col min="7" max="7" width="17.09765625" style="0" customWidth="1"/>
    <col min="8" max="8" width="25.8984375" style="0" customWidth="1"/>
    <col min="9" max="9" width="17.19921875" style="0" customWidth="1"/>
    <col min="10" max="10" width="11.59765625" style="0" customWidth="1"/>
    <col min="11" max="11" width="11.19921875" style="0" customWidth="1"/>
    <col min="12" max="12" width="15.09765625" style="0" customWidth="1"/>
    <col min="13" max="13" width="15.69921875" style="0" customWidth="1"/>
    <col min="14" max="14" width="16.8984375" style="0" customWidth="1"/>
    <col min="15" max="15" width="16" style="0" customWidth="1"/>
    <col min="16" max="16" width="13.19921875" style="0" customWidth="1"/>
    <col min="17" max="17" width="13.5" style="0" customWidth="1"/>
    <col min="18" max="18" width="14.5" style="0" customWidth="1"/>
    <col min="19" max="19" width="13.8984375" style="0" customWidth="1"/>
    <col min="20" max="20" width="20.3984375" style="0" customWidth="1"/>
    <col min="21" max="21" width="20.09765625" style="0" customWidth="1"/>
  </cols>
  <sheetData>
    <row r="1" spans="2:11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2:11" ht="15">
      <c r="B2" s="222"/>
      <c r="C2" s="222"/>
      <c r="D2" s="222"/>
      <c r="E2" s="222"/>
      <c r="F2" s="222"/>
      <c r="G2" s="222"/>
      <c r="H2" s="224"/>
      <c r="I2" s="222"/>
      <c r="J2" s="222"/>
      <c r="K2" s="222"/>
    </row>
    <row r="3" spans="2:11" ht="26.25" customHeight="1">
      <c r="B3" s="715" t="s">
        <v>1057</v>
      </c>
      <c r="C3" s="716"/>
      <c r="D3" s="716"/>
      <c r="E3" s="716"/>
      <c r="F3" s="716"/>
      <c r="G3" s="716"/>
      <c r="H3" s="716"/>
      <c r="I3" s="717"/>
      <c r="J3" s="222"/>
      <c r="K3" s="222"/>
    </row>
    <row r="4" spans="2:11" ht="15">
      <c r="B4" s="223"/>
      <c r="C4" s="223"/>
      <c r="D4" s="223"/>
      <c r="E4" s="223"/>
      <c r="F4" s="223"/>
      <c r="G4" s="223"/>
      <c r="H4" s="224"/>
      <c r="I4" s="222"/>
      <c r="J4" s="222"/>
      <c r="K4" s="222"/>
    </row>
    <row r="5" spans="2:11" ht="15">
      <c r="B5" s="679" t="s">
        <v>1029</v>
      </c>
      <c r="C5" s="679"/>
      <c r="D5" s="679"/>
      <c r="E5" s="679"/>
      <c r="F5" s="679"/>
      <c r="G5" s="679"/>
      <c r="H5" s="679"/>
      <c r="I5" s="679"/>
      <c r="J5" s="222"/>
      <c r="K5" s="222"/>
    </row>
    <row r="6" spans="2:11" ht="15">
      <c r="B6" s="223"/>
      <c r="C6" s="223"/>
      <c r="D6" s="223"/>
      <c r="E6" s="223"/>
      <c r="F6" s="223"/>
      <c r="G6" s="223"/>
      <c r="H6" s="224"/>
      <c r="I6" s="222"/>
      <c r="J6" s="222"/>
      <c r="K6" s="222"/>
    </row>
    <row r="7" spans="2:11" ht="15.75">
      <c r="B7" s="225" t="s">
        <v>967</v>
      </c>
      <c r="C7" s="222"/>
      <c r="D7" s="223"/>
      <c r="E7" s="223"/>
      <c r="F7" s="223"/>
      <c r="G7" s="222"/>
      <c r="H7" s="224"/>
      <c r="I7" s="222"/>
      <c r="J7" s="222"/>
      <c r="K7" s="222"/>
    </row>
    <row r="8" spans="2:11" ht="15">
      <c r="B8" s="528" t="s">
        <v>1986</v>
      </c>
      <c r="C8" s="222"/>
      <c r="D8" s="223"/>
      <c r="E8" s="223"/>
      <c r="F8" s="223"/>
      <c r="G8" s="222"/>
      <c r="H8" s="224"/>
      <c r="I8" s="222"/>
      <c r="J8" s="222"/>
      <c r="K8" s="222"/>
    </row>
    <row r="9" spans="2:11" ht="15.75">
      <c r="B9" s="226" t="s">
        <v>1828</v>
      </c>
      <c r="C9" s="222"/>
      <c r="D9" s="227"/>
      <c r="E9" s="223"/>
      <c r="F9" s="223"/>
      <c r="G9" s="222"/>
      <c r="H9" s="224"/>
      <c r="I9" s="222"/>
      <c r="J9" s="222"/>
      <c r="K9" s="222"/>
    </row>
    <row r="10" spans="2:11" ht="15.75">
      <c r="B10" s="226" t="s">
        <v>1681</v>
      </c>
      <c r="C10" s="222"/>
      <c r="D10" s="227"/>
      <c r="E10" s="223"/>
      <c r="F10" s="223"/>
      <c r="G10" s="222"/>
      <c r="H10" s="224"/>
      <c r="I10" s="222"/>
      <c r="J10" s="222"/>
      <c r="K10" s="222"/>
    </row>
    <row r="11" spans="2:11" ht="15">
      <c r="B11" s="222" t="s">
        <v>1047</v>
      </c>
      <c r="C11" s="222"/>
      <c r="D11" s="222"/>
      <c r="E11" s="222"/>
      <c r="F11" s="222"/>
      <c r="G11" s="222"/>
      <c r="H11" s="224"/>
      <c r="I11" s="222"/>
      <c r="J11" s="222"/>
      <c r="K11" s="222"/>
    </row>
    <row r="12" spans="2:11" ht="15.75">
      <c r="B12" s="228" t="s">
        <v>1030</v>
      </c>
      <c r="C12" s="225" t="s">
        <v>1031</v>
      </c>
      <c r="D12" s="227"/>
      <c r="E12" s="227"/>
      <c r="F12" s="227"/>
      <c r="G12" s="227"/>
      <c r="H12" s="222"/>
      <c r="I12" s="222"/>
      <c r="J12" s="222"/>
      <c r="K12" s="222"/>
    </row>
    <row r="13" spans="2:11" ht="15.75">
      <c r="B13" s="228" t="s">
        <v>1032</v>
      </c>
      <c r="C13" s="225" t="s">
        <v>1033</v>
      </c>
      <c r="D13" s="227"/>
      <c r="E13" s="227"/>
      <c r="F13" s="227"/>
      <c r="G13" s="227"/>
      <c r="H13" s="222"/>
      <c r="I13" s="222"/>
      <c r="J13" s="222"/>
      <c r="K13" s="222"/>
    </row>
    <row r="14" spans="2:9" ht="21" thickBot="1">
      <c r="B14" s="128"/>
      <c r="C14" s="115"/>
      <c r="D14" s="31"/>
      <c r="E14" s="31"/>
      <c r="F14" s="31"/>
      <c r="G14" s="31"/>
      <c r="H14" s="116"/>
      <c r="I14" s="116"/>
    </row>
    <row r="15" spans="1:15" s="21" customFormat="1" ht="47.2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36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44.2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s="21" customFormat="1" ht="29.25">
      <c r="A18" s="313" t="s">
        <v>11</v>
      </c>
      <c r="B18" s="22" t="s">
        <v>162</v>
      </c>
      <c r="C18" s="22" t="s">
        <v>163</v>
      </c>
      <c r="D18" s="22" t="s">
        <v>1466</v>
      </c>
      <c r="E18" s="22">
        <v>20</v>
      </c>
      <c r="F18" s="22" t="s">
        <v>164</v>
      </c>
      <c r="G18" s="22" t="s">
        <v>163</v>
      </c>
      <c r="H18" s="399" t="s">
        <v>165</v>
      </c>
      <c r="I18" s="22">
        <v>70959463</v>
      </c>
      <c r="J18" s="268" t="s">
        <v>16</v>
      </c>
      <c r="K18" s="24">
        <v>13</v>
      </c>
      <c r="L18" s="25"/>
      <c r="M18" s="26">
        <f>42506-34073</f>
        <v>8433</v>
      </c>
      <c r="N18" s="26">
        <f>185550-145666</f>
        <v>39884</v>
      </c>
      <c r="O18" s="30">
        <f aca="true" t="shared" si="0" ref="O18:O67">M18+N18</f>
        <v>48317</v>
      </c>
    </row>
    <row r="19" spans="1:15" s="21" customFormat="1" ht="29.25">
      <c r="A19" s="312" t="s">
        <v>11</v>
      </c>
      <c r="B19" s="27" t="s">
        <v>162</v>
      </c>
      <c r="C19" s="27" t="s">
        <v>163</v>
      </c>
      <c r="D19" s="27" t="s">
        <v>1467</v>
      </c>
      <c r="E19" s="27" t="s">
        <v>166</v>
      </c>
      <c r="F19" s="27" t="s">
        <v>164</v>
      </c>
      <c r="G19" s="27" t="s">
        <v>163</v>
      </c>
      <c r="H19" s="397" t="s">
        <v>167</v>
      </c>
      <c r="I19" s="27">
        <v>70959465</v>
      </c>
      <c r="J19" s="269" t="s">
        <v>16</v>
      </c>
      <c r="K19" s="28">
        <v>9</v>
      </c>
      <c r="L19" s="29"/>
      <c r="M19" s="30">
        <f>38307-31188</f>
        <v>7119</v>
      </c>
      <c r="N19" s="30">
        <f>166373-133570</f>
        <v>32803</v>
      </c>
      <c r="O19" s="30">
        <f t="shared" si="0"/>
        <v>39922</v>
      </c>
    </row>
    <row r="20" spans="1:15" s="21" customFormat="1" ht="29.25">
      <c r="A20" s="312" t="s">
        <v>11</v>
      </c>
      <c r="B20" s="27" t="s">
        <v>162</v>
      </c>
      <c r="C20" s="27" t="s">
        <v>163</v>
      </c>
      <c r="D20" s="27" t="s">
        <v>1467</v>
      </c>
      <c r="E20" s="27"/>
      <c r="F20" s="27" t="s">
        <v>164</v>
      </c>
      <c r="G20" s="27" t="s">
        <v>163</v>
      </c>
      <c r="H20" s="397" t="s">
        <v>168</v>
      </c>
      <c r="I20" s="27">
        <v>70526274</v>
      </c>
      <c r="J20" s="269" t="s">
        <v>16</v>
      </c>
      <c r="K20" s="28">
        <v>6.6</v>
      </c>
      <c r="L20" s="29"/>
      <c r="M20" s="30">
        <f>37753-31644</f>
        <v>6109</v>
      </c>
      <c r="N20" s="30">
        <f>169566-140962</f>
        <v>28604</v>
      </c>
      <c r="O20" s="30">
        <f t="shared" si="0"/>
        <v>34713</v>
      </c>
    </row>
    <row r="21" spans="1:15" s="21" customFormat="1" ht="29.25">
      <c r="A21" s="312" t="s">
        <v>11</v>
      </c>
      <c r="B21" s="27" t="s">
        <v>162</v>
      </c>
      <c r="C21" s="27" t="s">
        <v>163</v>
      </c>
      <c r="D21" s="27" t="s">
        <v>169</v>
      </c>
      <c r="E21" s="27">
        <v>16</v>
      </c>
      <c r="F21" s="27" t="s">
        <v>164</v>
      </c>
      <c r="G21" s="27" t="s">
        <v>163</v>
      </c>
      <c r="H21" s="397" t="s">
        <v>170</v>
      </c>
      <c r="I21" s="27">
        <v>70959581</v>
      </c>
      <c r="J21" s="269" t="s">
        <v>16</v>
      </c>
      <c r="K21" s="28">
        <v>8</v>
      </c>
      <c r="L21" s="29"/>
      <c r="M21" s="30">
        <f>31530-25149</f>
        <v>6381</v>
      </c>
      <c r="N21" s="30">
        <f>135306-106997</f>
        <v>28309</v>
      </c>
      <c r="O21" s="30">
        <f t="shared" si="0"/>
        <v>34690</v>
      </c>
    </row>
    <row r="22" spans="1:15" s="21" customFormat="1" ht="29.25">
      <c r="A22" s="312" t="s">
        <v>11</v>
      </c>
      <c r="B22" s="27" t="s">
        <v>162</v>
      </c>
      <c r="C22" s="27" t="s">
        <v>163</v>
      </c>
      <c r="D22" s="27" t="s">
        <v>171</v>
      </c>
      <c r="E22" s="27">
        <v>3</v>
      </c>
      <c r="F22" s="27" t="s">
        <v>164</v>
      </c>
      <c r="G22" s="27" t="s">
        <v>163</v>
      </c>
      <c r="H22" s="397" t="s">
        <v>172</v>
      </c>
      <c r="I22" s="27">
        <v>106156</v>
      </c>
      <c r="J22" s="269" t="s">
        <v>16</v>
      </c>
      <c r="K22" s="28">
        <v>6.6</v>
      </c>
      <c r="L22" s="29"/>
      <c r="M22" s="30">
        <f>11696-9394</f>
        <v>2302</v>
      </c>
      <c r="N22" s="30">
        <f>46857-37654</f>
        <v>9203</v>
      </c>
      <c r="O22" s="30">
        <f t="shared" si="0"/>
        <v>11505</v>
      </c>
    </row>
    <row r="23" spans="1:16" s="21" customFormat="1" ht="29.25">
      <c r="A23" s="312" t="s">
        <v>11</v>
      </c>
      <c r="B23" s="27" t="s">
        <v>162</v>
      </c>
      <c r="C23" s="27" t="s">
        <v>163</v>
      </c>
      <c r="D23" s="27" t="s">
        <v>173</v>
      </c>
      <c r="E23" s="27">
        <v>17</v>
      </c>
      <c r="F23" s="27" t="s">
        <v>164</v>
      </c>
      <c r="G23" s="27" t="s">
        <v>163</v>
      </c>
      <c r="H23" s="397" t="s">
        <v>174</v>
      </c>
      <c r="I23" s="27">
        <v>70810828</v>
      </c>
      <c r="J23" s="269" t="s">
        <v>16</v>
      </c>
      <c r="K23" s="28">
        <v>3.6</v>
      </c>
      <c r="L23" s="29"/>
      <c r="M23" s="30">
        <f>26045-21139</f>
        <v>4906</v>
      </c>
      <c r="N23" s="30">
        <f>106467-85991</f>
        <v>20476</v>
      </c>
      <c r="O23" s="30">
        <f t="shared" si="0"/>
        <v>25382</v>
      </c>
      <c r="P23" s="31"/>
    </row>
    <row r="24" spans="1:15" s="21" customFormat="1" ht="29.25">
      <c r="A24" s="312" t="s">
        <v>11</v>
      </c>
      <c r="B24" s="27" t="s">
        <v>162</v>
      </c>
      <c r="C24" s="27" t="s">
        <v>163</v>
      </c>
      <c r="D24" s="27" t="s">
        <v>87</v>
      </c>
      <c r="E24" s="27">
        <v>5</v>
      </c>
      <c r="F24" s="27" t="s">
        <v>164</v>
      </c>
      <c r="G24" s="27" t="s">
        <v>163</v>
      </c>
      <c r="H24" s="397" t="s">
        <v>175</v>
      </c>
      <c r="I24" s="27">
        <v>38686</v>
      </c>
      <c r="J24" s="269" t="s">
        <v>16</v>
      </c>
      <c r="K24" s="28">
        <v>5.5</v>
      </c>
      <c r="L24" s="29"/>
      <c r="M24" s="30">
        <f>17634-14557</f>
        <v>3077</v>
      </c>
      <c r="N24" s="30">
        <f>68346-56455</f>
        <v>11891</v>
      </c>
      <c r="O24" s="30">
        <f t="shared" si="0"/>
        <v>14968</v>
      </c>
    </row>
    <row r="25" spans="1:15" s="21" customFormat="1" ht="29.25">
      <c r="A25" s="312" t="s">
        <v>11</v>
      </c>
      <c r="B25" s="27" t="s">
        <v>162</v>
      </c>
      <c r="C25" s="27" t="s">
        <v>163</v>
      </c>
      <c r="D25" s="27" t="s">
        <v>91</v>
      </c>
      <c r="E25" s="27">
        <v>10</v>
      </c>
      <c r="F25" s="27" t="s">
        <v>164</v>
      </c>
      <c r="G25" s="27" t="s">
        <v>163</v>
      </c>
      <c r="H25" s="397" t="s">
        <v>176</v>
      </c>
      <c r="I25" s="27">
        <v>70959561</v>
      </c>
      <c r="J25" s="269" t="s">
        <v>16</v>
      </c>
      <c r="K25" s="28">
        <v>4.8</v>
      </c>
      <c r="L25" s="29"/>
      <c r="M25" s="30">
        <f>28251-22725</f>
        <v>5526</v>
      </c>
      <c r="N25" s="30">
        <f>124010-98195</f>
        <v>25815</v>
      </c>
      <c r="O25" s="30">
        <f t="shared" si="0"/>
        <v>31341</v>
      </c>
    </row>
    <row r="26" spans="1:15" s="21" customFormat="1" ht="29.25">
      <c r="A26" s="312" t="s">
        <v>11</v>
      </c>
      <c r="B26" s="27" t="s">
        <v>162</v>
      </c>
      <c r="C26" s="27" t="s">
        <v>163</v>
      </c>
      <c r="D26" s="27" t="s">
        <v>209</v>
      </c>
      <c r="E26" s="27"/>
      <c r="F26" s="27" t="s">
        <v>164</v>
      </c>
      <c r="G26" s="27" t="s">
        <v>163</v>
      </c>
      <c r="H26" s="397" t="s">
        <v>177</v>
      </c>
      <c r="I26" s="27">
        <v>70619483</v>
      </c>
      <c r="J26" s="269" t="s">
        <v>16</v>
      </c>
      <c r="K26" s="28">
        <v>10</v>
      </c>
      <c r="L26" s="29"/>
      <c r="M26" s="30">
        <f>38400-31394</f>
        <v>7006</v>
      </c>
      <c r="N26" s="30">
        <f>159491-129791</f>
        <v>29700</v>
      </c>
      <c r="O26" s="30">
        <f t="shared" si="0"/>
        <v>36706</v>
      </c>
    </row>
    <row r="27" spans="1:15" s="21" customFormat="1" ht="29.25">
      <c r="A27" s="312" t="s">
        <v>11</v>
      </c>
      <c r="B27" s="27" t="s">
        <v>162</v>
      </c>
      <c r="C27" s="27" t="s">
        <v>163</v>
      </c>
      <c r="D27" s="27" t="s">
        <v>178</v>
      </c>
      <c r="E27" s="27">
        <v>24</v>
      </c>
      <c r="F27" s="27" t="s">
        <v>164</v>
      </c>
      <c r="G27" s="27" t="s">
        <v>163</v>
      </c>
      <c r="H27" s="397" t="s">
        <v>179</v>
      </c>
      <c r="I27" s="27">
        <v>70959404</v>
      </c>
      <c r="J27" s="269" t="s">
        <v>16</v>
      </c>
      <c r="K27" s="28">
        <v>15</v>
      </c>
      <c r="L27" s="29"/>
      <c r="M27" s="30">
        <f>44923-35960</f>
        <v>8963</v>
      </c>
      <c r="N27" s="30">
        <f>203126-159434</f>
        <v>43692</v>
      </c>
      <c r="O27" s="30">
        <f t="shared" si="0"/>
        <v>52655</v>
      </c>
    </row>
    <row r="28" spans="1:15" s="21" customFormat="1" ht="29.25">
      <c r="A28" s="312" t="s">
        <v>11</v>
      </c>
      <c r="B28" s="27" t="s">
        <v>162</v>
      </c>
      <c r="C28" s="27" t="s">
        <v>163</v>
      </c>
      <c r="D28" s="27" t="s">
        <v>1468</v>
      </c>
      <c r="E28" s="27">
        <v>26</v>
      </c>
      <c r="F28" s="27" t="s">
        <v>164</v>
      </c>
      <c r="G28" s="27" t="s">
        <v>163</v>
      </c>
      <c r="H28" s="397" t="s">
        <v>180</v>
      </c>
      <c r="I28" s="27">
        <v>70959366</v>
      </c>
      <c r="J28" s="269" t="s">
        <v>16</v>
      </c>
      <c r="K28" s="28">
        <v>6.6</v>
      </c>
      <c r="L28" s="29"/>
      <c r="M28" s="30">
        <f>14023-11286</f>
        <v>2737</v>
      </c>
      <c r="N28" s="30">
        <f>62995-50271</f>
        <v>12724</v>
      </c>
      <c r="O28" s="30">
        <f t="shared" si="0"/>
        <v>15461</v>
      </c>
    </row>
    <row r="29" spans="1:15" s="21" customFormat="1" ht="29.25">
      <c r="A29" s="312" t="s">
        <v>11</v>
      </c>
      <c r="B29" s="27" t="s">
        <v>162</v>
      </c>
      <c r="C29" s="27" t="s">
        <v>163</v>
      </c>
      <c r="D29" s="27" t="s">
        <v>181</v>
      </c>
      <c r="E29" s="27">
        <v>21</v>
      </c>
      <c r="F29" s="27" t="s">
        <v>164</v>
      </c>
      <c r="G29" s="27" t="s">
        <v>163</v>
      </c>
      <c r="H29" s="397" t="s">
        <v>182</v>
      </c>
      <c r="I29" s="27">
        <v>70959590</v>
      </c>
      <c r="J29" s="269" t="s">
        <v>16</v>
      </c>
      <c r="K29" s="28">
        <v>10.5</v>
      </c>
      <c r="L29" s="29"/>
      <c r="M29" s="30">
        <f>30965-24887</f>
        <v>6078</v>
      </c>
      <c r="N29" s="30">
        <f>143917-113086</f>
        <v>30831</v>
      </c>
      <c r="O29" s="30">
        <f t="shared" si="0"/>
        <v>36909</v>
      </c>
    </row>
    <row r="30" spans="1:15" s="21" customFormat="1" ht="29.25">
      <c r="A30" s="312" t="s">
        <v>11</v>
      </c>
      <c r="B30" s="27" t="s">
        <v>162</v>
      </c>
      <c r="C30" s="27" t="s">
        <v>163</v>
      </c>
      <c r="D30" s="27" t="s">
        <v>1469</v>
      </c>
      <c r="E30" s="27"/>
      <c r="F30" s="27" t="s">
        <v>164</v>
      </c>
      <c r="G30" s="27" t="s">
        <v>163</v>
      </c>
      <c r="H30" s="397" t="s">
        <v>183</v>
      </c>
      <c r="I30" s="27">
        <v>70959405</v>
      </c>
      <c r="J30" s="269" t="s">
        <v>16</v>
      </c>
      <c r="K30" s="28">
        <v>6.6</v>
      </c>
      <c r="L30" s="29"/>
      <c r="M30" s="30">
        <f>4385-3481</f>
        <v>904</v>
      </c>
      <c r="N30" s="30">
        <f>19070-15163</f>
        <v>3907</v>
      </c>
      <c r="O30" s="30">
        <f t="shared" si="0"/>
        <v>4811</v>
      </c>
    </row>
    <row r="31" spans="1:15" s="21" customFormat="1" ht="29.25">
      <c r="A31" s="312" t="s">
        <v>11</v>
      </c>
      <c r="B31" s="27" t="s">
        <v>162</v>
      </c>
      <c r="C31" s="27" t="s">
        <v>163</v>
      </c>
      <c r="D31" s="27" t="s">
        <v>184</v>
      </c>
      <c r="E31" s="27"/>
      <c r="F31" s="27" t="s">
        <v>164</v>
      </c>
      <c r="G31" s="27" t="s">
        <v>163</v>
      </c>
      <c r="H31" s="397" t="s">
        <v>185</v>
      </c>
      <c r="I31" s="27">
        <v>70927653</v>
      </c>
      <c r="J31" s="269" t="s">
        <v>16</v>
      </c>
      <c r="K31" s="28">
        <v>6.6</v>
      </c>
      <c r="L31" s="29"/>
      <c r="M31" s="30">
        <f>13490-10531</f>
        <v>2959</v>
      </c>
      <c r="N31" s="30">
        <f>58495-45178</f>
        <v>13317</v>
      </c>
      <c r="O31" s="30">
        <f t="shared" si="0"/>
        <v>16276</v>
      </c>
    </row>
    <row r="32" spans="1:15" s="21" customFormat="1" ht="29.25">
      <c r="A32" s="312" t="s">
        <v>11</v>
      </c>
      <c r="B32" s="27" t="s">
        <v>162</v>
      </c>
      <c r="C32" s="27" t="s">
        <v>163</v>
      </c>
      <c r="D32" s="27" t="s">
        <v>186</v>
      </c>
      <c r="E32" s="27"/>
      <c r="F32" s="27" t="s">
        <v>164</v>
      </c>
      <c r="G32" s="27" t="s">
        <v>163</v>
      </c>
      <c r="H32" s="397" t="s">
        <v>187</v>
      </c>
      <c r="I32" s="27">
        <v>13407339</v>
      </c>
      <c r="J32" s="269" t="s">
        <v>16</v>
      </c>
      <c r="K32" s="28">
        <v>6.6</v>
      </c>
      <c r="L32" s="29"/>
      <c r="M32" s="30">
        <f>33992-30593</f>
        <v>3399</v>
      </c>
      <c r="N32" s="30">
        <f>97417-83098</f>
        <v>14319</v>
      </c>
      <c r="O32" s="30">
        <f t="shared" si="0"/>
        <v>17718</v>
      </c>
    </row>
    <row r="33" spans="1:15" s="21" customFormat="1" ht="29.25">
      <c r="A33" s="312" t="s">
        <v>11</v>
      </c>
      <c r="B33" s="27" t="s">
        <v>162</v>
      </c>
      <c r="C33" s="27" t="s">
        <v>163</v>
      </c>
      <c r="D33" s="27" t="s">
        <v>181</v>
      </c>
      <c r="E33" s="27">
        <v>74</v>
      </c>
      <c r="F33" s="27" t="s">
        <v>164</v>
      </c>
      <c r="G33" s="27" t="s">
        <v>163</v>
      </c>
      <c r="H33" s="397" t="s">
        <v>188</v>
      </c>
      <c r="I33" s="27">
        <v>39637</v>
      </c>
      <c r="J33" s="269" t="s">
        <v>16</v>
      </c>
      <c r="K33" s="28">
        <v>7.5</v>
      </c>
      <c r="L33" s="29"/>
      <c r="M33" s="30">
        <f>28114-23290</f>
        <v>4824</v>
      </c>
      <c r="N33" s="30">
        <f>117009-97590</f>
        <v>19419</v>
      </c>
      <c r="O33" s="30">
        <f t="shared" si="0"/>
        <v>24243</v>
      </c>
    </row>
    <row r="34" spans="1:15" s="21" customFormat="1" ht="29.25">
      <c r="A34" s="312" t="s">
        <v>11</v>
      </c>
      <c r="B34" s="27" t="s">
        <v>162</v>
      </c>
      <c r="C34" s="27" t="s">
        <v>163</v>
      </c>
      <c r="D34" s="27" t="s">
        <v>189</v>
      </c>
      <c r="E34" s="27">
        <v>21</v>
      </c>
      <c r="F34" s="27" t="s">
        <v>164</v>
      </c>
      <c r="G34" s="27" t="s">
        <v>163</v>
      </c>
      <c r="H34" s="397" t="s">
        <v>190</v>
      </c>
      <c r="I34" s="27">
        <v>70959398</v>
      </c>
      <c r="J34" s="269" t="s">
        <v>16</v>
      </c>
      <c r="K34" s="28">
        <v>7</v>
      </c>
      <c r="L34" s="29"/>
      <c r="M34" s="30">
        <f>23498-18184</f>
        <v>5314</v>
      </c>
      <c r="N34" s="30">
        <f>100677-72293</f>
        <v>28384</v>
      </c>
      <c r="O34" s="30">
        <f t="shared" si="0"/>
        <v>33698</v>
      </c>
    </row>
    <row r="35" spans="1:15" s="21" customFormat="1" ht="29.25">
      <c r="A35" s="312" t="s">
        <v>11</v>
      </c>
      <c r="B35" s="27" t="s">
        <v>162</v>
      </c>
      <c r="C35" s="27" t="s">
        <v>163</v>
      </c>
      <c r="D35" s="27" t="s">
        <v>191</v>
      </c>
      <c r="E35" s="27">
        <v>50</v>
      </c>
      <c r="F35" s="27" t="s">
        <v>164</v>
      </c>
      <c r="G35" s="27" t="s">
        <v>163</v>
      </c>
      <c r="H35" s="397" t="s">
        <v>192</v>
      </c>
      <c r="I35" s="27">
        <v>70959420</v>
      </c>
      <c r="J35" s="269" t="s">
        <v>16</v>
      </c>
      <c r="K35" s="28">
        <v>8.5</v>
      </c>
      <c r="L35" s="29"/>
      <c r="M35" s="30">
        <f>23332-18768</f>
        <v>4564</v>
      </c>
      <c r="N35" s="30">
        <f>101700-80643</f>
        <v>21057</v>
      </c>
      <c r="O35" s="30">
        <f t="shared" si="0"/>
        <v>25621</v>
      </c>
    </row>
    <row r="36" spans="1:15" s="21" customFormat="1" ht="29.25">
      <c r="A36" s="312" t="s">
        <v>11</v>
      </c>
      <c r="B36" s="27" t="s">
        <v>162</v>
      </c>
      <c r="C36" s="27" t="s">
        <v>163</v>
      </c>
      <c r="D36" s="27" t="s">
        <v>193</v>
      </c>
      <c r="E36" s="27">
        <v>9</v>
      </c>
      <c r="F36" s="27" t="s">
        <v>164</v>
      </c>
      <c r="G36" s="27" t="s">
        <v>163</v>
      </c>
      <c r="H36" s="397" t="s">
        <v>194</v>
      </c>
      <c r="I36" s="27">
        <v>13940</v>
      </c>
      <c r="J36" s="269" t="s">
        <v>16</v>
      </c>
      <c r="K36" s="28">
        <v>12.5</v>
      </c>
      <c r="L36" s="29"/>
      <c r="M36" s="30">
        <f>76886-63347</f>
        <v>13539</v>
      </c>
      <c r="N36" s="30">
        <f>269522-227624</f>
        <v>41898</v>
      </c>
      <c r="O36" s="30">
        <f t="shared" si="0"/>
        <v>55437</v>
      </c>
    </row>
    <row r="37" spans="1:15" s="21" customFormat="1" ht="29.25">
      <c r="A37" s="312" t="s">
        <v>11</v>
      </c>
      <c r="B37" s="27" t="s">
        <v>162</v>
      </c>
      <c r="C37" s="27" t="s">
        <v>163</v>
      </c>
      <c r="D37" s="27" t="s">
        <v>195</v>
      </c>
      <c r="E37" s="27">
        <v>7</v>
      </c>
      <c r="F37" s="27" t="s">
        <v>164</v>
      </c>
      <c r="G37" s="27" t="s">
        <v>163</v>
      </c>
      <c r="H37" s="397" t="s">
        <v>196</v>
      </c>
      <c r="I37" s="27">
        <v>70959468</v>
      </c>
      <c r="J37" s="269" t="s">
        <v>16</v>
      </c>
      <c r="K37" s="28">
        <v>9</v>
      </c>
      <c r="L37" s="29"/>
      <c r="M37" s="30">
        <f>44197-35305</f>
        <v>8892</v>
      </c>
      <c r="N37" s="30">
        <f>198120-155520</f>
        <v>42600</v>
      </c>
      <c r="O37" s="30">
        <f t="shared" si="0"/>
        <v>51492</v>
      </c>
    </row>
    <row r="38" spans="1:15" s="21" customFormat="1" ht="29.25">
      <c r="A38" s="312" t="s">
        <v>11</v>
      </c>
      <c r="B38" s="27" t="s">
        <v>162</v>
      </c>
      <c r="C38" s="27" t="s">
        <v>163</v>
      </c>
      <c r="D38" s="27" t="s">
        <v>197</v>
      </c>
      <c r="E38" s="27"/>
      <c r="F38" s="27" t="s">
        <v>164</v>
      </c>
      <c r="G38" s="27" t="s">
        <v>163</v>
      </c>
      <c r="H38" s="397" t="s">
        <v>198</v>
      </c>
      <c r="I38" s="27">
        <v>879957</v>
      </c>
      <c r="J38" s="269" t="s">
        <v>16</v>
      </c>
      <c r="K38" s="28">
        <v>6.6</v>
      </c>
      <c r="L38" s="29"/>
      <c r="M38" s="30">
        <f>15947-11992</f>
        <v>3955</v>
      </c>
      <c r="N38" s="30">
        <f>67196-50526</f>
        <v>16670</v>
      </c>
      <c r="O38" s="30">
        <f t="shared" si="0"/>
        <v>20625</v>
      </c>
    </row>
    <row r="39" spans="1:15" s="21" customFormat="1" ht="29.25">
      <c r="A39" s="312" t="s">
        <v>11</v>
      </c>
      <c r="B39" s="27" t="s">
        <v>162</v>
      </c>
      <c r="C39" s="27" t="s">
        <v>163</v>
      </c>
      <c r="D39" s="27" t="s">
        <v>199</v>
      </c>
      <c r="E39" s="27">
        <v>18</v>
      </c>
      <c r="F39" s="27" t="s">
        <v>164</v>
      </c>
      <c r="G39" s="27" t="s">
        <v>163</v>
      </c>
      <c r="H39" s="397" t="s">
        <v>200</v>
      </c>
      <c r="I39" s="27">
        <v>40492</v>
      </c>
      <c r="J39" s="269" t="s">
        <v>16</v>
      </c>
      <c r="K39" s="28">
        <v>6.6</v>
      </c>
      <c r="L39" s="29"/>
      <c r="M39" s="30">
        <f>80813-68028</f>
        <v>12785</v>
      </c>
      <c r="N39" s="30">
        <f>300549-249484</f>
        <v>51065</v>
      </c>
      <c r="O39" s="30">
        <f t="shared" si="0"/>
        <v>63850</v>
      </c>
    </row>
    <row r="40" spans="1:15" s="21" customFormat="1" ht="29.25">
      <c r="A40" s="312" t="s">
        <v>11</v>
      </c>
      <c r="B40" s="27" t="s">
        <v>162</v>
      </c>
      <c r="C40" s="27" t="s">
        <v>163</v>
      </c>
      <c r="D40" s="27" t="s">
        <v>201</v>
      </c>
      <c r="E40" s="27">
        <v>85</v>
      </c>
      <c r="F40" s="27" t="s">
        <v>164</v>
      </c>
      <c r="G40" s="27" t="s">
        <v>163</v>
      </c>
      <c r="H40" s="397" t="s">
        <v>202</v>
      </c>
      <c r="I40" s="27">
        <v>70959467</v>
      </c>
      <c r="J40" s="269" t="s">
        <v>16</v>
      </c>
      <c r="K40" s="28">
        <v>6.6</v>
      </c>
      <c r="L40" s="29"/>
      <c r="M40" s="30">
        <f>17072-13565</f>
        <v>3507</v>
      </c>
      <c r="N40" s="30">
        <f>77324-61447</f>
        <v>15877</v>
      </c>
      <c r="O40" s="30">
        <f t="shared" si="0"/>
        <v>19384</v>
      </c>
    </row>
    <row r="41" spans="1:15" s="21" customFormat="1" ht="29.25">
      <c r="A41" s="312" t="s">
        <v>11</v>
      </c>
      <c r="B41" s="27" t="s">
        <v>162</v>
      </c>
      <c r="C41" s="27" t="s">
        <v>163</v>
      </c>
      <c r="D41" s="27" t="s">
        <v>203</v>
      </c>
      <c r="E41" s="27">
        <v>11</v>
      </c>
      <c r="F41" s="27" t="s">
        <v>164</v>
      </c>
      <c r="G41" s="27" t="s">
        <v>163</v>
      </c>
      <c r="H41" s="397" t="s">
        <v>204</v>
      </c>
      <c r="I41" s="27">
        <v>69732</v>
      </c>
      <c r="J41" s="269" t="s">
        <v>16</v>
      </c>
      <c r="K41" s="28">
        <v>10.5</v>
      </c>
      <c r="L41" s="29"/>
      <c r="M41" s="30">
        <f>60624-53046</f>
        <v>7578</v>
      </c>
      <c r="N41" s="30">
        <f>271760-240657</f>
        <v>31103</v>
      </c>
      <c r="O41" s="30">
        <f t="shared" si="0"/>
        <v>38681</v>
      </c>
    </row>
    <row r="42" spans="1:15" s="21" customFormat="1" ht="29.25">
      <c r="A42" s="312" t="s">
        <v>11</v>
      </c>
      <c r="B42" s="27" t="s">
        <v>162</v>
      </c>
      <c r="C42" s="27" t="s">
        <v>163</v>
      </c>
      <c r="D42" s="27" t="s">
        <v>205</v>
      </c>
      <c r="E42" s="27"/>
      <c r="F42" s="27" t="s">
        <v>164</v>
      </c>
      <c r="G42" s="27" t="s">
        <v>163</v>
      </c>
      <c r="H42" s="397" t="s">
        <v>206</v>
      </c>
      <c r="I42" s="27">
        <v>117209</v>
      </c>
      <c r="J42" s="269" t="s">
        <v>16</v>
      </c>
      <c r="K42" s="28">
        <v>5</v>
      </c>
      <c r="L42" s="29"/>
      <c r="M42" s="30">
        <f>15896-11808</f>
        <v>4088</v>
      </c>
      <c r="N42" s="30">
        <f>60761-45064</f>
        <v>15697</v>
      </c>
      <c r="O42" s="30">
        <f t="shared" si="0"/>
        <v>19785</v>
      </c>
    </row>
    <row r="43" spans="1:15" s="21" customFormat="1" ht="29.25">
      <c r="A43" s="312" t="s">
        <v>11</v>
      </c>
      <c r="B43" s="27" t="s">
        <v>162</v>
      </c>
      <c r="C43" s="27" t="s">
        <v>163</v>
      </c>
      <c r="D43" s="27" t="s">
        <v>1470</v>
      </c>
      <c r="E43" s="27">
        <v>46</v>
      </c>
      <c r="F43" s="27" t="s">
        <v>164</v>
      </c>
      <c r="G43" s="27" t="s">
        <v>163</v>
      </c>
      <c r="H43" s="397" t="s">
        <v>207</v>
      </c>
      <c r="I43" s="27">
        <v>318099</v>
      </c>
      <c r="J43" s="269" t="s">
        <v>16</v>
      </c>
      <c r="K43" s="28">
        <v>8</v>
      </c>
      <c r="L43" s="29"/>
      <c r="M43" s="30">
        <f>5556-3659</f>
        <v>1897</v>
      </c>
      <c r="N43" s="30">
        <f>60380-40921</f>
        <v>19459</v>
      </c>
      <c r="O43" s="30">
        <f t="shared" si="0"/>
        <v>21356</v>
      </c>
    </row>
    <row r="44" spans="1:15" s="21" customFormat="1" ht="29.25">
      <c r="A44" s="312" t="s">
        <v>11</v>
      </c>
      <c r="B44" s="27" t="s">
        <v>162</v>
      </c>
      <c r="C44" s="27" t="s">
        <v>163</v>
      </c>
      <c r="D44" s="27" t="s">
        <v>1470</v>
      </c>
      <c r="E44" s="27"/>
      <c r="F44" s="27" t="s">
        <v>164</v>
      </c>
      <c r="G44" s="27" t="s">
        <v>163</v>
      </c>
      <c r="H44" s="397" t="s">
        <v>208</v>
      </c>
      <c r="I44" s="27">
        <v>70851614</v>
      </c>
      <c r="J44" s="269" t="s">
        <v>16</v>
      </c>
      <c r="K44" s="28">
        <v>10.5</v>
      </c>
      <c r="L44" s="29"/>
      <c r="M44" s="30">
        <f>32754-26549</f>
        <v>6205</v>
      </c>
      <c r="N44" s="30">
        <f>142191-114032</f>
        <v>28159</v>
      </c>
      <c r="O44" s="30">
        <f t="shared" si="0"/>
        <v>34364</v>
      </c>
    </row>
    <row r="45" spans="1:15" s="21" customFormat="1" ht="29.25">
      <c r="A45" s="312" t="s">
        <v>11</v>
      </c>
      <c r="B45" s="27" t="s">
        <v>162</v>
      </c>
      <c r="C45" s="27" t="s">
        <v>163</v>
      </c>
      <c r="D45" s="27" t="s">
        <v>209</v>
      </c>
      <c r="E45" s="27">
        <v>139</v>
      </c>
      <c r="F45" s="27" t="s">
        <v>164</v>
      </c>
      <c r="G45" s="27" t="s">
        <v>163</v>
      </c>
      <c r="H45" s="397" t="s">
        <v>210</v>
      </c>
      <c r="I45" s="27">
        <v>10392</v>
      </c>
      <c r="J45" s="269" t="s">
        <v>16</v>
      </c>
      <c r="K45" s="28">
        <v>6.6</v>
      </c>
      <c r="L45" s="29"/>
      <c r="M45" s="30">
        <f>68252-55054</f>
        <v>13198</v>
      </c>
      <c r="N45" s="30">
        <f>261569-211782</f>
        <v>49787</v>
      </c>
      <c r="O45" s="30">
        <f t="shared" si="0"/>
        <v>62985</v>
      </c>
    </row>
    <row r="46" spans="1:15" s="21" customFormat="1" ht="29.25">
      <c r="A46" s="312" t="s">
        <v>11</v>
      </c>
      <c r="B46" s="27" t="s">
        <v>162</v>
      </c>
      <c r="C46" s="27" t="s">
        <v>163</v>
      </c>
      <c r="D46" s="27" t="s">
        <v>211</v>
      </c>
      <c r="E46" s="27"/>
      <c r="F46" s="27" t="s">
        <v>164</v>
      </c>
      <c r="G46" s="27" t="s">
        <v>163</v>
      </c>
      <c r="H46" s="397" t="s">
        <v>212</v>
      </c>
      <c r="I46" s="27">
        <v>70959908</v>
      </c>
      <c r="J46" s="269" t="s">
        <v>16</v>
      </c>
      <c r="K46" s="28">
        <v>8.5</v>
      </c>
      <c r="L46" s="29"/>
      <c r="M46" s="30">
        <f>44536-35099</f>
        <v>9437</v>
      </c>
      <c r="N46" s="30">
        <f>182368-143450</f>
        <v>38918</v>
      </c>
      <c r="O46" s="30">
        <f t="shared" si="0"/>
        <v>48355</v>
      </c>
    </row>
    <row r="47" spans="1:15" s="21" customFormat="1" ht="29.25">
      <c r="A47" s="312" t="s">
        <v>11</v>
      </c>
      <c r="B47" s="27" t="s">
        <v>162</v>
      </c>
      <c r="C47" s="27" t="s">
        <v>163</v>
      </c>
      <c r="D47" s="27" t="s">
        <v>213</v>
      </c>
      <c r="E47" s="27"/>
      <c r="F47" s="27" t="s">
        <v>164</v>
      </c>
      <c r="G47" s="27" t="s">
        <v>163</v>
      </c>
      <c r="H47" s="397" t="s">
        <v>214</v>
      </c>
      <c r="I47" s="27">
        <v>70959720</v>
      </c>
      <c r="J47" s="269" t="s">
        <v>16</v>
      </c>
      <c r="K47" s="28">
        <v>6.6</v>
      </c>
      <c r="L47" s="29"/>
      <c r="M47" s="30">
        <f>18765-15222</f>
        <v>3543</v>
      </c>
      <c r="N47" s="30">
        <f>83076-67053</f>
        <v>16023</v>
      </c>
      <c r="O47" s="30">
        <f t="shared" si="0"/>
        <v>19566</v>
      </c>
    </row>
    <row r="48" spans="1:15" s="21" customFormat="1" ht="29.25">
      <c r="A48" s="312" t="s">
        <v>11</v>
      </c>
      <c r="B48" s="27" t="s">
        <v>162</v>
      </c>
      <c r="C48" s="27" t="s">
        <v>163</v>
      </c>
      <c r="D48" s="27" t="s">
        <v>1471</v>
      </c>
      <c r="E48" s="27">
        <v>12</v>
      </c>
      <c r="F48" s="27" t="s">
        <v>164</v>
      </c>
      <c r="G48" s="27" t="s">
        <v>163</v>
      </c>
      <c r="H48" s="397" t="s">
        <v>215</v>
      </c>
      <c r="I48" s="27">
        <v>70959560</v>
      </c>
      <c r="J48" s="269" t="s">
        <v>16</v>
      </c>
      <c r="K48" s="28">
        <v>7</v>
      </c>
      <c r="L48" s="29"/>
      <c r="M48" s="30">
        <f>23616-19276</f>
        <v>4340</v>
      </c>
      <c r="N48" s="30">
        <f>106352-86183</f>
        <v>20169</v>
      </c>
      <c r="O48" s="30">
        <f t="shared" si="0"/>
        <v>24509</v>
      </c>
    </row>
    <row r="49" spans="1:15" s="21" customFormat="1" ht="29.25">
      <c r="A49" s="312" t="s">
        <v>11</v>
      </c>
      <c r="B49" s="27" t="s">
        <v>162</v>
      </c>
      <c r="C49" s="27" t="s">
        <v>163</v>
      </c>
      <c r="D49" s="27" t="s">
        <v>1472</v>
      </c>
      <c r="E49" s="27">
        <v>12</v>
      </c>
      <c r="F49" s="27" t="s">
        <v>164</v>
      </c>
      <c r="G49" s="27" t="s">
        <v>163</v>
      </c>
      <c r="H49" s="397" t="s">
        <v>216</v>
      </c>
      <c r="I49" s="27">
        <v>70959529</v>
      </c>
      <c r="J49" s="269" t="s">
        <v>16</v>
      </c>
      <c r="K49" s="28">
        <v>3.8</v>
      </c>
      <c r="L49" s="29"/>
      <c r="M49" s="30">
        <f>16719-13204</f>
        <v>3515</v>
      </c>
      <c r="N49" s="30">
        <f>73011-57550</f>
        <v>15461</v>
      </c>
      <c r="O49" s="30">
        <f t="shared" si="0"/>
        <v>18976</v>
      </c>
    </row>
    <row r="50" spans="1:15" s="21" customFormat="1" ht="29.25">
      <c r="A50" s="312" t="s">
        <v>11</v>
      </c>
      <c r="B50" s="27" t="s">
        <v>162</v>
      </c>
      <c r="C50" s="27" t="s">
        <v>163</v>
      </c>
      <c r="D50" s="27" t="s">
        <v>217</v>
      </c>
      <c r="E50" s="27">
        <v>23</v>
      </c>
      <c r="F50" s="27" t="s">
        <v>164</v>
      </c>
      <c r="G50" s="27" t="s">
        <v>163</v>
      </c>
      <c r="H50" s="397" t="s">
        <v>218</v>
      </c>
      <c r="I50" s="27">
        <v>36836</v>
      </c>
      <c r="J50" s="269" t="s">
        <v>16</v>
      </c>
      <c r="K50" s="28">
        <v>6.6</v>
      </c>
      <c r="L50" s="29"/>
      <c r="M50" s="30">
        <f>29183-24362</f>
        <v>4821</v>
      </c>
      <c r="N50" s="30">
        <f>118770-100082</f>
        <v>18688</v>
      </c>
      <c r="O50" s="30">
        <f t="shared" si="0"/>
        <v>23509</v>
      </c>
    </row>
    <row r="51" spans="1:15" s="21" customFormat="1" ht="29.25">
      <c r="A51" s="312" t="s">
        <v>11</v>
      </c>
      <c r="B51" s="27" t="s">
        <v>162</v>
      </c>
      <c r="C51" s="27" t="s">
        <v>163</v>
      </c>
      <c r="D51" s="27" t="s">
        <v>219</v>
      </c>
      <c r="E51" s="27">
        <v>22</v>
      </c>
      <c r="F51" s="27" t="s">
        <v>164</v>
      </c>
      <c r="G51" s="27" t="s">
        <v>163</v>
      </c>
      <c r="H51" s="397" t="s">
        <v>220</v>
      </c>
      <c r="I51" s="27">
        <v>70959440</v>
      </c>
      <c r="J51" s="269" t="s">
        <v>16</v>
      </c>
      <c r="K51" s="28">
        <v>6.6</v>
      </c>
      <c r="L51" s="29"/>
      <c r="M51" s="30">
        <f>21545-17152</f>
        <v>4393</v>
      </c>
      <c r="N51" s="30">
        <f>95690-75740</f>
        <v>19950</v>
      </c>
      <c r="O51" s="30">
        <f t="shared" si="0"/>
        <v>24343</v>
      </c>
    </row>
    <row r="52" spans="1:15" s="21" customFormat="1" ht="29.25">
      <c r="A52" s="312" t="s">
        <v>11</v>
      </c>
      <c r="B52" s="27" t="s">
        <v>162</v>
      </c>
      <c r="C52" s="27" t="s">
        <v>163</v>
      </c>
      <c r="D52" s="27" t="s">
        <v>221</v>
      </c>
      <c r="E52" s="27">
        <v>8</v>
      </c>
      <c r="F52" s="27" t="s">
        <v>164</v>
      </c>
      <c r="G52" s="27" t="s">
        <v>163</v>
      </c>
      <c r="H52" s="397" t="s">
        <v>222</v>
      </c>
      <c r="I52" s="27">
        <v>70544265</v>
      </c>
      <c r="J52" s="269" t="s">
        <v>16</v>
      </c>
      <c r="K52" s="28">
        <v>9</v>
      </c>
      <c r="L52" s="29"/>
      <c r="M52" s="30">
        <f>32914-26648</f>
        <v>6266</v>
      </c>
      <c r="N52" s="30">
        <f>140549-114518</f>
        <v>26031</v>
      </c>
      <c r="O52" s="30">
        <f t="shared" si="0"/>
        <v>32297</v>
      </c>
    </row>
    <row r="53" spans="1:15" s="21" customFormat="1" ht="29.25">
      <c r="A53" s="312" t="s">
        <v>11</v>
      </c>
      <c r="B53" s="27" t="s">
        <v>162</v>
      </c>
      <c r="C53" s="27" t="s">
        <v>163</v>
      </c>
      <c r="D53" s="27" t="s">
        <v>223</v>
      </c>
      <c r="E53" s="27">
        <v>2</v>
      </c>
      <c r="F53" s="27" t="s">
        <v>164</v>
      </c>
      <c r="G53" s="27" t="s">
        <v>163</v>
      </c>
      <c r="H53" s="397" t="s">
        <v>224</v>
      </c>
      <c r="I53" s="27">
        <v>70959392</v>
      </c>
      <c r="J53" s="269" t="s">
        <v>16</v>
      </c>
      <c r="K53" s="28">
        <v>15</v>
      </c>
      <c r="L53" s="29"/>
      <c r="M53" s="30">
        <f>64359-51711</f>
        <v>12648</v>
      </c>
      <c r="N53" s="30">
        <f>273887-220527</f>
        <v>53360</v>
      </c>
      <c r="O53" s="30">
        <f t="shared" si="0"/>
        <v>66008</v>
      </c>
    </row>
    <row r="54" spans="1:15" s="21" customFormat="1" ht="29.25">
      <c r="A54" s="312" t="s">
        <v>11</v>
      </c>
      <c r="B54" s="27" t="s">
        <v>162</v>
      </c>
      <c r="C54" s="27" t="s">
        <v>163</v>
      </c>
      <c r="D54" s="27" t="s">
        <v>1473</v>
      </c>
      <c r="E54" s="27"/>
      <c r="F54" s="27" t="s">
        <v>164</v>
      </c>
      <c r="G54" s="27" t="s">
        <v>163</v>
      </c>
      <c r="H54" s="397" t="s">
        <v>225</v>
      </c>
      <c r="I54" s="27">
        <v>70959470</v>
      </c>
      <c r="J54" s="269" t="s">
        <v>16</v>
      </c>
      <c r="K54" s="28">
        <v>9.6</v>
      </c>
      <c r="L54" s="29"/>
      <c r="M54" s="30">
        <f>43793-35108</f>
        <v>8685</v>
      </c>
      <c r="N54" s="30">
        <f>183076-145216</f>
        <v>37860</v>
      </c>
      <c r="O54" s="30">
        <f t="shared" si="0"/>
        <v>46545</v>
      </c>
    </row>
    <row r="55" spans="1:15" s="21" customFormat="1" ht="29.25">
      <c r="A55" s="312" t="s">
        <v>11</v>
      </c>
      <c r="B55" s="27" t="s">
        <v>162</v>
      </c>
      <c r="C55" s="27" t="s">
        <v>163</v>
      </c>
      <c r="D55" s="27" t="s">
        <v>1474</v>
      </c>
      <c r="E55" s="27">
        <v>1</v>
      </c>
      <c r="F55" s="27" t="s">
        <v>164</v>
      </c>
      <c r="G55" s="27" t="s">
        <v>163</v>
      </c>
      <c r="H55" s="397" t="s">
        <v>226</v>
      </c>
      <c r="I55" s="27">
        <v>70959407</v>
      </c>
      <c r="J55" s="269" t="s">
        <v>16</v>
      </c>
      <c r="K55" s="28">
        <v>18</v>
      </c>
      <c r="L55" s="29"/>
      <c r="M55" s="30">
        <f>57267-45994</f>
        <v>11273</v>
      </c>
      <c r="N55" s="30">
        <f>252069-199833</f>
        <v>52236</v>
      </c>
      <c r="O55" s="30">
        <f t="shared" si="0"/>
        <v>63509</v>
      </c>
    </row>
    <row r="56" spans="1:15" s="21" customFormat="1" ht="29.25">
      <c r="A56" s="312" t="s">
        <v>11</v>
      </c>
      <c r="B56" s="27" t="s">
        <v>162</v>
      </c>
      <c r="C56" s="27" t="s">
        <v>163</v>
      </c>
      <c r="D56" s="27" t="s">
        <v>227</v>
      </c>
      <c r="E56" s="27">
        <v>7</v>
      </c>
      <c r="F56" s="27" t="s">
        <v>164</v>
      </c>
      <c r="G56" s="27" t="s">
        <v>163</v>
      </c>
      <c r="H56" s="397" t="s">
        <v>228</v>
      </c>
      <c r="I56" s="27">
        <v>70823256</v>
      </c>
      <c r="J56" s="269" t="s">
        <v>16</v>
      </c>
      <c r="K56" s="28">
        <v>6.6</v>
      </c>
      <c r="L56" s="29"/>
      <c r="M56" s="30">
        <f>26901-21612</f>
        <v>5289</v>
      </c>
      <c r="N56" s="30">
        <f>109364-88782</f>
        <v>20582</v>
      </c>
      <c r="O56" s="30">
        <f t="shared" si="0"/>
        <v>25871</v>
      </c>
    </row>
    <row r="57" spans="1:15" s="21" customFormat="1" ht="29.25">
      <c r="A57" s="312" t="s">
        <v>11</v>
      </c>
      <c r="B57" s="27" t="s">
        <v>162</v>
      </c>
      <c r="C57" s="27" t="s">
        <v>163</v>
      </c>
      <c r="D57" s="27" t="s">
        <v>229</v>
      </c>
      <c r="E57" s="27"/>
      <c r="F57" s="27" t="s">
        <v>164</v>
      </c>
      <c r="G57" s="27" t="s">
        <v>163</v>
      </c>
      <c r="H57" s="397" t="s">
        <v>230</v>
      </c>
      <c r="I57" s="27">
        <v>70959533</v>
      </c>
      <c r="J57" s="269" t="s">
        <v>16</v>
      </c>
      <c r="K57" s="28">
        <v>10.5</v>
      </c>
      <c r="L57" s="29"/>
      <c r="M57" s="30">
        <f>29676-23524</f>
        <v>6152</v>
      </c>
      <c r="N57" s="30">
        <f>127436-100769</f>
        <v>26667</v>
      </c>
      <c r="O57" s="30">
        <f t="shared" si="0"/>
        <v>32819</v>
      </c>
    </row>
    <row r="58" spans="1:15" s="21" customFormat="1" ht="29.25">
      <c r="A58" s="312" t="s">
        <v>11</v>
      </c>
      <c r="B58" s="27" t="s">
        <v>162</v>
      </c>
      <c r="C58" s="27" t="s">
        <v>163</v>
      </c>
      <c r="D58" s="27" t="s">
        <v>1475</v>
      </c>
      <c r="E58" s="27">
        <v>5</v>
      </c>
      <c r="F58" s="27" t="s">
        <v>164</v>
      </c>
      <c r="G58" s="27" t="s">
        <v>163</v>
      </c>
      <c r="H58" s="397" t="s">
        <v>231</v>
      </c>
      <c r="I58" s="27">
        <v>70927644</v>
      </c>
      <c r="J58" s="269" t="s">
        <v>16</v>
      </c>
      <c r="K58" s="28">
        <v>3.8</v>
      </c>
      <c r="L58" s="29"/>
      <c r="M58" s="30">
        <f>11375-8837</f>
        <v>2538</v>
      </c>
      <c r="N58" s="30">
        <f>44760-35537</f>
        <v>9223</v>
      </c>
      <c r="O58" s="30">
        <f t="shared" si="0"/>
        <v>11761</v>
      </c>
    </row>
    <row r="59" spans="1:15" s="21" customFormat="1" ht="29.25">
      <c r="A59" s="312" t="s">
        <v>11</v>
      </c>
      <c r="B59" s="27" t="s">
        <v>162</v>
      </c>
      <c r="C59" s="27" t="s">
        <v>163</v>
      </c>
      <c r="D59" s="27" t="s">
        <v>1341</v>
      </c>
      <c r="E59" s="27">
        <v>25</v>
      </c>
      <c r="F59" s="27" t="s">
        <v>164</v>
      </c>
      <c r="G59" s="27" t="s">
        <v>163</v>
      </c>
      <c r="H59" s="397" t="s">
        <v>233</v>
      </c>
      <c r="I59" s="27">
        <v>70959390</v>
      </c>
      <c r="J59" s="269" t="s">
        <v>16</v>
      </c>
      <c r="K59" s="28">
        <v>7</v>
      </c>
      <c r="L59" s="29"/>
      <c r="M59" s="30">
        <f>12417-10161</f>
        <v>2256</v>
      </c>
      <c r="N59" s="30">
        <f>49617-40043</f>
        <v>9574</v>
      </c>
      <c r="O59" s="30">
        <f t="shared" si="0"/>
        <v>11830</v>
      </c>
    </row>
    <row r="60" spans="1:15" s="21" customFormat="1" ht="29.25">
      <c r="A60" s="312" t="s">
        <v>11</v>
      </c>
      <c r="B60" s="27" t="s">
        <v>162</v>
      </c>
      <c r="C60" s="27" t="s">
        <v>163</v>
      </c>
      <c r="D60" s="27" t="s">
        <v>234</v>
      </c>
      <c r="E60" s="27"/>
      <c r="F60" s="27" t="s">
        <v>164</v>
      </c>
      <c r="G60" s="27" t="s">
        <v>163</v>
      </c>
      <c r="H60" s="397" t="s">
        <v>235</v>
      </c>
      <c r="I60" s="27">
        <v>907876</v>
      </c>
      <c r="J60" s="269" t="s">
        <v>16</v>
      </c>
      <c r="K60" s="28">
        <v>6.6</v>
      </c>
      <c r="L60" s="29"/>
      <c r="M60" s="30">
        <f>17213-13463</f>
        <v>3750</v>
      </c>
      <c r="N60" s="30">
        <f>70764-54951</f>
        <v>15813</v>
      </c>
      <c r="O60" s="30">
        <f t="shared" si="0"/>
        <v>19563</v>
      </c>
    </row>
    <row r="61" spans="1:15" s="21" customFormat="1" ht="29.25">
      <c r="A61" s="312" t="s">
        <v>11</v>
      </c>
      <c r="B61" s="27" t="s">
        <v>162</v>
      </c>
      <c r="C61" s="27" t="s">
        <v>163</v>
      </c>
      <c r="D61" s="27" t="s">
        <v>236</v>
      </c>
      <c r="E61" s="27">
        <v>27</v>
      </c>
      <c r="F61" s="27" t="s">
        <v>164</v>
      </c>
      <c r="G61" s="27" t="s">
        <v>163</v>
      </c>
      <c r="H61" s="397" t="s">
        <v>237</v>
      </c>
      <c r="I61" s="27">
        <v>70008</v>
      </c>
      <c r="J61" s="269" t="s">
        <v>16</v>
      </c>
      <c r="K61" s="28">
        <v>14</v>
      </c>
      <c r="L61" s="29"/>
      <c r="M61" s="30">
        <f>90213-78616</f>
        <v>11597</v>
      </c>
      <c r="N61" s="30">
        <f>359962-313061</f>
        <v>46901</v>
      </c>
      <c r="O61" s="30">
        <f t="shared" si="0"/>
        <v>58498</v>
      </c>
    </row>
    <row r="62" spans="1:15" s="21" customFormat="1" ht="29.25">
      <c r="A62" s="312" t="s">
        <v>11</v>
      </c>
      <c r="B62" s="27" t="s">
        <v>162</v>
      </c>
      <c r="C62" s="27" t="s">
        <v>163</v>
      </c>
      <c r="D62" s="27" t="s">
        <v>238</v>
      </c>
      <c r="E62" s="27">
        <v>21</v>
      </c>
      <c r="F62" s="27" t="s">
        <v>164</v>
      </c>
      <c r="G62" s="27" t="s">
        <v>163</v>
      </c>
      <c r="H62" s="397" t="s">
        <v>239</v>
      </c>
      <c r="I62" s="27">
        <v>70959554</v>
      </c>
      <c r="J62" s="269" t="s">
        <v>16</v>
      </c>
      <c r="K62" s="28">
        <v>4.3</v>
      </c>
      <c r="L62" s="29"/>
      <c r="M62" s="30">
        <f>15973-12858</f>
        <v>3115</v>
      </c>
      <c r="N62" s="30">
        <f>68414-55147</f>
        <v>13267</v>
      </c>
      <c r="O62" s="30">
        <f t="shared" si="0"/>
        <v>16382</v>
      </c>
    </row>
    <row r="63" spans="1:15" s="21" customFormat="1" ht="29.25">
      <c r="A63" s="312" t="s">
        <v>11</v>
      </c>
      <c r="B63" s="27" t="s">
        <v>162</v>
      </c>
      <c r="C63" s="27" t="s">
        <v>163</v>
      </c>
      <c r="D63" s="27" t="s">
        <v>1341</v>
      </c>
      <c r="E63" s="27">
        <v>11</v>
      </c>
      <c r="F63" s="27" t="s">
        <v>164</v>
      </c>
      <c r="G63" s="27" t="s">
        <v>163</v>
      </c>
      <c r="H63" s="397" t="s">
        <v>240</v>
      </c>
      <c r="I63" s="27">
        <v>41452</v>
      </c>
      <c r="J63" s="269" t="s">
        <v>16</v>
      </c>
      <c r="K63" s="28">
        <v>7</v>
      </c>
      <c r="L63" s="29"/>
      <c r="M63" s="30">
        <f>6274-5539</f>
        <v>735</v>
      </c>
      <c r="N63" s="30">
        <f>17741-15155</f>
        <v>2586</v>
      </c>
      <c r="O63" s="30">
        <f t="shared" si="0"/>
        <v>3321</v>
      </c>
    </row>
    <row r="64" spans="1:15" s="21" customFormat="1" ht="29.25">
      <c r="A64" s="312" t="s">
        <v>11</v>
      </c>
      <c r="B64" s="27" t="s">
        <v>162</v>
      </c>
      <c r="C64" s="27" t="s">
        <v>163</v>
      </c>
      <c r="D64" s="27" t="s">
        <v>241</v>
      </c>
      <c r="E64" s="27"/>
      <c r="F64" s="27" t="s">
        <v>164</v>
      </c>
      <c r="G64" s="27" t="s">
        <v>163</v>
      </c>
      <c r="H64" s="397" t="s">
        <v>242</v>
      </c>
      <c r="I64" s="27">
        <v>8400</v>
      </c>
      <c r="J64" s="269" t="s">
        <v>16</v>
      </c>
      <c r="K64" s="28">
        <v>6.6</v>
      </c>
      <c r="L64" s="29"/>
      <c r="M64" s="30">
        <f>26511-22764</f>
        <v>3747</v>
      </c>
      <c r="N64" s="30">
        <f>102508-87199</f>
        <v>15309</v>
      </c>
      <c r="O64" s="30">
        <f t="shared" si="0"/>
        <v>19056</v>
      </c>
    </row>
    <row r="65" spans="1:15" s="21" customFormat="1" ht="29.25">
      <c r="A65" s="312" t="s">
        <v>11</v>
      </c>
      <c r="B65" s="27" t="s">
        <v>162</v>
      </c>
      <c r="C65" s="27" t="s">
        <v>163</v>
      </c>
      <c r="D65" s="27" t="s">
        <v>43</v>
      </c>
      <c r="E65" s="27">
        <v>4</v>
      </c>
      <c r="F65" s="27" t="s">
        <v>164</v>
      </c>
      <c r="G65" s="27" t="s">
        <v>163</v>
      </c>
      <c r="H65" s="397" t="s">
        <v>244</v>
      </c>
      <c r="I65" s="27">
        <v>70959572</v>
      </c>
      <c r="J65" s="269" t="s">
        <v>16</v>
      </c>
      <c r="K65" s="28">
        <v>6.6</v>
      </c>
      <c r="L65" s="29"/>
      <c r="M65" s="30">
        <f>11669-9480</f>
        <v>2189</v>
      </c>
      <c r="N65" s="30">
        <f>44997-35688</f>
        <v>9309</v>
      </c>
      <c r="O65" s="30">
        <f t="shared" si="0"/>
        <v>11498</v>
      </c>
    </row>
    <row r="66" spans="1:15" s="21" customFormat="1" ht="29.25">
      <c r="A66" s="312" t="s">
        <v>11</v>
      </c>
      <c r="B66" s="27" t="s">
        <v>162</v>
      </c>
      <c r="C66" s="27" t="s">
        <v>163</v>
      </c>
      <c r="D66" s="27" t="s">
        <v>245</v>
      </c>
      <c r="E66" s="27"/>
      <c r="F66" s="27" t="s">
        <v>164</v>
      </c>
      <c r="G66" s="27" t="s">
        <v>163</v>
      </c>
      <c r="H66" s="397" t="s">
        <v>246</v>
      </c>
      <c r="I66" s="27">
        <v>70619464</v>
      </c>
      <c r="J66" s="269" t="s">
        <v>16</v>
      </c>
      <c r="K66" s="28">
        <v>11.5</v>
      </c>
      <c r="L66" s="29"/>
      <c r="M66" s="30">
        <f>31861-25999</f>
        <v>5862</v>
      </c>
      <c r="N66" s="30">
        <f>142992-114623</f>
        <v>28369</v>
      </c>
      <c r="O66" s="30">
        <f t="shared" si="0"/>
        <v>34231</v>
      </c>
    </row>
    <row r="67" spans="1:15" s="21" customFormat="1" ht="29.25">
      <c r="A67" s="312" t="s">
        <v>11</v>
      </c>
      <c r="B67" s="27" t="s">
        <v>162</v>
      </c>
      <c r="C67" s="27" t="s">
        <v>163</v>
      </c>
      <c r="D67" s="27" t="s">
        <v>209</v>
      </c>
      <c r="E67" s="27" t="s">
        <v>247</v>
      </c>
      <c r="F67" s="27" t="s">
        <v>164</v>
      </c>
      <c r="G67" s="27" t="s">
        <v>163</v>
      </c>
      <c r="H67" s="397" t="s">
        <v>248</v>
      </c>
      <c r="I67" s="27">
        <v>38378</v>
      </c>
      <c r="J67" s="269" t="s">
        <v>16</v>
      </c>
      <c r="K67" s="28">
        <v>18</v>
      </c>
      <c r="L67" s="29"/>
      <c r="M67" s="30">
        <f>83247-68856</f>
        <v>14391</v>
      </c>
      <c r="N67" s="30">
        <f>336071-278404</f>
        <v>57667</v>
      </c>
      <c r="O67" s="30">
        <f t="shared" si="0"/>
        <v>72058</v>
      </c>
    </row>
    <row r="68" spans="1:15" s="21" customFormat="1" ht="29.25">
      <c r="A68" s="312" t="s">
        <v>11</v>
      </c>
      <c r="B68" s="27" t="s">
        <v>162</v>
      </c>
      <c r="C68" s="27" t="s">
        <v>163</v>
      </c>
      <c r="D68" s="27" t="s">
        <v>209</v>
      </c>
      <c r="E68" s="27"/>
      <c r="F68" s="27" t="s">
        <v>164</v>
      </c>
      <c r="G68" s="27" t="s">
        <v>163</v>
      </c>
      <c r="H68" s="397" t="s">
        <v>249</v>
      </c>
      <c r="I68" s="27">
        <v>907527</v>
      </c>
      <c r="J68" s="269" t="s">
        <v>16</v>
      </c>
      <c r="K68" s="28">
        <v>30</v>
      </c>
      <c r="L68" s="29"/>
      <c r="M68" s="30">
        <f>122166-99292</f>
        <v>22874</v>
      </c>
      <c r="N68" s="30">
        <f>510542-415067</f>
        <v>95475</v>
      </c>
      <c r="O68" s="30">
        <f>M68+N68</f>
        <v>118349</v>
      </c>
    </row>
    <row r="69" spans="1:15" s="21" customFormat="1" ht="29.25">
      <c r="A69" s="312" t="s">
        <v>11</v>
      </c>
      <c r="B69" s="27" t="s">
        <v>162</v>
      </c>
      <c r="C69" s="27" t="s">
        <v>163</v>
      </c>
      <c r="D69" s="27" t="s">
        <v>250</v>
      </c>
      <c r="E69" s="27"/>
      <c r="F69" s="27" t="s">
        <v>164</v>
      </c>
      <c r="G69" s="27" t="s">
        <v>163</v>
      </c>
      <c r="H69" s="397" t="s">
        <v>251</v>
      </c>
      <c r="I69" s="27">
        <v>70959911</v>
      </c>
      <c r="J69" s="269" t="s">
        <v>16</v>
      </c>
      <c r="K69" s="28">
        <v>10</v>
      </c>
      <c r="L69" s="29"/>
      <c r="M69" s="30">
        <f>36368-28313</f>
        <v>8055</v>
      </c>
      <c r="N69" s="30">
        <f>163412-124066</f>
        <v>39346</v>
      </c>
      <c r="O69" s="30">
        <f aca="true" t="shared" si="1" ref="O69:O90">M69+N69</f>
        <v>47401</v>
      </c>
    </row>
    <row r="70" spans="1:15" s="21" customFormat="1" ht="29.25">
      <c r="A70" s="312" t="s">
        <v>11</v>
      </c>
      <c r="B70" s="27" t="s">
        <v>162</v>
      </c>
      <c r="C70" s="27" t="s">
        <v>163</v>
      </c>
      <c r="D70" s="27" t="s">
        <v>1476</v>
      </c>
      <c r="E70" s="27"/>
      <c r="F70" s="27" t="s">
        <v>164</v>
      </c>
      <c r="G70" s="27" t="s">
        <v>163</v>
      </c>
      <c r="H70" s="397" t="s">
        <v>252</v>
      </c>
      <c r="I70" s="27">
        <v>70810797</v>
      </c>
      <c r="J70" s="269" t="s">
        <v>16</v>
      </c>
      <c r="K70" s="28">
        <v>7</v>
      </c>
      <c r="L70" s="29"/>
      <c r="M70" s="30">
        <f>32298-26430</f>
        <v>5868</v>
      </c>
      <c r="N70" s="30">
        <f>138614-112476</f>
        <v>26138</v>
      </c>
      <c r="O70" s="30">
        <f t="shared" si="1"/>
        <v>32006</v>
      </c>
    </row>
    <row r="71" spans="1:15" s="21" customFormat="1" ht="29.25">
      <c r="A71" s="312" t="s">
        <v>11</v>
      </c>
      <c r="B71" s="27" t="s">
        <v>162</v>
      </c>
      <c r="C71" s="27" t="s">
        <v>163</v>
      </c>
      <c r="D71" s="27" t="s">
        <v>253</v>
      </c>
      <c r="E71" s="27"/>
      <c r="F71" s="27" t="s">
        <v>164</v>
      </c>
      <c r="G71" s="27" t="s">
        <v>163</v>
      </c>
      <c r="H71" s="397" t="s">
        <v>254</v>
      </c>
      <c r="I71" s="27">
        <v>44887</v>
      </c>
      <c r="J71" s="269" t="s">
        <v>16</v>
      </c>
      <c r="K71" s="28">
        <v>2</v>
      </c>
      <c r="L71" s="29"/>
      <c r="M71" s="30">
        <f>18009-14586</f>
        <v>3423</v>
      </c>
      <c r="N71" s="30">
        <f>56294-43896</f>
        <v>12398</v>
      </c>
      <c r="O71" s="30">
        <f t="shared" si="1"/>
        <v>15821</v>
      </c>
    </row>
    <row r="72" spans="1:15" s="21" customFormat="1" ht="29.25">
      <c r="A72" s="312" t="s">
        <v>11</v>
      </c>
      <c r="B72" s="27" t="s">
        <v>162</v>
      </c>
      <c r="C72" s="27" t="s">
        <v>163</v>
      </c>
      <c r="D72" s="27" t="s">
        <v>1341</v>
      </c>
      <c r="E72" s="27">
        <v>24</v>
      </c>
      <c r="F72" s="27" t="s">
        <v>164</v>
      </c>
      <c r="G72" s="27" t="s">
        <v>163</v>
      </c>
      <c r="H72" s="397" t="s">
        <v>255</v>
      </c>
      <c r="I72" s="27">
        <v>70959437</v>
      </c>
      <c r="J72" s="269" t="s">
        <v>16</v>
      </c>
      <c r="K72" s="28">
        <v>10.5</v>
      </c>
      <c r="L72" s="29"/>
      <c r="M72" s="30">
        <f>21228-17345</f>
        <v>3883</v>
      </c>
      <c r="N72" s="30">
        <f>85521-69002</f>
        <v>16519</v>
      </c>
      <c r="O72" s="30">
        <f t="shared" si="1"/>
        <v>20402</v>
      </c>
    </row>
    <row r="73" spans="1:15" s="21" customFormat="1" ht="29.25">
      <c r="A73" s="312" t="s">
        <v>11</v>
      </c>
      <c r="B73" s="27" t="s">
        <v>162</v>
      </c>
      <c r="C73" s="27" t="s">
        <v>163</v>
      </c>
      <c r="D73" s="27" t="s">
        <v>1477</v>
      </c>
      <c r="E73" s="27">
        <v>12</v>
      </c>
      <c r="F73" s="27" t="s">
        <v>164</v>
      </c>
      <c r="G73" s="27" t="s">
        <v>163</v>
      </c>
      <c r="H73" s="397" t="s">
        <v>256</v>
      </c>
      <c r="I73" s="27">
        <v>70959547</v>
      </c>
      <c r="J73" s="269" t="s">
        <v>16</v>
      </c>
      <c r="K73" s="28">
        <v>9.3</v>
      </c>
      <c r="L73" s="29"/>
      <c r="M73" s="30">
        <f>52996-42713</f>
        <v>10283</v>
      </c>
      <c r="N73" s="30">
        <f>223214-178699</f>
        <v>44515</v>
      </c>
      <c r="O73" s="30">
        <f t="shared" si="1"/>
        <v>54798</v>
      </c>
    </row>
    <row r="74" spans="1:15" s="21" customFormat="1" ht="29.25">
      <c r="A74" s="312" t="s">
        <v>11</v>
      </c>
      <c r="B74" s="27" t="s">
        <v>162</v>
      </c>
      <c r="C74" s="27" t="s">
        <v>163</v>
      </c>
      <c r="D74" s="27" t="s">
        <v>209</v>
      </c>
      <c r="E74" s="27">
        <v>25</v>
      </c>
      <c r="F74" s="27" t="s">
        <v>164</v>
      </c>
      <c r="G74" s="27" t="s">
        <v>163</v>
      </c>
      <c r="H74" s="397" t="s">
        <v>257</v>
      </c>
      <c r="I74" s="27">
        <v>41472</v>
      </c>
      <c r="J74" s="269" t="s">
        <v>16</v>
      </c>
      <c r="K74" s="28">
        <v>5</v>
      </c>
      <c r="L74" s="29"/>
      <c r="M74" s="30">
        <f>10797-9947</f>
        <v>850</v>
      </c>
      <c r="N74" s="30">
        <f>34186-32081</f>
        <v>2105</v>
      </c>
      <c r="O74" s="30">
        <f t="shared" si="1"/>
        <v>2955</v>
      </c>
    </row>
    <row r="75" spans="1:15" s="21" customFormat="1" ht="29.25">
      <c r="A75" s="312" t="s">
        <v>11</v>
      </c>
      <c r="B75" s="27" t="s">
        <v>162</v>
      </c>
      <c r="C75" s="27" t="s">
        <v>163</v>
      </c>
      <c r="D75" s="27" t="s">
        <v>199</v>
      </c>
      <c r="E75" s="27">
        <v>50</v>
      </c>
      <c r="F75" s="27" t="s">
        <v>164</v>
      </c>
      <c r="G75" s="27" t="s">
        <v>163</v>
      </c>
      <c r="H75" s="397" t="s">
        <v>258</v>
      </c>
      <c r="I75" s="27">
        <v>44883</v>
      </c>
      <c r="J75" s="269" t="s">
        <v>16</v>
      </c>
      <c r="K75" s="28">
        <v>3</v>
      </c>
      <c r="L75" s="29"/>
      <c r="M75" s="30">
        <f>13744-11446</f>
        <v>2298</v>
      </c>
      <c r="N75" s="30">
        <f>42202-33847</f>
        <v>8355</v>
      </c>
      <c r="O75" s="30">
        <f t="shared" si="1"/>
        <v>10653</v>
      </c>
    </row>
    <row r="76" spans="1:15" s="21" customFormat="1" ht="29.25">
      <c r="A76" s="312" t="s">
        <v>11</v>
      </c>
      <c r="B76" s="27" t="s">
        <v>162</v>
      </c>
      <c r="C76" s="27" t="s">
        <v>163</v>
      </c>
      <c r="D76" s="27" t="s">
        <v>259</v>
      </c>
      <c r="E76" s="27">
        <v>46</v>
      </c>
      <c r="F76" s="27" t="s">
        <v>164</v>
      </c>
      <c r="G76" s="27" t="s">
        <v>163</v>
      </c>
      <c r="H76" s="397" t="s">
        <v>260</v>
      </c>
      <c r="I76" s="27">
        <v>70927972</v>
      </c>
      <c r="J76" s="269" t="s">
        <v>16</v>
      </c>
      <c r="K76" s="28">
        <v>6.6</v>
      </c>
      <c r="L76" s="29"/>
      <c r="M76" s="30">
        <f>18411-14706</f>
        <v>3705</v>
      </c>
      <c r="N76" s="30">
        <f>83583-65841</f>
        <v>17742</v>
      </c>
      <c r="O76" s="30">
        <f t="shared" si="1"/>
        <v>21447</v>
      </c>
    </row>
    <row r="77" spans="1:15" s="21" customFormat="1" ht="29.25">
      <c r="A77" s="312" t="s">
        <v>11</v>
      </c>
      <c r="B77" s="27" t="s">
        <v>162</v>
      </c>
      <c r="C77" s="27" t="s">
        <v>163</v>
      </c>
      <c r="D77" s="27" t="s">
        <v>261</v>
      </c>
      <c r="E77" s="27">
        <v>17</v>
      </c>
      <c r="F77" s="27" t="s">
        <v>164</v>
      </c>
      <c r="G77" s="27" t="s">
        <v>163</v>
      </c>
      <c r="H77" s="397" t="s">
        <v>262</v>
      </c>
      <c r="I77" s="27">
        <v>70959416</v>
      </c>
      <c r="J77" s="269" t="s">
        <v>16</v>
      </c>
      <c r="K77" s="28">
        <v>6.6</v>
      </c>
      <c r="L77" s="29"/>
      <c r="M77" s="30">
        <f>19515-15332</f>
        <v>4183</v>
      </c>
      <c r="N77" s="30">
        <f>84558-65885</f>
        <v>18673</v>
      </c>
      <c r="O77" s="30">
        <f t="shared" si="1"/>
        <v>22856</v>
      </c>
    </row>
    <row r="78" spans="1:15" s="21" customFormat="1" ht="29.25">
      <c r="A78" s="312" t="s">
        <v>11</v>
      </c>
      <c r="B78" s="27" t="s">
        <v>162</v>
      </c>
      <c r="C78" s="27" t="s">
        <v>163</v>
      </c>
      <c r="D78" s="27" t="s">
        <v>263</v>
      </c>
      <c r="E78" s="27">
        <v>10</v>
      </c>
      <c r="F78" s="27" t="s">
        <v>164</v>
      </c>
      <c r="G78" s="27" t="s">
        <v>163</v>
      </c>
      <c r="H78" s="397" t="s">
        <v>264</v>
      </c>
      <c r="I78" s="27">
        <v>70810860</v>
      </c>
      <c r="J78" s="269" t="s">
        <v>16</v>
      </c>
      <c r="K78" s="28">
        <v>6.6</v>
      </c>
      <c r="L78" s="29"/>
      <c r="M78" s="30">
        <f>17957-14530</f>
        <v>3427</v>
      </c>
      <c r="N78" s="30">
        <f>76467-61896</f>
        <v>14571</v>
      </c>
      <c r="O78" s="30">
        <f t="shared" si="1"/>
        <v>17998</v>
      </c>
    </row>
    <row r="79" spans="1:15" s="21" customFormat="1" ht="29.25">
      <c r="A79" s="312" t="s">
        <v>11</v>
      </c>
      <c r="B79" s="27" t="s">
        <v>162</v>
      </c>
      <c r="C79" s="27" t="s">
        <v>163</v>
      </c>
      <c r="D79" s="27" t="s">
        <v>1478</v>
      </c>
      <c r="E79" s="27">
        <v>26</v>
      </c>
      <c r="F79" s="27" t="s">
        <v>164</v>
      </c>
      <c r="G79" s="27" t="s">
        <v>163</v>
      </c>
      <c r="H79" s="397" t="s">
        <v>265</v>
      </c>
      <c r="I79" s="27">
        <v>70927627</v>
      </c>
      <c r="J79" s="269" t="s">
        <v>16</v>
      </c>
      <c r="K79" s="28">
        <v>6.6</v>
      </c>
      <c r="L79" s="29"/>
      <c r="M79" s="30">
        <f>21180-17369</f>
        <v>3811</v>
      </c>
      <c r="N79" s="30">
        <f>95193-73762</f>
        <v>21431</v>
      </c>
      <c r="O79" s="30">
        <f t="shared" si="1"/>
        <v>25242</v>
      </c>
    </row>
    <row r="80" spans="1:15" s="21" customFormat="1" ht="29.25">
      <c r="A80" s="312" t="s">
        <v>11</v>
      </c>
      <c r="B80" s="27" t="s">
        <v>162</v>
      </c>
      <c r="C80" s="27" t="s">
        <v>163</v>
      </c>
      <c r="D80" s="27" t="s">
        <v>1479</v>
      </c>
      <c r="E80" s="27">
        <v>1</v>
      </c>
      <c r="F80" s="27" t="s">
        <v>164</v>
      </c>
      <c r="G80" s="27" t="s">
        <v>163</v>
      </c>
      <c r="H80" s="397" t="s">
        <v>266</v>
      </c>
      <c r="I80" s="27">
        <v>37144</v>
      </c>
      <c r="J80" s="269" t="s">
        <v>16</v>
      </c>
      <c r="K80" s="28">
        <v>6.6</v>
      </c>
      <c r="L80" s="29"/>
      <c r="M80" s="30">
        <f>17830-14727</f>
        <v>3103</v>
      </c>
      <c r="N80" s="30">
        <f>74636-61887</f>
        <v>12749</v>
      </c>
      <c r="O80" s="30">
        <f t="shared" si="1"/>
        <v>15852</v>
      </c>
    </row>
    <row r="81" spans="1:15" s="21" customFormat="1" ht="29.25">
      <c r="A81" s="312" t="s">
        <v>11</v>
      </c>
      <c r="B81" s="27" t="s">
        <v>162</v>
      </c>
      <c r="C81" s="27" t="s">
        <v>163</v>
      </c>
      <c r="D81" s="27" t="s">
        <v>1479</v>
      </c>
      <c r="E81" s="27">
        <v>22</v>
      </c>
      <c r="F81" s="27" t="s">
        <v>164</v>
      </c>
      <c r="G81" s="27" t="s">
        <v>163</v>
      </c>
      <c r="H81" s="397" t="s">
        <v>267</v>
      </c>
      <c r="I81" s="27">
        <v>14545</v>
      </c>
      <c r="J81" s="269" t="s">
        <v>16</v>
      </c>
      <c r="K81" s="28">
        <v>6.6</v>
      </c>
      <c r="L81" s="29"/>
      <c r="M81" s="30">
        <f>37193-28841</f>
        <v>8352</v>
      </c>
      <c r="N81" s="30">
        <f>102463-84209</f>
        <v>18254</v>
      </c>
      <c r="O81" s="30">
        <f t="shared" si="1"/>
        <v>26606</v>
      </c>
    </row>
    <row r="82" spans="1:15" s="21" customFormat="1" ht="29.25">
      <c r="A82" s="312" t="s">
        <v>11</v>
      </c>
      <c r="B82" s="27" t="s">
        <v>162</v>
      </c>
      <c r="C82" s="27" t="s">
        <v>163</v>
      </c>
      <c r="D82" s="27" t="s">
        <v>268</v>
      </c>
      <c r="E82" s="27">
        <v>85</v>
      </c>
      <c r="F82" s="27" t="s">
        <v>164</v>
      </c>
      <c r="G82" s="27" t="s">
        <v>163</v>
      </c>
      <c r="H82" s="397" t="s">
        <v>269</v>
      </c>
      <c r="I82" s="27">
        <v>70959552</v>
      </c>
      <c r="J82" s="269" t="s">
        <v>16</v>
      </c>
      <c r="K82" s="28">
        <v>1.5</v>
      </c>
      <c r="L82" s="29"/>
      <c r="M82" s="30">
        <f>8268-6628</f>
        <v>1640</v>
      </c>
      <c r="N82" s="30">
        <f>36011-28553</f>
        <v>7458</v>
      </c>
      <c r="O82" s="30">
        <f t="shared" si="1"/>
        <v>9098</v>
      </c>
    </row>
    <row r="83" spans="1:15" s="21" customFormat="1" ht="29.25">
      <c r="A83" s="312" t="s">
        <v>11</v>
      </c>
      <c r="B83" s="27" t="s">
        <v>162</v>
      </c>
      <c r="C83" s="27" t="s">
        <v>163</v>
      </c>
      <c r="D83" s="27" t="s">
        <v>270</v>
      </c>
      <c r="E83" s="27"/>
      <c r="F83" s="27" t="s">
        <v>164</v>
      </c>
      <c r="G83" s="27" t="s">
        <v>163</v>
      </c>
      <c r="H83" s="397" t="s">
        <v>271</v>
      </c>
      <c r="I83" s="27">
        <v>70959568</v>
      </c>
      <c r="J83" s="269" t="s">
        <v>16</v>
      </c>
      <c r="K83" s="28">
        <v>9</v>
      </c>
      <c r="L83" s="29"/>
      <c r="M83" s="30">
        <f>24225-19936</f>
        <v>4289</v>
      </c>
      <c r="N83" s="30">
        <f>102402-83049</f>
        <v>19353</v>
      </c>
      <c r="O83" s="30">
        <f t="shared" si="1"/>
        <v>23642</v>
      </c>
    </row>
    <row r="84" spans="1:15" s="21" customFormat="1" ht="29.25">
      <c r="A84" s="312" t="s">
        <v>11</v>
      </c>
      <c r="B84" s="27" t="s">
        <v>162</v>
      </c>
      <c r="C84" s="27" t="s">
        <v>163</v>
      </c>
      <c r="D84" s="27" t="s">
        <v>272</v>
      </c>
      <c r="E84" s="27"/>
      <c r="F84" s="27" t="s">
        <v>164</v>
      </c>
      <c r="G84" s="27" t="s">
        <v>163</v>
      </c>
      <c r="H84" s="397" t="s">
        <v>273</v>
      </c>
      <c r="I84" s="27">
        <v>90030877</v>
      </c>
      <c r="J84" s="269" t="s">
        <v>16</v>
      </c>
      <c r="K84" s="28">
        <v>6.6</v>
      </c>
      <c r="L84" s="29"/>
      <c r="M84" s="30">
        <f>6473-3073</f>
        <v>3400</v>
      </c>
      <c r="N84" s="30">
        <f>23636-9543</f>
        <v>14093</v>
      </c>
      <c r="O84" s="30">
        <f t="shared" si="1"/>
        <v>17493</v>
      </c>
    </row>
    <row r="85" spans="1:15" s="21" customFormat="1" ht="29.25">
      <c r="A85" s="312" t="s">
        <v>11</v>
      </c>
      <c r="B85" s="27" t="s">
        <v>162</v>
      </c>
      <c r="C85" s="27" t="s">
        <v>163</v>
      </c>
      <c r="D85" s="27" t="s">
        <v>274</v>
      </c>
      <c r="E85" s="27">
        <v>14</v>
      </c>
      <c r="F85" s="27" t="s">
        <v>164</v>
      </c>
      <c r="G85" s="27" t="s">
        <v>163</v>
      </c>
      <c r="H85" s="397" t="s">
        <v>275</v>
      </c>
      <c r="I85" s="27">
        <v>70810835</v>
      </c>
      <c r="J85" s="269" t="s">
        <v>16</v>
      </c>
      <c r="K85" s="28">
        <v>1.5</v>
      </c>
      <c r="L85" s="29"/>
      <c r="M85" s="30">
        <f>18394-15123</f>
        <v>3271</v>
      </c>
      <c r="N85" s="30">
        <f>76773-62865</f>
        <v>13908</v>
      </c>
      <c r="O85" s="30">
        <f t="shared" si="1"/>
        <v>17179</v>
      </c>
    </row>
    <row r="86" spans="1:15" s="21" customFormat="1" ht="29.25">
      <c r="A86" s="312" t="s">
        <v>11</v>
      </c>
      <c r="B86" s="27" t="s">
        <v>162</v>
      </c>
      <c r="C86" s="27" t="s">
        <v>163</v>
      </c>
      <c r="D86" s="27" t="s">
        <v>1480</v>
      </c>
      <c r="E86" s="27">
        <v>7</v>
      </c>
      <c r="F86" s="27" t="s">
        <v>164</v>
      </c>
      <c r="G86" s="27" t="s">
        <v>163</v>
      </c>
      <c r="H86" s="397" t="s">
        <v>276</v>
      </c>
      <c r="I86" s="27">
        <v>70959469</v>
      </c>
      <c r="J86" s="269" t="s">
        <v>16</v>
      </c>
      <c r="K86" s="28">
        <v>9</v>
      </c>
      <c r="L86" s="29"/>
      <c r="M86" s="30">
        <f>23425-18513</f>
        <v>4912</v>
      </c>
      <c r="N86" s="30">
        <f>98750-77397</f>
        <v>21353</v>
      </c>
      <c r="O86" s="30">
        <f t="shared" si="1"/>
        <v>26265</v>
      </c>
    </row>
    <row r="87" spans="1:15" s="21" customFormat="1" ht="29.25">
      <c r="A87" s="312" t="s">
        <v>11</v>
      </c>
      <c r="B87" s="27" t="s">
        <v>162</v>
      </c>
      <c r="C87" s="27" t="s">
        <v>163</v>
      </c>
      <c r="D87" s="27" t="s">
        <v>277</v>
      </c>
      <c r="E87" s="27"/>
      <c r="F87" s="27" t="s">
        <v>164</v>
      </c>
      <c r="G87" s="27" t="s">
        <v>163</v>
      </c>
      <c r="H87" s="397" t="s">
        <v>278</v>
      </c>
      <c r="I87" s="27">
        <v>70959564</v>
      </c>
      <c r="J87" s="269" t="s">
        <v>16</v>
      </c>
      <c r="K87" s="28">
        <v>6.6</v>
      </c>
      <c r="L87" s="29"/>
      <c r="M87" s="30">
        <f>7726-6186</f>
        <v>1540</v>
      </c>
      <c r="N87" s="30">
        <f>31543-24389</f>
        <v>7154</v>
      </c>
      <c r="O87" s="30">
        <f t="shared" si="1"/>
        <v>8694</v>
      </c>
    </row>
    <row r="88" spans="1:15" s="21" customFormat="1" ht="29.25">
      <c r="A88" s="312" t="s">
        <v>11</v>
      </c>
      <c r="B88" s="27" t="s">
        <v>162</v>
      </c>
      <c r="C88" s="27" t="s">
        <v>163</v>
      </c>
      <c r="D88" s="27" t="s">
        <v>1474</v>
      </c>
      <c r="E88" s="27">
        <v>2</v>
      </c>
      <c r="F88" s="27" t="s">
        <v>164</v>
      </c>
      <c r="G88" s="27" t="s">
        <v>163</v>
      </c>
      <c r="H88" s="397" t="s">
        <v>279</v>
      </c>
      <c r="I88" s="27">
        <v>70959729</v>
      </c>
      <c r="J88" s="269" t="s">
        <v>16</v>
      </c>
      <c r="K88" s="28">
        <v>8</v>
      </c>
      <c r="L88" s="29"/>
      <c r="M88" s="30">
        <f>18150-14234</f>
        <v>3916</v>
      </c>
      <c r="N88" s="30">
        <f>78204-61104</f>
        <v>17100</v>
      </c>
      <c r="O88" s="30">
        <f t="shared" si="1"/>
        <v>21016</v>
      </c>
    </row>
    <row r="89" spans="1:15" s="21" customFormat="1" ht="29.25">
      <c r="A89" s="312" t="s">
        <v>11</v>
      </c>
      <c r="B89" s="27" t="s">
        <v>162</v>
      </c>
      <c r="C89" s="27" t="s">
        <v>163</v>
      </c>
      <c r="D89" s="27" t="s">
        <v>280</v>
      </c>
      <c r="E89" s="27"/>
      <c r="F89" s="27" t="s">
        <v>164</v>
      </c>
      <c r="G89" s="27" t="s">
        <v>163</v>
      </c>
      <c r="H89" s="397" t="s">
        <v>281</v>
      </c>
      <c r="I89" s="27">
        <v>13407357</v>
      </c>
      <c r="J89" s="269" t="s">
        <v>16</v>
      </c>
      <c r="K89" s="28">
        <v>7.3</v>
      </c>
      <c r="L89" s="29"/>
      <c r="M89" s="30">
        <f>39321-33985</f>
        <v>5336</v>
      </c>
      <c r="N89" s="30">
        <f>132918-114108</f>
        <v>18810</v>
      </c>
      <c r="O89" s="30">
        <f t="shared" si="1"/>
        <v>24146</v>
      </c>
    </row>
    <row r="90" spans="1:15" s="21" customFormat="1" ht="29.25">
      <c r="A90" s="312" t="s">
        <v>11</v>
      </c>
      <c r="B90" s="32" t="s">
        <v>162</v>
      </c>
      <c r="C90" s="32" t="s">
        <v>163</v>
      </c>
      <c r="D90" s="32" t="s">
        <v>282</v>
      </c>
      <c r="E90" s="27"/>
      <c r="F90" s="27" t="s">
        <v>164</v>
      </c>
      <c r="G90" s="27" t="s">
        <v>163</v>
      </c>
      <c r="H90" s="397" t="s">
        <v>283</v>
      </c>
      <c r="I90" s="27">
        <v>70926043</v>
      </c>
      <c r="J90" s="269" t="s">
        <v>16</v>
      </c>
      <c r="K90" s="28">
        <v>3</v>
      </c>
      <c r="L90" s="29"/>
      <c r="M90" s="30">
        <f>1926-1714</f>
        <v>212</v>
      </c>
      <c r="N90" s="30">
        <f>5433-4812</f>
        <v>621</v>
      </c>
      <c r="O90" s="30">
        <f t="shared" si="1"/>
        <v>833</v>
      </c>
    </row>
    <row r="91" spans="1:15" s="21" customFormat="1" ht="29.25">
      <c r="A91" s="312" t="s">
        <v>11</v>
      </c>
      <c r="B91" s="27" t="s">
        <v>162</v>
      </c>
      <c r="C91" s="27" t="s">
        <v>163</v>
      </c>
      <c r="D91" s="27" t="s">
        <v>1481</v>
      </c>
      <c r="E91" s="43"/>
      <c r="F91" s="43" t="s">
        <v>164</v>
      </c>
      <c r="G91" s="23" t="s">
        <v>163</v>
      </c>
      <c r="H91" s="398" t="s">
        <v>287</v>
      </c>
      <c r="I91" s="43">
        <v>70968301</v>
      </c>
      <c r="J91" s="44" t="s">
        <v>154</v>
      </c>
      <c r="K91" s="45">
        <v>4.7</v>
      </c>
      <c r="L91" s="26">
        <f>119121-90769</f>
        <v>28352</v>
      </c>
      <c r="M91" s="46"/>
      <c r="N91" s="46"/>
      <c r="O91" s="30">
        <f>L91</f>
        <v>28352</v>
      </c>
    </row>
    <row r="92" spans="1:15" s="21" customFormat="1" ht="29.25">
      <c r="A92" s="312" t="s">
        <v>11</v>
      </c>
      <c r="B92" s="27" t="s">
        <v>162</v>
      </c>
      <c r="C92" s="27" t="s">
        <v>163</v>
      </c>
      <c r="D92" s="27" t="s">
        <v>1482</v>
      </c>
      <c r="E92" s="47"/>
      <c r="F92" s="47" t="s">
        <v>164</v>
      </c>
      <c r="G92" s="27" t="s">
        <v>163</v>
      </c>
      <c r="H92" s="397" t="s">
        <v>288</v>
      </c>
      <c r="I92" s="47">
        <v>70927991</v>
      </c>
      <c r="J92" s="48" t="s">
        <v>154</v>
      </c>
      <c r="K92" s="49">
        <v>2.3</v>
      </c>
      <c r="L92" s="30">
        <f>50777-39800</f>
        <v>10977</v>
      </c>
      <c r="M92" s="46"/>
      <c r="N92" s="46"/>
      <c r="O92" s="30">
        <f aca="true" t="shared" si="2" ref="O92:O104">L92</f>
        <v>10977</v>
      </c>
    </row>
    <row r="93" spans="1:15" s="21" customFormat="1" ht="29.25">
      <c r="A93" s="312" t="s">
        <v>11</v>
      </c>
      <c r="B93" s="27" t="s">
        <v>162</v>
      </c>
      <c r="C93" s="27" t="s">
        <v>163</v>
      </c>
      <c r="D93" s="27" t="s">
        <v>1483</v>
      </c>
      <c r="E93" s="47"/>
      <c r="F93" s="47" t="s">
        <v>164</v>
      </c>
      <c r="G93" s="27" t="s">
        <v>163</v>
      </c>
      <c r="H93" s="397" t="s">
        <v>289</v>
      </c>
      <c r="I93" s="47">
        <v>70959904</v>
      </c>
      <c r="J93" s="48" t="s">
        <v>154</v>
      </c>
      <c r="K93" s="49">
        <v>5.3</v>
      </c>
      <c r="L93" s="30">
        <f>120074-94170</f>
        <v>25904</v>
      </c>
      <c r="M93" s="46"/>
      <c r="N93" s="46"/>
      <c r="O93" s="30">
        <f t="shared" si="2"/>
        <v>25904</v>
      </c>
    </row>
    <row r="94" spans="1:15" s="21" customFormat="1" ht="29.25">
      <c r="A94" s="312" t="s">
        <v>11</v>
      </c>
      <c r="B94" s="27" t="s">
        <v>162</v>
      </c>
      <c r="C94" s="27" t="s">
        <v>163</v>
      </c>
      <c r="D94" s="27" t="s">
        <v>1483</v>
      </c>
      <c r="E94" s="47"/>
      <c r="F94" s="47" t="s">
        <v>164</v>
      </c>
      <c r="G94" s="27" t="s">
        <v>163</v>
      </c>
      <c r="H94" s="397" t="s">
        <v>290</v>
      </c>
      <c r="I94" s="47">
        <v>70510834</v>
      </c>
      <c r="J94" s="48" t="s">
        <v>154</v>
      </c>
      <c r="K94" s="49">
        <v>4.7</v>
      </c>
      <c r="L94" s="30">
        <f>120478-97810</f>
        <v>22668</v>
      </c>
      <c r="M94" s="46"/>
      <c r="N94" s="46"/>
      <c r="O94" s="30">
        <f t="shared" si="2"/>
        <v>22668</v>
      </c>
    </row>
    <row r="95" spans="1:15" s="21" customFormat="1" ht="29.25">
      <c r="A95" s="312" t="s">
        <v>11</v>
      </c>
      <c r="B95" s="27" t="s">
        <v>162</v>
      </c>
      <c r="C95" s="27" t="s">
        <v>163</v>
      </c>
      <c r="D95" s="27" t="s">
        <v>291</v>
      </c>
      <c r="E95" s="47"/>
      <c r="F95" s="47" t="s">
        <v>164</v>
      </c>
      <c r="G95" s="27" t="s">
        <v>163</v>
      </c>
      <c r="H95" s="397" t="s">
        <v>292</v>
      </c>
      <c r="I95" s="47">
        <v>70968318</v>
      </c>
      <c r="J95" s="48" t="s">
        <v>154</v>
      </c>
      <c r="K95" s="49">
        <v>4</v>
      </c>
      <c r="L95" s="30">
        <f>56408-44440</f>
        <v>11968</v>
      </c>
      <c r="M95" s="46"/>
      <c r="N95" s="46"/>
      <c r="O95" s="30">
        <f t="shared" si="2"/>
        <v>11968</v>
      </c>
    </row>
    <row r="96" spans="1:15" s="21" customFormat="1" ht="29.25">
      <c r="A96" s="312" t="s">
        <v>11</v>
      </c>
      <c r="B96" s="27" t="s">
        <v>162</v>
      </c>
      <c r="C96" s="27" t="s">
        <v>163</v>
      </c>
      <c r="D96" s="27" t="s">
        <v>272</v>
      </c>
      <c r="E96" s="47"/>
      <c r="F96" s="47" t="s">
        <v>164</v>
      </c>
      <c r="G96" s="27" t="s">
        <v>163</v>
      </c>
      <c r="H96" s="397" t="s">
        <v>293</v>
      </c>
      <c r="I96" s="47">
        <v>70968298</v>
      </c>
      <c r="J96" s="48" t="s">
        <v>154</v>
      </c>
      <c r="K96" s="49">
        <v>3</v>
      </c>
      <c r="L96" s="30">
        <f>96514-77960</f>
        <v>18554</v>
      </c>
      <c r="M96" s="46"/>
      <c r="N96" s="46"/>
      <c r="O96" s="30">
        <f t="shared" si="2"/>
        <v>18554</v>
      </c>
    </row>
    <row r="97" spans="1:15" s="21" customFormat="1" ht="29.25">
      <c r="A97" s="312" t="s">
        <v>11</v>
      </c>
      <c r="B97" s="27" t="s">
        <v>162</v>
      </c>
      <c r="C97" s="27" t="s">
        <v>163</v>
      </c>
      <c r="D97" s="27" t="s">
        <v>294</v>
      </c>
      <c r="E97" s="47"/>
      <c r="F97" s="47" t="s">
        <v>164</v>
      </c>
      <c r="G97" s="27" t="s">
        <v>163</v>
      </c>
      <c r="H97" s="397" t="s">
        <v>295</v>
      </c>
      <c r="I97" s="47">
        <v>70959902</v>
      </c>
      <c r="J97" s="48" t="s">
        <v>154</v>
      </c>
      <c r="K97" s="49">
        <v>10</v>
      </c>
      <c r="L97" s="30">
        <f>322664-254349</f>
        <v>68315</v>
      </c>
      <c r="M97" s="46"/>
      <c r="N97" s="46"/>
      <c r="O97" s="30">
        <f t="shared" si="2"/>
        <v>68315</v>
      </c>
    </row>
    <row r="98" spans="1:15" s="21" customFormat="1" ht="29.25">
      <c r="A98" s="312" t="s">
        <v>11</v>
      </c>
      <c r="B98" s="32" t="s">
        <v>162</v>
      </c>
      <c r="C98" s="32" t="s">
        <v>163</v>
      </c>
      <c r="D98" s="32" t="s">
        <v>296</v>
      </c>
      <c r="E98" s="47"/>
      <c r="F98" s="47" t="s">
        <v>164</v>
      </c>
      <c r="G98" s="27" t="s">
        <v>163</v>
      </c>
      <c r="H98" s="397" t="s">
        <v>297</v>
      </c>
      <c r="I98" s="47">
        <v>23902835</v>
      </c>
      <c r="J98" s="48" t="s">
        <v>154</v>
      </c>
      <c r="K98" s="49">
        <v>3.3</v>
      </c>
      <c r="L98" s="30">
        <f>11590-10218</f>
        <v>1372</v>
      </c>
      <c r="M98" s="46"/>
      <c r="N98" s="46"/>
      <c r="O98" s="30">
        <f t="shared" si="2"/>
        <v>1372</v>
      </c>
    </row>
    <row r="99" spans="1:15" s="21" customFormat="1" ht="29.25">
      <c r="A99" s="312" t="s">
        <v>11</v>
      </c>
      <c r="B99" s="27" t="s">
        <v>162</v>
      </c>
      <c r="C99" s="27" t="s">
        <v>163</v>
      </c>
      <c r="D99" s="47" t="s">
        <v>1484</v>
      </c>
      <c r="E99" s="43"/>
      <c r="F99" s="43" t="s">
        <v>164</v>
      </c>
      <c r="G99" s="23" t="s">
        <v>163</v>
      </c>
      <c r="H99" s="398" t="s">
        <v>298</v>
      </c>
      <c r="I99" s="43">
        <v>26258901</v>
      </c>
      <c r="J99" s="266" t="s">
        <v>152</v>
      </c>
      <c r="K99" s="45">
        <v>2.3</v>
      </c>
      <c r="L99" s="26">
        <f>61635-52790</f>
        <v>8845</v>
      </c>
      <c r="M99" s="46"/>
      <c r="N99" s="46"/>
      <c r="O99" s="30">
        <f t="shared" si="2"/>
        <v>8845</v>
      </c>
    </row>
    <row r="100" spans="1:15" s="21" customFormat="1" ht="29.25">
      <c r="A100" s="312" t="s">
        <v>11</v>
      </c>
      <c r="B100" s="27" t="s">
        <v>162</v>
      </c>
      <c r="C100" s="27" t="s">
        <v>163</v>
      </c>
      <c r="D100" s="47" t="s">
        <v>299</v>
      </c>
      <c r="E100" s="47"/>
      <c r="F100" s="47" t="s">
        <v>164</v>
      </c>
      <c r="G100" s="27" t="s">
        <v>163</v>
      </c>
      <c r="H100" s="397" t="s">
        <v>300</v>
      </c>
      <c r="I100" s="47">
        <v>22086729</v>
      </c>
      <c r="J100" s="267" t="s">
        <v>152</v>
      </c>
      <c r="K100" s="49">
        <v>1.4</v>
      </c>
      <c r="L100" s="26">
        <f>47575-39192</f>
        <v>8383</v>
      </c>
      <c r="M100" s="46"/>
      <c r="N100" s="46"/>
      <c r="O100" s="30">
        <f t="shared" si="2"/>
        <v>8383</v>
      </c>
    </row>
    <row r="101" spans="1:15" s="21" customFormat="1" ht="29.25">
      <c r="A101" s="312" t="s">
        <v>11</v>
      </c>
      <c r="B101" s="27" t="s">
        <v>162</v>
      </c>
      <c r="C101" s="27" t="s">
        <v>163</v>
      </c>
      <c r="D101" s="47" t="s">
        <v>301</v>
      </c>
      <c r="E101" s="47"/>
      <c r="F101" s="47" t="s">
        <v>164</v>
      </c>
      <c r="G101" s="27" t="s">
        <v>163</v>
      </c>
      <c r="H101" s="397" t="s">
        <v>302</v>
      </c>
      <c r="I101" s="47">
        <v>1494758</v>
      </c>
      <c r="J101" s="267" t="s">
        <v>152</v>
      </c>
      <c r="K101" s="49">
        <v>3.1</v>
      </c>
      <c r="L101" s="26">
        <f>1082-0</f>
        <v>1082</v>
      </c>
      <c r="M101" s="46"/>
      <c r="N101" s="46"/>
      <c r="O101" s="30">
        <f t="shared" si="2"/>
        <v>1082</v>
      </c>
    </row>
    <row r="102" spans="1:15" s="21" customFormat="1" ht="29.25">
      <c r="A102" s="312" t="s">
        <v>11</v>
      </c>
      <c r="B102" s="27" t="s">
        <v>162</v>
      </c>
      <c r="C102" s="27" t="s">
        <v>163</v>
      </c>
      <c r="D102" s="47" t="s">
        <v>303</v>
      </c>
      <c r="E102" s="47"/>
      <c r="F102" s="47" t="s">
        <v>164</v>
      </c>
      <c r="G102" s="27" t="s">
        <v>163</v>
      </c>
      <c r="H102" s="397" t="s">
        <v>304</v>
      </c>
      <c r="I102" s="47">
        <v>107786</v>
      </c>
      <c r="J102" s="267" t="s">
        <v>152</v>
      </c>
      <c r="K102" s="49">
        <v>13</v>
      </c>
      <c r="L102" s="26">
        <f>60479-47141</f>
        <v>13338</v>
      </c>
      <c r="M102" s="46"/>
      <c r="N102" s="46"/>
      <c r="O102" s="30">
        <f t="shared" si="2"/>
        <v>13338</v>
      </c>
    </row>
    <row r="103" spans="1:21" ht="29.25">
      <c r="A103" s="278" t="s">
        <v>11</v>
      </c>
      <c r="B103" s="186" t="s">
        <v>1322</v>
      </c>
      <c r="C103" s="205" t="s">
        <v>163</v>
      </c>
      <c r="D103" s="62" t="s">
        <v>209</v>
      </c>
      <c r="E103" s="56">
        <v>2</v>
      </c>
      <c r="F103" s="43" t="s">
        <v>164</v>
      </c>
      <c r="G103" s="23" t="s">
        <v>163</v>
      </c>
      <c r="H103" s="396" t="s">
        <v>1741</v>
      </c>
      <c r="I103" s="53">
        <v>908056</v>
      </c>
      <c r="J103" s="211" t="s">
        <v>152</v>
      </c>
      <c r="K103" s="270">
        <v>16</v>
      </c>
      <c r="L103" s="54">
        <f>72326-50689</f>
        <v>21637</v>
      </c>
      <c r="M103" s="55"/>
      <c r="N103" s="55"/>
      <c r="O103" s="30">
        <f t="shared" si="2"/>
        <v>21637</v>
      </c>
      <c r="P103" s="156"/>
      <c r="Q103" s="156"/>
      <c r="R103" s="156"/>
      <c r="S103" s="156"/>
      <c r="T103" s="31"/>
      <c r="U103" s="31"/>
    </row>
    <row r="104" spans="1:21" ht="29.25">
      <c r="A104" s="278" t="s">
        <v>11</v>
      </c>
      <c r="B104" s="186" t="s">
        <v>1322</v>
      </c>
      <c r="C104" s="205" t="s">
        <v>163</v>
      </c>
      <c r="D104" s="62" t="s">
        <v>1334</v>
      </c>
      <c r="E104" s="56">
        <v>50</v>
      </c>
      <c r="F104" s="47" t="s">
        <v>164</v>
      </c>
      <c r="G104" s="27" t="s">
        <v>163</v>
      </c>
      <c r="H104" s="385" t="s">
        <v>1740</v>
      </c>
      <c r="I104" s="56">
        <v>226286</v>
      </c>
      <c r="J104" s="210" t="s">
        <v>152</v>
      </c>
      <c r="K104" s="245">
        <v>4</v>
      </c>
      <c r="L104" s="13">
        <f>11334-5743</f>
        <v>5591</v>
      </c>
      <c r="M104" s="46"/>
      <c r="N104" s="46"/>
      <c r="O104" s="30">
        <f t="shared" si="2"/>
        <v>5591</v>
      </c>
      <c r="P104" s="156"/>
      <c r="Q104" s="156"/>
      <c r="R104" s="156"/>
      <c r="S104" s="156"/>
      <c r="T104" s="31"/>
      <c r="U104" s="31"/>
    </row>
    <row r="105" spans="1:21" ht="30" thickBot="1">
      <c r="A105" s="277" t="s">
        <v>11</v>
      </c>
      <c r="B105" s="473" t="s">
        <v>1322</v>
      </c>
      <c r="C105" s="474" t="s">
        <v>163</v>
      </c>
      <c r="D105" s="475" t="s">
        <v>1687</v>
      </c>
      <c r="E105" s="56" t="s">
        <v>1688</v>
      </c>
      <c r="F105" s="43" t="s">
        <v>164</v>
      </c>
      <c r="G105" s="23" t="s">
        <v>163</v>
      </c>
      <c r="H105" s="385" t="s">
        <v>1742</v>
      </c>
      <c r="I105" s="56">
        <v>239739</v>
      </c>
      <c r="J105" s="157" t="s">
        <v>16</v>
      </c>
      <c r="K105" s="245">
        <v>11</v>
      </c>
      <c r="L105" s="46"/>
      <c r="M105" s="30">
        <f>14813-9282</f>
        <v>5531</v>
      </c>
      <c r="N105" s="30">
        <f>57819-34588</f>
        <v>23231</v>
      </c>
      <c r="O105" s="30">
        <f>M105+N105</f>
        <v>28762</v>
      </c>
      <c r="P105" s="156"/>
      <c r="Q105" s="156"/>
      <c r="R105" s="156"/>
      <c r="S105" s="156"/>
      <c r="T105" s="31"/>
      <c r="U105" s="31"/>
    </row>
    <row r="106" spans="2:15" ht="22.5" customHeight="1">
      <c r="B106" s="75" t="s">
        <v>155</v>
      </c>
      <c r="C106" s="66" t="s">
        <v>284</v>
      </c>
      <c r="D106" s="35"/>
      <c r="G106" s="33" t="s">
        <v>1998</v>
      </c>
      <c r="H106" s="566" t="s">
        <v>284</v>
      </c>
      <c r="M106" s="21"/>
      <c r="N106" s="47" t="s">
        <v>160</v>
      </c>
      <c r="O106" s="284">
        <f>SUM(O18:O105)</f>
        <v>2433900</v>
      </c>
    </row>
    <row r="107" spans="2:15" ht="15">
      <c r="B107" s="37"/>
      <c r="C107" s="69" t="s">
        <v>1842</v>
      </c>
      <c r="D107" s="39"/>
      <c r="G107" s="567"/>
      <c r="H107" s="568" t="s">
        <v>285</v>
      </c>
      <c r="L107" s="2"/>
      <c r="M107" s="36"/>
      <c r="N107" s="36"/>
      <c r="O107" s="21"/>
    </row>
    <row r="108" spans="2:15" ht="15">
      <c r="B108" s="37"/>
      <c r="C108" s="77" t="s">
        <v>286</v>
      </c>
      <c r="D108" s="39"/>
      <c r="G108" s="567"/>
      <c r="H108" s="568" t="s">
        <v>286</v>
      </c>
      <c r="M108" s="21"/>
      <c r="N108" s="21"/>
      <c r="O108" s="21"/>
    </row>
    <row r="109" spans="2:15" ht="15.75" thickBot="1">
      <c r="B109" s="282" t="s">
        <v>1689</v>
      </c>
      <c r="C109" s="77" t="s">
        <v>1843</v>
      </c>
      <c r="D109" s="39"/>
      <c r="G109" s="240" t="s">
        <v>1689</v>
      </c>
      <c r="H109" s="569" t="s">
        <v>1843</v>
      </c>
      <c r="M109" s="21"/>
      <c r="N109" s="21"/>
      <c r="O109" s="21"/>
    </row>
    <row r="110" spans="2:15" ht="15.75" thickBot="1">
      <c r="B110" s="240" t="s">
        <v>1693</v>
      </c>
      <c r="C110" s="78" t="s">
        <v>1999</v>
      </c>
      <c r="D110" s="42"/>
      <c r="M110" s="430" t="s">
        <v>160</v>
      </c>
      <c r="N110" s="36">
        <f>O106</f>
        <v>2433900</v>
      </c>
      <c r="O110" s="21"/>
    </row>
    <row r="111" spans="2:15" ht="15.75" thickBot="1">
      <c r="B111" s="69"/>
      <c r="C111" s="38"/>
      <c r="D111" s="69"/>
      <c r="M111" s="430"/>
      <c r="N111" s="36"/>
      <c r="O111" s="21"/>
    </row>
    <row r="112" spans="1:20" ht="46.5" customHeight="1">
      <c r="A112" s="718" t="s">
        <v>0</v>
      </c>
      <c r="B112" s="686" t="s">
        <v>1</v>
      </c>
      <c r="C112" s="686" t="s">
        <v>2</v>
      </c>
      <c r="D112" s="686" t="s">
        <v>3</v>
      </c>
      <c r="E112" s="686" t="s">
        <v>4</v>
      </c>
      <c r="F112" s="686" t="s">
        <v>5</v>
      </c>
      <c r="G112" s="686" t="s">
        <v>6</v>
      </c>
      <c r="H112" s="695" t="s">
        <v>8</v>
      </c>
      <c r="I112" s="686" t="s">
        <v>753</v>
      </c>
      <c r="J112" s="686" t="s">
        <v>157</v>
      </c>
      <c r="K112" s="721" t="s">
        <v>9</v>
      </c>
      <c r="L112" s="724" t="s">
        <v>1043</v>
      </c>
      <c r="M112" s="724"/>
      <c r="N112" s="724"/>
      <c r="O112" s="724"/>
      <c r="P112" s="724" t="s">
        <v>1044</v>
      </c>
      <c r="Q112" s="724"/>
      <c r="R112" s="724"/>
      <c r="S112" s="724"/>
      <c r="T112" s="695" t="s">
        <v>1833</v>
      </c>
    </row>
    <row r="113" spans="1:20" ht="46.5" customHeight="1">
      <c r="A113" s="719"/>
      <c r="B113" s="687"/>
      <c r="C113" s="687"/>
      <c r="D113" s="687"/>
      <c r="E113" s="687"/>
      <c r="F113" s="687"/>
      <c r="G113" s="687"/>
      <c r="H113" s="696"/>
      <c r="I113" s="687"/>
      <c r="J113" s="687"/>
      <c r="K113" s="722"/>
      <c r="L113" s="690" t="s">
        <v>1041</v>
      </c>
      <c r="M113" s="690" t="s">
        <v>1035</v>
      </c>
      <c r="N113" s="690" t="s">
        <v>1036</v>
      </c>
      <c r="O113" s="690" t="s">
        <v>1046</v>
      </c>
      <c r="P113" s="690" t="s">
        <v>1041</v>
      </c>
      <c r="Q113" s="690" t="s">
        <v>1035</v>
      </c>
      <c r="R113" s="690" t="s">
        <v>1036</v>
      </c>
      <c r="S113" s="690" t="s">
        <v>1046</v>
      </c>
      <c r="T113" s="696"/>
    </row>
    <row r="114" spans="1:20" ht="15" thickBot="1">
      <c r="A114" s="720"/>
      <c r="B114" s="688"/>
      <c r="C114" s="688"/>
      <c r="D114" s="688"/>
      <c r="E114" s="688"/>
      <c r="F114" s="688"/>
      <c r="G114" s="688"/>
      <c r="H114" s="697"/>
      <c r="I114" s="688"/>
      <c r="J114" s="688"/>
      <c r="K114" s="723"/>
      <c r="L114" s="725"/>
      <c r="M114" s="725"/>
      <c r="N114" s="725"/>
      <c r="O114" s="725"/>
      <c r="P114" s="725"/>
      <c r="Q114" s="725"/>
      <c r="R114" s="725"/>
      <c r="S114" s="725"/>
      <c r="T114" s="697"/>
    </row>
    <row r="115" spans="1:21" ht="44.25" thickBot="1">
      <c r="A115" s="277" t="s">
        <v>754</v>
      </c>
      <c r="B115" s="409" t="s">
        <v>1844</v>
      </c>
      <c r="C115" s="53" t="s">
        <v>163</v>
      </c>
      <c r="D115" s="476" t="s">
        <v>1716</v>
      </c>
      <c r="E115" s="140" t="s">
        <v>1845</v>
      </c>
      <c r="F115" s="53" t="s">
        <v>164</v>
      </c>
      <c r="G115" s="53" t="s">
        <v>163</v>
      </c>
      <c r="H115" s="396">
        <v>51233007</v>
      </c>
      <c r="I115" s="53">
        <v>1391795</v>
      </c>
      <c r="J115" s="211" t="s">
        <v>154</v>
      </c>
      <c r="K115" s="270">
        <v>2</v>
      </c>
      <c r="L115" s="54">
        <f>400</f>
        <v>400</v>
      </c>
      <c r="M115" s="55"/>
      <c r="N115" s="55"/>
      <c r="O115" s="54">
        <f>L115</f>
        <v>400</v>
      </c>
      <c r="P115" s="54">
        <f>O115</f>
        <v>400</v>
      </c>
      <c r="Q115" s="340"/>
      <c r="R115" s="340"/>
      <c r="S115" s="54">
        <f>P115</f>
        <v>400</v>
      </c>
      <c r="T115" s="140" t="s">
        <v>1846</v>
      </c>
      <c r="U115" t="s">
        <v>1847</v>
      </c>
    </row>
    <row r="116" spans="2:19" ht="15">
      <c r="B116" s="75" t="s">
        <v>155</v>
      </c>
      <c r="C116" s="66" t="s">
        <v>284</v>
      </c>
      <c r="D116" s="35"/>
      <c r="E116" s="69"/>
      <c r="F116" s="51"/>
      <c r="G116" s="33" t="s">
        <v>1998</v>
      </c>
      <c r="H116" s="566" t="s">
        <v>284</v>
      </c>
      <c r="L116" s="2"/>
      <c r="O116" s="2"/>
      <c r="R116" s="47" t="s">
        <v>160</v>
      </c>
      <c r="S116" s="284">
        <f>SUM(S28:S115)</f>
        <v>400</v>
      </c>
    </row>
    <row r="117" spans="2:15" ht="15">
      <c r="B117" s="37"/>
      <c r="C117" s="69" t="s">
        <v>1842</v>
      </c>
      <c r="D117" s="39"/>
      <c r="E117" s="69"/>
      <c r="F117" s="51"/>
      <c r="G117" s="567"/>
      <c r="H117" s="568" t="s">
        <v>285</v>
      </c>
      <c r="L117" s="2"/>
      <c r="O117" s="2"/>
    </row>
    <row r="118" spans="2:15" ht="15">
      <c r="B118" s="37"/>
      <c r="C118" s="77" t="s">
        <v>286</v>
      </c>
      <c r="D118" s="39"/>
      <c r="E118" s="69"/>
      <c r="F118" s="51"/>
      <c r="G118" s="567"/>
      <c r="H118" s="568" t="s">
        <v>286</v>
      </c>
      <c r="L118" s="2"/>
      <c r="O118" s="2"/>
    </row>
    <row r="119" spans="2:15" ht="15.75" thickBot="1">
      <c r="B119" s="240" t="s">
        <v>1682</v>
      </c>
      <c r="C119" s="78" t="s">
        <v>1843</v>
      </c>
      <c r="D119" s="42"/>
      <c r="E119" s="69"/>
      <c r="F119" s="51"/>
      <c r="G119" s="240" t="s">
        <v>1689</v>
      </c>
      <c r="H119" s="569" t="s">
        <v>1843</v>
      </c>
      <c r="L119" s="2"/>
      <c r="M119" s="20"/>
      <c r="N119" s="477"/>
      <c r="O119" s="2"/>
    </row>
    <row r="120" spans="13:15" ht="14.25">
      <c r="M120" s="21"/>
      <c r="N120" s="21"/>
      <c r="O120" s="21"/>
    </row>
    <row r="121" spans="13:15" ht="14.25">
      <c r="M121" s="21"/>
      <c r="N121" s="21"/>
      <c r="O121" s="21"/>
    </row>
    <row r="122" spans="2:15" ht="15">
      <c r="B122" s="69"/>
      <c r="C122" s="38"/>
      <c r="D122" s="69"/>
      <c r="M122" s="430"/>
      <c r="N122" s="36" t="s">
        <v>160</v>
      </c>
      <c r="O122" s="36">
        <f>O106+S116</f>
        <v>2434300</v>
      </c>
    </row>
    <row r="123" spans="2:15" ht="15.75" thickBot="1">
      <c r="B123" s="69"/>
      <c r="C123" s="38"/>
      <c r="D123" s="69"/>
      <c r="M123" s="21"/>
      <c r="N123" s="21"/>
      <c r="O123" s="21"/>
    </row>
    <row r="124" spans="2:16" ht="44.25" customHeight="1">
      <c r="B124" s="69"/>
      <c r="C124" s="38"/>
      <c r="D124" s="69"/>
      <c r="L124" s="705" t="s">
        <v>157</v>
      </c>
      <c r="M124" s="702" t="s">
        <v>1034</v>
      </c>
      <c r="N124" s="703"/>
      <c r="O124" s="704"/>
      <c r="P124" s="713" t="s">
        <v>158</v>
      </c>
    </row>
    <row r="125" spans="9:16" s="21" customFormat="1" ht="27.75" customHeight="1" thickBot="1">
      <c r="I125" s="31"/>
      <c r="J125" s="31"/>
      <c r="K125" s="171"/>
      <c r="L125" s="706"/>
      <c r="M125" s="130" t="s">
        <v>159</v>
      </c>
      <c r="N125" s="130" t="s">
        <v>1035</v>
      </c>
      <c r="O125" s="130" t="s">
        <v>1036</v>
      </c>
      <c r="P125" s="714"/>
    </row>
    <row r="126" spans="9:16" ht="14.25">
      <c r="I126" s="31"/>
      <c r="J126" s="31"/>
      <c r="K126" s="171"/>
      <c r="L126" s="53" t="s">
        <v>152</v>
      </c>
      <c r="M126" s="54">
        <f>O99+O100+O101+O102+O103+O104</f>
        <v>58876</v>
      </c>
      <c r="N126" s="55"/>
      <c r="O126" s="55"/>
      <c r="P126" s="53">
        <v>6</v>
      </c>
    </row>
    <row r="127" spans="9:16" ht="14.25">
      <c r="I127" s="31"/>
      <c r="J127" s="31"/>
      <c r="K127" s="171"/>
      <c r="L127" s="349" t="s">
        <v>154</v>
      </c>
      <c r="M127" s="148">
        <f>O91+O92+O93+O94+O95+O96+O97+O98+S115</f>
        <v>188510</v>
      </c>
      <c r="N127" s="178"/>
      <c r="O127" s="178"/>
      <c r="P127" s="349">
        <v>9</v>
      </c>
    </row>
    <row r="128" spans="6:16" ht="15" thickBot="1">
      <c r="F128" s="51"/>
      <c r="I128" s="31"/>
      <c r="J128" s="31"/>
      <c r="K128" s="31"/>
      <c r="L128" s="57" t="s">
        <v>16</v>
      </c>
      <c r="M128" s="58"/>
      <c r="N128" s="14">
        <f>SUM(M18:M105)</f>
        <v>414949</v>
      </c>
      <c r="O128" s="14">
        <f>SUM(N18:N105)</f>
        <v>1771965</v>
      </c>
      <c r="P128" s="57">
        <v>74</v>
      </c>
    </row>
    <row r="129" spans="6:16" ht="15" thickBot="1">
      <c r="F129" s="52"/>
      <c r="I129" s="31"/>
      <c r="J129" s="31"/>
      <c r="K129" s="31"/>
      <c r="L129" s="16" t="s">
        <v>160</v>
      </c>
      <c r="M129" s="18">
        <f>SUM(M126:M128)</f>
        <v>247386</v>
      </c>
      <c r="N129" s="18">
        <f>SUM(N126:N128)</f>
        <v>414949</v>
      </c>
      <c r="O129" s="19">
        <f>SUM(O126:O128)</f>
        <v>1771965</v>
      </c>
      <c r="P129" s="329">
        <f>SUM(P126:P128)</f>
        <v>89</v>
      </c>
    </row>
    <row r="130" spans="6:14" ht="18.75" thickBot="1">
      <c r="F130" s="51"/>
      <c r="I130" s="31"/>
      <c r="J130" s="31"/>
      <c r="K130" s="149"/>
      <c r="M130" s="59" t="s">
        <v>161</v>
      </c>
      <c r="N130" s="327">
        <f>SUM(M129:O129)</f>
        <v>2434300</v>
      </c>
    </row>
    <row r="131" spans="6:16" ht="18">
      <c r="F131" s="51"/>
      <c r="I131" s="31"/>
      <c r="J131" s="31"/>
      <c r="K131" s="31"/>
      <c r="L131" s="241"/>
      <c r="M131" s="237"/>
      <c r="N131" s="31"/>
      <c r="O131" s="31"/>
      <c r="P131" s="31"/>
    </row>
    <row r="132" spans="9:16" ht="14.25">
      <c r="I132" s="31"/>
      <c r="J132" s="31"/>
      <c r="K132" s="31"/>
      <c r="L132" s="31"/>
      <c r="M132" s="31"/>
      <c r="N132" s="156"/>
      <c r="O132" s="31"/>
      <c r="P132" s="31"/>
    </row>
    <row r="133" spans="9:16" ht="14.25">
      <c r="I133" s="31"/>
      <c r="J133" s="31"/>
      <c r="K133" s="31"/>
      <c r="L133" s="31"/>
      <c r="M133" s="31"/>
      <c r="N133" s="31"/>
      <c r="O133" s="31"/>
      <c r="P133" s="31"/>
    </row>
    <row r="144" spans="13:15" ht="14.25">
      <c r="M144" s="21"/>
      <c r="N144" s="21"/>
      <c r="O144" s="21"/>
    </row>
    <row r="145" spans="13:15" ht="14.25">
      <c r="M145" s="21"/>
      <c r="N145" s="21"/>
      <c r="O145" s="21"/>
    </row>
    <row r="146" spans="13:15" ht="14.25">
      <c r="M146" s="21"/>
      <c r="N146" s="21"/>
      <c r="O146" s="21"/>
    </row>
    <row r="147" spans="13:15" ht="14.25">
      <c r="M147" s="21"/>
      <c r="N147" s="21"/>
      <c r="O147" s="21"/>
    </row>
    <row r="148" spans="13:15" ht="14.25">
      <c r="M148" s="21"/>
      <c r="N148" s="21"/>
      <c r="O148" s="21"/>
    </row>
    <row r="149" spans="13:15" ht="14.25">
      <c r="M149" s="21"/>
      <c r="N149" s="21"/>
      <c r="O149" s="21"/>
    </row>
    <row r="150" spans="13:15" ht="14.25">
      <c r="M150" s="21"/>
      <c r="N150" s="21"/>
      <c r="O150" s="21"/>
    </row>
    <row r="151" spans="13:15" ht="14.25">
      <c r="M151" s="21"/>
      <c r="N151" s="21"/>
      <c r="O151" s="21"/>
    </row>
    <row r="152" spans="13:15" ht="14.25">
      <c r="M152" s="21"/>
      <c r="N152" s="21"/>
      <c r="O152" s="21"/>
    </row>
    <row r="153" spans="13:15" ht="14.25">
      <c r="M153" s="21"/>
      <c r="N153" s="21"/>
      <c r="O153" s="21"/>
    </row>
    <row r="154" spans="13:15" ht="14.25">
      <c r="M154" s="21"/>
      <c r="N154" s="21"/>
      <c r="O154" s="21"/>
    </row>
    <row r="155" spans="13:15" ht="14.25">
      <c r="M155" s="21"/>
      <c r="N155" s="21"/>
      <c r="O155" s="21"/>
    </row>
    <row r="156" spans="13:15" ht="14.25">
      <c r="M156" s="21"/>
      <c r="N156" s="21"/>
      <c r="O156" s="21"/>
    </row>
    <row r="157" spans="13:15" ht="14.25">
      <c r="M157" s="21"/>
      <c r="N157" s="21"/>
      <c r="O157" s="21"/>
    </row>
    <row r="158" spans="13:15" ht="14.25">
      <c r="M158" s="21"/>
      <c r="N158" s="21"/>
      <c r="O158" s="21"/>
    </row>
    <row r="159" spans="13:15" ht="14.25">
      <c r="M159" s="21"/>
      <c r="N159" s="21"/>
      <c r="O159" s="21"/>
    </row>
    <row r="160" spans="13:15" ht="14.25">
      <c r="M160" s="21"/>
      <c r="N160" s="21"/>
      <c r="O160" s="21"/>
    </row>
    <row r="161" spans="13:15" ht="14.25">
      <c r="M161" s="21"/>
      <c r="N161" s="21"/>
      <c r="O161" s="21"/>
    </row>
    <row r="162" spans="13:15" ht="14.25">
      <c r="M162" s="21"/>
      <c r="N162" s="21"/>
      <c r="O162" s="21"/>
    </row>
    <row r="163" spans="13:15" ht="14.25">
      <c r="M163" s="21"/>
      <c r="N163" s="21"/>
      <c r="O163" s="21"/>
    </row>
    <row r="164" spans="13:15" ht="14.25">
      <c r="M164" s="21"/>
      <c r="N164" s="21"/>
      <c r="O164" s="21"/>
    </row>
    <row r="165" spans="13:15" ht="14.25">
      <c r="M165" s="21"/>
      <c r="N165" s="21"/>
      <c r="O165" s="21"/>
    </row>
    <row r="166" spans="13:15" ht="14.25">
      <c r="M166" s="21"/>
      <c r="N166" s="21"/>
      <c r="O166" s="21"/>
    </row>
    <row r="167" spans="13:15" ht="14.25">
      <c r="M167" s="21"/>
      <c r="N167" s="21"/>
      <c r="O167" s="21"/>
    </row>
    <row r="168" spans="13:15" ht="14.25">
      <c r="M168" s="21"/>
      <c r="N168" s="21"/>
      <c r="O168" s="21"/>
    </row>
    <row r="169" spans="13:15" ht="14.25">
      <c r="M169" s="21"/>
      <c r="N169" s="21"/>
      <c r="O169" s="21"/>
    </row>
    <row r="170" spans="13:15" ht="14.25">
      <c r="M170" s="21"/>
      <c r="N170" s="21"/>
      <c r="O170" s="21"/>
    </row>
    <row r="171" spans="13:15" ht="14.25">
      <c r="M171" s="21"/>
      <c r="N171" s="21"/>
      <c r="O171" s="21"/>
    </row>
    <row r="172" spans="13:15" ht="14.25">
      <c r="M172" s="21"/>
      <c r="N172" s="21"/>
      <c r="O172" s="21"/>
    </row>
    <row r="173" spans="13:15" ht="14.25">
      <c r="M173" s="21"/>
      <c r="N173" s="21"/>
      <c r="O173" s="21"/>
    </row>
    <row r="174" spans="13:15" ht="14.25">
      <c r="M174" s="21"/>
      <c r="N174" s="21"/>
      <c r="O174" s="21"/>
    </row>
  </sheetData>
  <sheetProtection/>
  <mergeCells count="41">
    <mergeCell ref="S113:S114"/>
    <mergeCell ref="P112:S112"/>
    <mergeCell ref="T112:T114"/>
    <mergeCell ref="L113:L114"/>
    <mergeCell ref="M113:M114"/>
    <mergeCell ref="N113:N114"/>
    <mergeCell ref="O113:O114"/>
    <mergeCell ref="P113:P114"/>
    <mergeCell ref="Q113:Q114"/>
    <mergeCell ref="R113:R114"/>
    <mergeCell ref="G112:G114"/>
    <mergeCell ref="H112:H114"/>
    <mergeCell ref="I112:I114"/>
    <mergeCell ref="J112:J114"/>
    <mergeCell ref="K112:K114"/>
    <mergeCell ref="L112:O112"/>
    <mergeCell ref="A112:A114"/>
    <mergeCell ref="B112:B114"/>
    <mergeCell ref="C112:C114"/>
    <mergeCell ref="D112:D114"/>
    <mergeCell ref="E112:E114"/>
    <mergeCell ref="F112:F114"/>
    <mergeCell ref="G15:G17"/>
    <mergeCell ref="J15:J17"/>
    <mergeCell ref="B3:I3"/>
    <mergeCell ref="B5:I5"/>
    <mergeCell ref="I15:I17"/>
    <mergeCell ref="L16:O16"/>
    <mergeCell ref="K15:K17"/>
    <mergeCell ref="H15:H17"/>
    <mergeCell ref="L15:O15"/>
    <mergeCell ref="B1:K1"/>
    <mergeCell ref="L124:L125"/>
    <mergeCell ref="M124:O124"/>
    <mergeCell ref="P124:P125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"/>
  <sheetViews>
    <sheetView zoomScale="80" zoomScaleNormal="80" zoomScalePageLayoutView="0" workbookViewId="0" topLeftCell="A145">
      <selection activeCell="G174" sqref="G174"/>
    </sheetView>
  </sheetViews>
  <sheetFormatPr defaultColWidth="8.796875" defaultRowHeight="14.25"/>
  <cols>
    <col min="1" max="1" width="10.8984375" style="0" customWidth="1"/>
    <col min="2" max="2" width="12.5" style="0" customWidth="1"/>
    <col min="3" max="3" width="14.69921875" style="0" customWidth="1"/>
    <col min="4" max="4" width="11.8984375" style="0" customWidth="1"/>
    <col min="5" max="5" width="9" style="0" customWidth="1"/>
    <col min="6" max="6" width="12.5" style="0" customWidth="1"/>
    <col min="7" max="7" width="14.09765625" style="0" customWidth="1"/>
    <col min="8" max="8" width="26" style="0" customWidth="1"/>
    <col min="9" max="9" width="21.69921875" style="0" customWidth="1"/>
    <col min="10" max="10" width="12.59765625" style="0" customWidth="1"/>
    <col min="11" max="11" width="12.5" style="1" customWidth="1"/>
    <col min="12" max="12" width="13.09765625" style="2" customWidth="1"/>
    <col min="13" max="13" width="15.5" style="2" customWidth="1"/>
    <col min="14" max="14" width="18.19921875" style="2" customWidth="1"/>
    <col min="15" max="15" width="21.09765625" style="2" customWidth="1"/>
    <col min="16" max="16" width="13.19921875" style="0" customWidth="1"/>
    <col min="17" max="17" width="12.8984375" style="0" customWidth="1"/>
    <col min="18" max="18" width="14.59765625" style="0" customWidth="1"/>
    <col min="19" max="19" width="15.19921875" style="0" customWidth="1"/>
    <col min="20" max="20" width="22.59765625" style="0" customWidth="1"/>
    <col min="21" max="21" width="23" style="0" customWidth="1"/>
  </cols>
  <sheetData>
    <row r="1" spans="2:10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</row>
    <row r="2" spans="2:10" ht="15">
      <c r="B2" s="222"/>
      <c r="C2" s="222"/>
      <c r="D2" s="222"/>
      <c r="E2" s="222"/>
      <c r="F2" s="222"/>
      <c r="G2" s="222"/>
      <c r="H2" s="223"/>
      <c r="I2" s="224"/>
      <c r="J2" s="227"/>
    </row>
    <row r="3" spans="2:10" ht="26.25" customHeight="1">
      <c r="B3" s="726" t="s">
        <v>1056</v>
      </c>
      <c r="C3" s="727"/>
      <c r="D3" s="727"/>
      <c r="E3" s="727"/>
      <c r="F3" s="727"/>
      <c r="G3" s="727"/>
      <c r="H3" s="727"/>
      <c r="I3" s="728"/>
      <c r="J3" s="227"/>
    </row>
    <row r="4" spans="2:10" ht="15">
      <c r="B4" s="223"/>
      <c r="C4" s="223"/>
      <c r="D4" s="223"/>
      <c r="E4" s="223"/>
      <c r="F4" s="223"/>
      <c r="G4" s="223"/>
      <c r="H4" s="223"/>
      <c r="I4" s="224"/>
      <c r="J4" s="227"/>
    </row>
    <row r="5" spans="2:10" ht="15.75" customHeight="1">
      <c r="B5" s="679" t="s">
        <v>1029</v>
      </c>
      <c r="C5" s="679"/>
      <c r="D5" s="679"/>
      <c r="E5" s="679"/>
      <c r="F5" s="679"/>
      <c r="G5" s="679"/>
      <c r="H5" s="679"/>
      <c r="I5" s="679"/>
      <c r="J5" s="227"/>
    </row>
    <row r="6" spans="2:10" ht="17.25" customHeight="1">
      <c r="B6" s="223"/>
      <c r="C6" s="223"/>
      <c r="D6" s="223"/>
      <c r="E6" s="223"/>
      <c r="F6" s="223"/>
      <c r="G6" s="223"/>
      <c r="H6" s="223"/>
      <c r="I6" s="224"/>
      <c r="J6" s="227"/>
    </row>
    <row r="7" spans="2:10" ht="15.75">
      <c r="B7" s="225" t="s">
        <v>967</v>
      </c>
      <c r="C7" s="222"/>
      <c r="D7" s="223"/>
      <c r="E7" s="223"/>
      <c r="F7" s="223"/>
      <c r="G7" s="222"/>
      <c r="H7" s="223"/>
      <c r="I7" s="224"/>
      <c r="J7" s="227"/>
    </row>
    <row r="8" spans="2:10" ht="15">
      <c r="B8" s="528" t="s">
        <v>1986</v>
      </c>
      <c r="C8" s="222"/>
      <c r="D8" s="223"/>
      <c r="E8" s="223"/>
      <c r="F8" s="223"/>
      <c r="G8" s="222"/>
      <c r="H8" s="223"/>
      <c r="I8" s="224"/>
      <c r="J8" s="227"/>
    </row>
    <row r="9" spans="2:10" ht="15.75">
      <c r="B9" s="226" t="s">
        <v>1828</v>
      </c>
      <c r="C9" s="222"/>
      <c r="D9" s="227"/>
      <c r="E9" s="223"/>
      <c r="F9" s="223"/>
      <c r="G9" s="222"/>
      <c r="H9" s="223"/>
      <c r="I9" s="224"/>
      <c r="J9" s="227"/>
    </row>
    <row r="10" spans="2:10" ht="15.75">
      <c r="B10" s="226" t="s">
        <v>1681</v>
      </c>
      <c r="C10" s="222"/>
      <c r="D10" s="227"/>
      <c r="E10" s="223"/>
      <c r="F10" s="223"/>
      <c r="G10" s="222"/>
      <c r="H10" s="223"/>
      <c r="I10" s="224"/>
      <c r="J10" s="227"/>
    </row>
    <row r="11" spans="2:10" ht="15">
      <c r="B11" s="222" t="s">
        <v>1047</v>
      </c>
      <c r="C11" s="222"/>
      <c r="D11" s="222"/>
      <c r="E11" s="222"/>
      <c r="F11" s="222"/>
      <c r="G11" s="222"/>
      <c r="H11" s="223"/>
      <c r="I11" s="224"/>
      <c r="J11" s="227"/>
    </row>
    <row r="12" spans="2:10" ht="15.75">
      <c r="B12" s="228"/>
      <c r="C12" s="229"/>
      <c r="D12" s="227"/>
      <c r="E12" s="227"/>
      <c r="F12" s="227"/>
      <c r="G12" s="227"/>
      <c r="H12" s="230"/>
      <c r="I12" s="222"/>
      <c r="J12" s="227"/>
    </row>
    <row r="13" spans="2:10" ht="15.75"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27"/>
    </row>
    <row r="14" spans="1:10" ht="15" thickBot="1">
      <c r="A14" s="31"/>
      <c r="B14" s="88"/>
      <c r="C14" s="31"/>
      <c r="D14" s="31"/>
      <c r="E14" s="31"/>
      <c r="F14" s="31"/>
      <c r="G14" s="31"/>
      <c r="H14" s="31"/>
      <c r="I14" s="31"/>
      <c r="J14" s="31"/>
    </row>
    <row r="15" spans="1:15" ht="48.7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5" customHeight="1">
      <c r="A16" s="708"/>
      <c r="B16" s="677"/>
      <c r="C16" s="681"/>
      <c r="D16" s="681"/>
      <c r="E16" s="687"/>
      <c r="F16" s="687"/>
      <c r="G16" s="681"/>
      <c r="H16" s="687"/>
      <c r="I16" s="687"/>
      <c r="J16" s="687"/>
      <c r="K16" s="693"/>
      <c r="L16" s="689" t="s">
        <v>1040</v>
      </c>
      <c r="M16" s="690"/>
      <c r="N16" s="690"/>
      <c r="O16" s="691"/>
    </row>
    <row r="17" spans="1:15" ht="54.75" customHeight="1" thickBot="1">
      <c r="A17" s="709"/>
      <c r="B17" s="678"/>
      <c r="C17" s="682"/>
      <c r="D17" s="682"/>
      <c r="E17" s="688"/>
      <c r="F17" s="688"/>
      <c r="G17" s="682"/>
      <c r="H17" s="688"/>
      <c r="I17" s="688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6" ht="29.25">
      <c r="A18" s="278" t="s">
        <v>11</v>
      </c>
      <c r="B18" s="61" t="s">
        <v>12</v>
      </c>
      <c r="C18" s="61" t="s">
        <v>305</v>
      </c>
      <c r="D18" s="56"/>
      <c r="E18" s="56"/>
      <c r="F18" s="56" t="s">
        <v>164</v>
      </c>
      <c r="G18" s="61" t="s">
        <v>163</v>
      </c>
      <c r="H18" s="385" t="s">
        <v>1200</v>
      </c>
      <c r="I18" s="47">
        <v>1499919</v>
      </c>
      <c r="J18" s="510" t="s">
        <v>154</v>
      </c>
      <c r="K18" s="63">
        <v>1.4</v>
      </c>
      <c r="L18" s="207">
        <f>(5601-4408)+(9613-6717)+(7101-2722)</f>
        <v>8468</v>
      </c>
      <c r="M18" s="203"/>
      <c r="N18" s="203"/>
      <c r="O18" s="204">
        <f>L18</f>
        <v>8468</v>
      </c>
      <c r="P18" s="2"/>
    </row>
    <row r="19" spans="1:16" ht="29.25">
      <c r="A19" s="278" t="s">
        <v>11</v>
      </c>
      <c r="B19" s="61" t="s">
        <v>12</v>
      </c>
      <c r="C19" s="61" t="s">
        <v>306</v>
      </c>
      <c r="D19" s="56"/>
      <c r="E19" s="56">
        <v>29</v>
      </c>
      <c r="F19" s="56" t="s">
        <v>164</v>
      </c>
      <c r="G19" s="61" t="s">
        <v>163</v>
      </c>
      <c r="H19" s="385" t="s">
        <v>1112</v>
      </c>
      <c r="I19" s="47">
        <v>1399796</v>
      </c>
      <c r="J19" s="510" t="s">
        <v>154</v>
      </c>
      <c r="K19" s="63">
        <v>2.2</v>
      </c>
      <c r="L19" s="207">
        <f>(14131-8357)*2</f>
        <v>11548</v>
      </c>
      <c r="M19" s="203"/>
      <c r="N19" s="203"/>
      <c r="O19" s="204">
        <f aca="true" t="shared" si="0" ref="O19:O27">L19</f>
        <v>11548</v>
      </c>
      <c r="P19" s="2"/>
    </row>
    <row r="20" spans="1:16" ht="29.25">
      <c r="A20" s="278" t="s">
        <v>11</v>
      </c>
      <c r="B20" s="61" t="s">
        <v>12</v>
      </c>
      <c r="C20" s="61" t="s">
        <v>306</v>
      </c>
      <c r="D20" s="56"/>
      <c r="E20" s="56"/>
      <c r="F20" s="56" t="s">
        <v>164</v>
      </c>
      <c r="G20" s="61" t="s">
        <v>163</v>
      </c>
      <c r="H20" s="385" t="s">
        <v>1113</v>
      </c>
      <c r="I20" s="47">
        <v>1399798</v>
      </c>
      <c r="J20" s="510" t="s">
        <v>154</v>
      </c>
      <c r="K20" s="63">
        <v>1</v>
      </c>
      <c r="L20" s="207">
        <f>(5523-4880)+(11390-8910)+7323</f>
        <v>10446</v>
      </c>
      <c r="M20" s="203"/>
      <c r="N20" s="203"/>
      <c r="O20" s="204">
        <f t="shared" si="0"/>
        <v>10446</v>
      </c>
      <c r="P20" s="2"/>
    </row>
    <row r="21" spans="1:16" ht="29.25">
      <c r="A21" s="278" t="s">
        <v>11</v>
      </c>
      <c r="B21" s="61" t="s">
        <v>12</v>
      </c>
      <c r="C21" s="61" t="s">
        <v>307</v>
      </c>
      <c r="D21" s="56"/>
      <c r="E21" s="56"/>
      <c r="F21" s="56" t="s">
        <v>164</v>
      </c>
      <c r="G21" s="61" t="s">
        <v>163</v>
      </c>
      <c r="H21" s="385" t="s">
        <v>1114</v>
      </c>
      <c r="I21" s="47">
        <v>1404279</v>
      </c>
      <c r="J21" s="510" t="s">
        <v>154</v>
      </c>
      <c r="K21" s="63">
        <v>2</v>
      </c>
      <c r="L21" s="207">
        <f>(4676-4187)+(10358-8148)+(11184-6917)</f>
        <v>6966</v>
      </c>
      <c r="M21" s="203"/>
      <c r="N21" s="203"/>
      <c r="O21" s="204">
        <f t="shared" si="0"/>
        <v>6966</v>
      </c>
      <c r="P21" s="2"/>
    </row>
    <row r="22" spans="1:16" ht="29.25">
      <c r="A22" s="278" t="s">
        <v>11</v>
      </c>
      <c r="B22" s="61" t="s">
        <v>12</v>
      </c>
      <c r="C22" s="61" t="s">
        <v>308</v>
      </c>
      <c r="D22" s="56"/>
      <c r="E22" s="56"/>
      <c r="F22" s="56" t="s">
        <v>164</v>
      </c>
      <c r="G22" s="61" t="s">
        <v>163</v>
      </c>
      <c r="H22" s="385" t="s">
        <v>1115</v>
      </c>
      <c r="I22" s="47">
        <v>1404281</v>
      </c>
      <c r="J22" s="510" t="s">
        <v>154</v>
      </c>
      <c r="K22" s="63">
        <v>3.1</v>
      </c>
      <c r="L22" s="207">
        <f>(7816-6966)+(15032-12062)+(25368-18960)</f>
        <v>10228</v>
      </c>
      <c r="M22" s="203"/>
      <c r="N22" s="203"/>
      <c r="O22" s="204">
        <f t="shared" si="0"/>
        <v>10228</v>
      </c>
      <c r="P22" s="2"/>
    </row>
    <row r="23" spans="1:16" ht="29.25">
      <c r="A23" s="278" t="s">
        <v>11</v>
      </c>
      <c r="B23" s="61" t="s">
        <v>12</v>
      </c>
      <c r="C23" s="61" t="s">
        <v>307</v>
      </c>
      <c r="D23" s="56"/>
      <c r="E23" s="56">
        <v>2</v>
      </c>
      <c r="F23" s="56" t="s">
        <v>164</v>
      </c>
      <c r="G23" s="61" t="s">
        <v>163</v>
      </c>
      <c r="H23" s="385" t="s">
        <v>1116</v>
      </c>
      <c r="I23" s="47">
        <v>1387585</v>
      </c>
      <c r="J23" s="510" t="s">
        <v>154</v>
      </c>
      <c r="K23" s="63">
        <v>2</v>
      </c>
      <c r="L23" s="207">
        <f>(6797-1482)*2</f>
        <v>10630</v>
      </c>
      <c r="M23" s="203"/>
      <c r="N23" s="203"/>
      <c r="O23" s="204">
        <f t="shared" si="0"/>
        <v>10630</v>
      </c>
      <c r="P23" s="2"/>
    </row>
    <row r="24" spans="1:16" ht="29.25">
      <c r="A24" s="278" t="s">
        <v>11</v>
      </c>
      <c r="B24" s="61" t="s">
        <v>12</v>
      </c>
      <c r="C24" s="61" t="s">
        <v>309</v>
      </c>
      <c r="D24" s="56"/>
      <c r="E24" s="56"/>
      <c r="F24" s="56" t="s">
        <v>164</v>
      </c>
      <c r="G24" s="61" t="s">
        <v>163</v>
      </c>
      <c r="H24" s="385" t="s">
        <v>1117</v>
      </c>
      <c r="I24" s="47">
        <v>90695858</v>
      </c>
      <c r="J24" s="510" t="s">
        <v>154</v>
      </c>
      <c r="K24" s="63">
        <v>7</v>
      </c>
      <c r="L24" s="207">
        <f>(30280-25080)+(56537-42081)+(15603)</f>
        <v>35259</v>
      </c>
      <c r="M24" s="203"/>
      <c r="N24" s="203"/>
      <c r="O24" s="204">
        <f t="shared" si="0"/>
        <v>35259</v>
      </c>
      <c r="P24" s="2"/>
    </row>
    <row r="25" spans="1:16" ht="29.25">
      <c r="A25" s="278" t="s">
        <v>11</v>
      </c>
      <c r="B25" s="61" t="s">
        <v>12</v>
      </c>
      <c r="C25" s="61" t="s">
        <v>309</v>
      </c>
      <c r="D25" s="56"/>
      <c r="E25" s="56">
        <v>2</v>
      </c>
      <c r="F25" s="56" t="s">
        <v>164</v>
      </c>
      <c r="G25" s="61" t="s">
        <v>163</v>
      </c>
      <c r="H25" s="385" t="s">
        <v>1118</v>
      </c>
      <c r="I25" s="47">
        <v>1403590</v>
      </c>
      <c r="J25" s="510" t="s">
        <v>154</v>
      </c>
      <c r="K25" s="63">
        <v>2</v>
      </c>
      <c r="L25" s="207">
        <f>(24226-21389)*2</f>
        <v>5674</v>
      </c>
      <c r="M25" s="203"/>
      <c r="N25" s="203"/>
      <c r="O25" s="204">
        <f t="shared" si="0"/>
        <v>5674</v>
      </c>
      <c r="P25" s="2"/>
    </row>
    <row r="26" spans="1:16" ht="29.25">
      <c r="A26" s="278" t="s">
        <v>11</v>
      </c>
      <c r="B26" s="61" t="s">
        <v>12</v>
      </c>
      <c r="C26" s="61" t="s">
        <v>308</v>
      </c>
      <c r="D26" s="56"/>
      <c r="E26" s="56">
        <v>2</v>
      </c>
      <c r="F26" s="56" t="s">
        <v>164</v>
      </c>
      <c r="G26" s="61" t="s">
        <v>163</v>
      </c>
      <c r="H26" s="385" t="s">
        <v>1119</v>
      </c>
      <c r="I26" s="47">
        <v>83426451</v>
      </c>
      <c r="J26" s="510" t="s">
        <v>154</v>
      </c>
      <c r="K26" s="63">
        <v>1</v>
      </c>
      <c r="L26" s="207">
        <f>3836-333</f>
        <v>3503</v>
      </c>
      <c r="M26" s="203"/>
      <c r="N26" s="203"/>
      <c r="O26" s="204">
        <f t="shared" si="0"/>
        <v>3503</v>
      </c>
      <c r="P26" s="2"/>
    </row>
    <row r="27" spans="1:16" ht="29.25">
      <c r="A27" s="278" t="s">
        <v>11</v>
      </c>
      <c r="B27" s="61" t="s">
        <v>12</v>
      </c>
      <c r="C27" s="61" t="s">
        <v>310</v>
      </c>
      <c r="D27" s="56"/>
      <c r="E27" s="56"/>
      <c r="F27" s="56" t="s">
        <v>164</v>
      </c>
      <c r="G27" s="61" t="s">
        <v>163</v>
      </c>
      <c r="H27" s="385" t="s">
        <v>1120</v>
      </c>
      <c r="I27" s="47">
        <v>1399803</v>
      </c>
      <c r="J27" s="510" t="s">
        <v>154</v>
      </c>
      <c r="K27" s="63">
        <v>2.1</v>
      </c>
      <c r="L27" s="207">
        <f>(9926-3613)*2</f>
        <v>12626</v>
      </c>
      <c r="M27" s="203"/>
      <c r="N27" s="203"/>
      <c r="O27" s="204">
        <f t="shared" si="0"/>
        <v>12626</v>
      </c>
      <c r="P27" s="2"/>
    </row>
    <row r="28" spans="1:16" ht="29.25">
      <c r="A28" s="278" t="s">
        <v>11</v>
      </c>
      <c r="B28" s="61" t="s">
        <v>12</v>
      </c>
      <c r="C28" s="64" t="s">
        <v>311</v>
      </c>
      <c r="D28" s="56"/>
      <c r="E28" s="56"/>
      <c r="F28" s="56" t="s">
        <v>164</v>
      </c>
      <c r="G28" s="61" t="s">
        <v>163</v>
      </c>
      <c r="H28" s="385" t="s">
        <v>1124</v>
      </c>
      <c r="I28" s="47">
        <v>1399799</v>
      </c>
      <c r="J28" s="510" t="s">
        <v>154</v>
      </c>
      <c r="K28" s="63">
        <v>2.2</v>
      </c>
      <c r="L28" s="207">
        <f>(5500-2997)*2</f>
        <v>5006</v>
      </c>
      <c r="M28" s="203"/>
      <c r="N28" s="203"/>
      <c r="O28" s="204">
        <f>L28</f>
        <v>5006</v>
      </c>
      <c r="P28" s="2"/>
    </row>
    <row r="29" spans="1:16" ht="29.25">
      <c r="A29" s="278" t="s">
        <v>11</v>
      </c>
      <c r="B29" s="61" t="s">
        <v>12</v>
      </c>
      <c r="C29" s="61" t="s">
        <v>311</v>
      </c>
      <c r="D29" s="56"/>
      <c r="E29" s="56"/>
      <c r="F29" s="56" t="s">
        <v>164</v>
      </c>
      <c r="G29" s="61" t="s">
        <v>163</v>
      </c>
      <c r="H29" s="385" t="s">
        <v>1125</v>
      </c>
      <c r="I29" s="47">
        <v>1403579</v>
      </c>
      <c r="J29" s="510" t="s">
        <v>154</v>
      </c>
      <c r="K29" s="63">
        <v>0.5</v>
      </c>
      <c r="L29" s="207">
        <f>(6108-2878)*2</f>
        <v>6460</v>
      </c>
      <c r="M29" s="203"/>
      <c r="N29" s="203"/>
      <c r="O29" s="204">
        <f>L29</f>
        <v>6460</v>
      </c>
      <c r="P29" s="2"/>
    </row>
    <row r="30" spans="1:16" ht="29.25">
      <c r="A30" s="278" t="s">
        <v>11</v>
      </c>
      <c r="B30" s="61" t="s">
        <v>12</v>
      </c>
      <c r="C30" s="61" t="s">
        <v>312</v>
      </c>
      <c r="D30" s="56"/>
      <c r="E30" s="56"/>
      <c r="F30" s="56" t="s">
        <v>164</v>
      </c>
      <c r="G30" s="61" t="s">
        <v>163</v>
      </c>
      <c r="H30" s="385" t="s">
        <v>1131</v>
      </c>
      <c r="I30" s="47">
        <v>1393863</v>
      </c>
      <c r="J30" s="510" t="s">
        <v>154</v>
      </c>
      <c r="K30" s="63">
        <v>2.2</v>
      </c>
      <c r="L30" s="207">
        <f>(1727-1446)+(3731-2852)+(3834)</f>
        <v>4994</v>
      </c>
      <c r="M30" s="203"/>
      <c r="N30" s="203"/>
      <c r="O30" s="204">
        <f>L30</f>
        <v>4994</v>
      </c>
      <c r="P30" s="2"/>
    </row>
    <row r="31" spans="1:16" ht="29.25">
      <c r="A31" s="278" t="s">
        <v>11</v>
      </c>
      <c r="B31" s="61" t="s">
        <v>12</v>
      </c>
      <c r="C31" s="61" t="s">
        <v>313</v>
      </c>
      <c r="D31" s="56"/>
      <c r="E31" s="56">
        <v>32</v>
      </c>
      <c r="F31" s="56" t="s">
        <v>164</v>
      </c>
      <c r="G31" s="61" t="s">
        <v>163</v>
      </c>
      <c r="H31" s="385" t="s">
        <v>1097</v>
      </c>
      <c r="I31" s="47">
        <v>83426573</v>
      </c>
      <c r="J31" s="510" t="s">
        <v>154</v>
      </c>
      <c r="K31" s="63">
        <v>2.2</v>
      </c>
      <c r="L31" s="207">
        <f>6262-632</f>
        <v>5630</v>
      </c>
      <c r="M31" s="203"/>
      <c r="N31" s="203"/>
      <c r="O31" s="204">
        <f aca="true" t="shared" si="1" ref="O31:O38">L31</f>
        <v>5630</v>
      </c>
      <c r="P31" s="2"/>
    </row>
    <row r="32" spans="1:16" ht="29.25">
      <c r="A32" s="278" t="s">
        <v>11</v>
      </c>
      <c r="B32" s="61" t="s">
        <v>12</v>
      </c>
      <c r="C32" s="61" t="s">
        <v>313</v>
      </c>
      <c r="D32" s="56"/>
      <c r="E32" s="61" t="s">
        <v>314</v>
      </c>
      <c r="F32" s="56" t="s">
        <v>164</v>
      </c>
      <c r="G32" s="61" t="s">
        <v>163</v>
      </c>
      <c r="H32" s="385" t="s">
        <v>1098</v>
      </c>
      <c r="I32" s="47">
        <v>1399809</v>
      </c>
      <c r="J32" s="510" t="s">
        <v>154</v>
      </c>
      <c r="K32" s="63">
        <v>1.8</v>
      </c>
      <c r="L32" s="207">
        <f>((9905-8332)+(17520-13683))+(20709-13788)</f>
        <v>12331</v>
      </c>
      <c r="M32" s="203"/>
      <c r="N32" s="203"/>
      <c r="O32" s="204">
        <f t="shared" si="1"/>
        <v>12331</v>
      </c>
      <c r="P32" s="2"/>
    </row>
    <row r="33" spans="1:16" ht="29.25">
      <c r="A33" s="278" t="s">
        <v>11</v>
      </c>
      <c r="B33" s="61" t="s">
        <v>12</v>
      </c>
      <c r="C33" s="61" t="s">
        <v>315</v>
      </c>
      <c r="D33" s="61"/>
      <c r="E33" s="56"/>
      <c r="F33" s="56" t="s">
        <v>164</v>
      </c>
      <c r="G33" s="61" t="s">
        <v>163</v>
      </c>
      <c r="H33" s="385" t="s">
        <v>1099</v>
      </c>
      <c r="I33" s="47">
        <v>1481793</v>
      </c>
      <c r="J33" s="510" t="s">
        <v>154</v>
      </c>
      <c r="K33" s="63">
        <v>2.2</v>
      </c>
      <c r="L33" s="207">
        <f>159*12</f>
        <v>1908</v>
      </c>
      <c r="M33" s="203"/>
      <c r="N33" s="203"/>
      <c r="O33" s="204">
        <f t="shared" si="1"/>
        <v>1908</v>
      </c>
      <c r="P33" s="2"/>
    </row>
    <row r="34" spans="1:16" ht="29.25">
      <c r="A34" s="278" t="s">
        <v>11</v>
      </c>
      <c r="B34" s="61" t="s">
        <v>12</v>
      </c>
      <c r="C34" s="61" t="s">
        <v>316</v>
      </c>
      <c r="D34" s="61" t="s">
        <v>317</v>
      </c>
      <c r="E34" s="56"/>
      <c r="F34" s="56" t="s">
        <v>164</v>
      </c>
      <c r="G34" s="61" t="s">
        <v>163</v>
      </c>
      <c r="H34" s="385" t="s">
        <v>1100</v>
      </c>
      <c r="I34" s="47">
        <v>83425910</v>
      </c>
      <c r="J34" s="510" t="s">
        <v>154</v>
      </c>
      <c r="K34" s="63">
        <v>2.2</v>
      </c>
      <c r="L34" s="207">
        <f>800*12</f>
        <v>9600</v>
      </c>
      <c r="M34" s="203"/>
      <c r="N34" s="203"/>
      <c r="O34" s="204">
        <f t="shared" si="1"/>
        <v>9600</v>
      </c>
      <c r="P34" s="2"/>
    </row>
    <row r="35" spans="1:16" ht="29.25">
      <c r="A35" s="278" t="s">
        <v>11</v>
      </c>
      <c r="B35" s="61" t="s">
        <v>12</v>
      </c>
      <c r="C35" s="61" t="s">
        <v>316</v>
      </c>
      <c r="D35" s="61" t="s">
        <v>318</v>
      </c>
      <c r="E35" s="56"/>
      <c r="F35" s="56" t="s">
        <v>164</v>
      </c>
      <c r="G35" s="61" t="s">
        <v>163</v>
      </c>
      <c r="H35" s="385" t="s">
        <v>1101</v>
      </c>
      <c r="I35" s="47">
        <v>83426424</v>
      </c>
      <c r="J35" s="510" t="s">
        <v>154</v>
      </c>
      <c r="K35" s="63">
        <v>1</v>
      </c>
      <c r="L35" s="207">
        <f>5255-496</f>
        <v>4759</v>
      </c>
      <c r="M35" s="203"/>
      <c r="N35" s="203"/>
      <c r="O35" s="204">
        <f t="shared" si="1"/>
        <v>4759</v>
      </c>
      <c r="P35" s="2"/>
    </row>
    <row r="36" spans="1:16" ht="29.25">
      <c r="A36" s="278" t="s">
        <v>11</v>
      </c>
      <c r="B36" s="61" t="s">
        <v>12</v>
      </c>
      <c r="C36" s="61" t="s">
        <v>316</v>
      </c>
      <c r="D36" s="56"/>
      <c r="E36" s="56"/>
      <c r="F36" s="56" t="s">
        <v>164</v>
      </c>
      <c r="G36" s="61" t="s">
        <v>163</v>
      </c>
      <c r="H36" s="385" t="s">
        <v>1102</v>
      </c>
      <c r="I36" s="47">
        <v>83426416</v>
      </c>
      <c r="J36" s="510" t="s">
        <v>154</v>
      </c>
      <c r="K36" s="63">
        <v>2.5</v>
      </c>
      <c r="L36" s="207">
        <f>5937-609</f>
        <v>5328</v>
      </c>
      <c r="M36" s="203"/>
      <c r="N36" s="203"/>
      <c r="O36" s="204">
        <f t="shared" si="1"/>
        <v>5328</v>
      </c>
      <c r="P36" s="2"/>
    </row>
    <row r="37" spans="1:16" ht="29.25">
      <c r="A37" s="278" t="s">
        <v>11</v>
      </c>
      <c r="B37" s="61" t="s">
        <v>12</v>
      </c>
      <c r="C37" s="61" t="s">
        <v>316</v>
      </c>
      <c r="D37" s="56"/>
      <c r="E37" s="61" t="s">
        <v>319</v>
      </c>
      <c r="F37" s="56" t="s">
        <v>164</v>
      </c>
      <c r="G37" s="61" t="s">
        <v>163</v>
      </c>
      <c r="H37" s="385" t="s">
        <v>1103</v>
      </c>
      <c r="I37" s="47">
        <v>1398938</v>
      </c>
      <c r="J37" s="510" t="s">
        <v>154</v>
      </c>
      <c r="K37" s="63">
        <v>2.2</v>
      </c>
      <c r="L37" s="207">
        <f>(13486-12351)*2</f>
        <v>2270</v>
      </c>
      <c r="M37" s="203"/>
      <c r="N37" s="203"/>
      <c r="O37" s="204">
        <f t="shared" si="1"/>
        <v>2270</v>
      </c>
      <c r="P37" s="2"/>
    </row>
    <row r="38" spans="1:16" ht="29.25">
      <c r="A38" s="278" t="s">
        <v>11</v>
      </c>
      <c r="B38" s="61" t="s">
        <v>12</v>
      </c>
      <c r="C38" s="61" t="s">
        <v>316</v>
      </c>
      <c r="D38" s="61" t="s">
        <v>320</v>
      </c>
      <c r="E38" s="56"/>
      <c r="F38" s="56" t="s">
        <v>164</v>
      </c>
      <c r="G38" s="61" t="s">
        <v>163</v>
      </c>
      <c r="H38" s="385" t="s">
        <v>1104</v>
      </c>
      <c r="I38" s="47">
        <v>83426574</v>
      </c>
      <c r="J38" s="510" t="s">
        <v>154</v>
      </c>
      <c r="K38" s="63">
        <v>2.2</v>
      </c>
      <c r="L38" s="207">
        <f>(992-125)*2</f>
        <v>1734</v>
      </c>
      <c r="M38" s="203"/>
      <c r="N38" s="203"/>
      <c r="O38" s="204">
        <f t="shared" si="1"/>
        <v>1734</v>
      </c>
      <c r="P38" s="2"/>
    </row>
    <row r="39" spans="1:16" ht="29.25">
      <c r="A39" s="278" t="s">
        <v>11</v>
      </c>
      <c r="B39" s="61" t="s">
        <v>12</v>
      </c>
      <c r="C39" s="61" t="s">
        <v>316</v>
      </c>
      <c r="D39" s="56"/>
      <c r="E39" s="56"/>
      <c r="F39" s="56" t="s">
        <v>164</v>
      </c>
      <c r="G39" s="61" t="s">
        <v>163</v>
      </c>
      <c r="H39" s="385" t="s">
        <v>1105</v>
      </c>
      <c r="I39" s="47">
        <v>1501024</v>
      </c>
      <c r="J39" s="510" t="s">
        <v>154</v>
      </c>
      <c r="K39" s="63">
        <v>6.6</v>
      </c>
      <c r="L39" s="207">
        <f>(9291-1244)*2</f>
        <v>16094</v>
      </c>
      <c r="M39" s="203"/>
      <c r="N39" s="203"/>
      <c r="O39" s="204">
        <f>L39</f>
        <v>16094</v>
      </c>
      <c r="P39" s="2"/>
    </row>
    <row r="40" spans="1:16" ht="29.25">
      <c r="A40" s="278" t="s">
        <v>11</v>
      </c>
      <c r="B40" s="61" t="s">
        <v>12</v>
      </c>
      <c r="C40" s="61" t="s">
        <v>316</v>
      </c>
      <c r="D40" s="61" t="s">
        <v>58</v>
      </c>
      <c r="E40" s="56"/>
      <c r="F40" s="56" t="s">
        <v>164</v>
      </c>
      <c r="G40" s="61" t="s">
        <v>163</v>
      </c>
      <c r="H40" s="385" t="s">
        <v>1106</v>
      </c>
      <c r="I40" s="47">
        <v>83246705</v>
      </c>
      <c r="J40" s="510" t="s">
        <v>154</v>
      </c>
      <c r="K40" s="63">
        <v>2.2</v>
      </c>
      <c r="L40" s="207">
        <f>(1633-421)*2</f>
        <v>2424</v>
      </c>
      <c r="M40" s="203"/>
      <c r="N40" s="203"/>
      <c r="O40" s="204">
        <f>L40</f>
        <v>2424</v>
      </c>
      <c r="P40" s="2"/>
    </row>
    <row r="41" spans="1:16" ht="29.25">
      <c r="A41" s="278" t="s">
        <v>11</v>
      </c>
      <c r="B41" s="61" t="s">
        <v>12</v>
      </c>
      <c r="C41" s="61" t="s">
        <v>321</v>
      </c>
      <c r="D41" s="61" t="s">
        <v>322</v>
      </c>
      <c r="E41" s="56">
        <v>5</v>
      </c>
      <c r="F41" s="56" t="s">
        <v>164</v>
      </c>
      <c r="G41" s="61" t="s">
        <v>163</v>
      </c>
      <c r="H41" s="385" t="s">
        <v>1107</v>
      </c>
      <c r="I41" s="47">
        <v>83426580</v>
      </c>
      <c r="J41" s="510" t="s">
        <v>154</v>
      </c>
      <c r="K41" s="63">
        <v>3.1</v>
      </c>
      <c r="L41" s="207">
        <f>19961-2007</f>
        <v>17954</v>
      </c>
      <c r="M41" s="203"/>
      <c r="N41" s="203"/>
      <c r="O41" s="204">
        <f aca="true" t="shared" si="2" ref="O41:O47">L41</f>
        <v>17954</v>
      </c>
      <c r="P41" s="2"/>
    </row>
    <row r="42" spans="1:16" ht="29.25">
      <c r="A42" s="278" t="s">
        <v>11</v>
      </c>
      <c r="B42" s="61" t="s">
        <v>12</v>
      </c>
      <c r="C42" s="61" t="s">
        <v>321</v>
      </c>
      <c r="D42" s="56"/>
      <c r="E42" s="56">
        <v>12</v>
      </c>
      <c r="F42" s="56" t="s">
        <v>164</v>
      </c>
      <c r="G42" s="61" t="s">
        <v>163</v>
      </c>
      <c r="H42" s="385" t="s">
        <v>1747</v>
      </c>
      <c r="I42" s="47">
        <v>1387583</v>
      </c>
      <c r="J42" s="510" t="s">
        <v>154</v>
      </c>
      <c r="K42" s="63">
        <v>2.2</v>
      </c>
      <c r="L42" s="207">
        <f>6587-3454</f>
        <v>3133</v>
      </c>
      <c r="M42" s="203"/>
      <c r="N42" s="203"/>
      <c r="O42" s="204">
        <f t="shared" si="2"/>
        <v>3133</v>
      </c>
      <c r="P42" s="2"/>
    </row>
    <row r="43" spans="1:16" ht="29.25">
      <c r="A43" s="278" t="s">
        <v>11</v>
      </c>
      <c r="B43" s="61" t="s">
        <v>12</v>
      </c>
      <c r="C43" s="61" t="s">
        <v>323</v>
      </c>
      <c r="D43" s="56"/>
      <c r="E43" s="56"/>
      <c r="F43" s="56" t="s">
        <v>164</v>
      </c>
      <c r="G43" s="61" t="s">
        <v>163</v>
      </c>
      <c r="H43" s="385" t="s">
        <v>1108</v>
      </c>
      <c r="I43" s="47">
        <v>1387593</v>
      </c>
      <c r="J43" s="510" t="s">
        <v>154</v>
      </c>
      <c r="K43" s="63">
        <v>0.6</v>
      </c>
      <c r="L43" s="207">
        <f>((1949-1752)+(4052-3124))+(4330-2748)</f>
        <v>2707</v>
      </c>
      <c r="M43" s="203"/>
      <c r="N43" s="203"/>
      <c r="O43" s="204">
        <f t="shared" si="2"/>
        <v>2707</v>
      </c>
      <c r="P43" s="2"/>
    </row>
    <row r="44" spans="1:16" ht="29.25">
      <c r="A44" s="278" t="s">
        <v>11</v>
      </c>
      <c r="B44" s="61" t="s">
        <v>12</v>
      </c>
      <c r="C44" s="61" t="s">
        <v>323</v>
      </c>
      <c r="D44" s="56"/>
      <c r="E44" s="56">
        <v>8</v>
      </c>
      <c r="F44" s="56" t="s">
        <v>164</v>
      </c>
      <c r="G44" s="61" t="s">
        <v>163</v>
      </c>
      <c r="H44" s="385" t="s">
        <v>1109</v>
      </c>
      <c r="I44" s="47">
        <v>1403577</v>
      </c>
      <c r="J44" s="510" t="s">
        <v>154</v>
      </c>
      <c r="K44" s="63">
        <v>2.2</v>
      </c>
      <c r="L44" s="207">
        <f>(3250-2769)+(6362-4827)+(11580-8676)</f>
        <v>4920</v>
      </c>
      <c r="M44" s="203"/>
      <c r="N44" s="203"/>
      <c r="O44" s="204">
        <f t="shared" si="2"/>
        <v>4920</v>
      </c>
      <c r="P44" s="2"/>
    </row>
    <row r="45" spans="1:16" ht="29.25">
      <c r="A45" s="278" t="s">
        <v>11</v>
      </c>
      <c r="B45" s="61" t="s">
        <v>12</v>
      </c>
      <c r="C45" s="61" t="s">
        <v>324</v>
      </c>
      <c r="D45" s="56"/>
      <c r="E45" s="56">
        <v>2</v>
      </c>
      <c r="F45" s="56" t="s">
        <v>164</v>
      </c>
      <c r="G45" s="61" t="s">
        <v>163</v>
      </c>
      <c r="H45" s="385" t="s">
        <v>1110</v>
      </c>
      <c r="I45" s="47">
        <v>1401633</v>
      </c>
      <c r="J45" s="510" t="s">
        <v>154</v>
      </c>
      <c r="K45" s="63">
        <v>2.2</v>
      </c>
      <c r="L45" s="207">
        <f>8879-3411</f>
        <v>5468</v>
      </c>
      <c r="M45" s="203"/>
      <c r="N45" s="203"/>
      <c r="O45" s="204">
        <f t="shared" si="2"/>
        <v>5468</v>
      </c>
      <c r="P45" s="2"/>
    </row>
    <row r="46" spans="1:16" ht="29.25">
      <c r="A46" s="278" t="s">
        <v>11</v>
      </c>
      <c r="B46" s="61" t="s">
        <v>12</v>
      </c>
      <c r="C46" s="61" t="s">
        <v>321</v>
      </c>
      <c r="D46" s="56"/>
      <c r="E46" s="56">
        <v>4</v>
      </c>
      <c r="F46" s="56" t="s">
        <v>164</v>
      </c>
      <c r="G46" s="61" t="s">
        <v>163</v>
      </c>
      <c r="H46" s="385" t="s">
        <v>1111</v>
      </c>
      <c r="I46" s="47">
        <v>83426412</v>
      </c>
      <c r="J46" s="510" t="s">
        <v>154</v>
      </c>
      <c r="K46" s="63">
        <v>0.5</v>
      </c>
      <c r="L46" s="207">
        <f>2052-212</f>
        <v>1840</v>
      </c>
      <c r="M46" s="203"/>
      <c r="N46" s="203"/>
      <c r="O46" s="204">
        <f t="shared" si="2"/>
        <v>1840</v>
      </c>
      <c r="P46" s="2"/>
    </row>
    <row r="47" spans="1:16" ht="29.25">
      <c r="A47" s="278" t="s">
        <v>11</v>
      </c>
      <c r="B47" s="61" t="s">
        <v>12</v>
      </c>
      <c r="C47" s="61" t="s">
        <v>325</v>
      </c>
      <c r="D47" s="56"/>
      <c r="E47" s="56">
        <v>13</v>
      </c>
      <c r="F47" s="56" t="s">
        <v>164</v>
      </c>
      <c r="G47" s="61" t="s">
        <v>163</v>
      </c>
      <c r="H47" s="385" t="s">
        <v>1122</v>
      </c>
      <c r="I47" s="47">
        <v>383425900</v>
      </c>
      <c r="J47" s="510" t="s">
        <v>154</v>
      </c>
      <c r="K47" s="63">
        <v>2.2</v>
      </c>
      <c r="L47" s="207">
        <f>(6277-673)*2</f>
        <v>11208</v>
      </c>
      <c r="M47" s="203"/>
      <c r="N47" s="203"/>
      <c r="O47" s="204">
        <f t="shared" si="2"/>
        <v>11208</v>
      </c>
      <c r="P47" s="2"/>
    </row>
    <row r="48" spans="1:16" ht="29.25">
      <c r="A48" s="278" t="s">
        <v>11</v>
      </c>
      <c r="B48" s="61" t="s">
        <v>12</v>
      </c>
      <c r="C48" s="61" t="s">
        <v>324</v>
      </c>
      <c r="D48" s="56"/>
      <c r="E48" s="56">
        <v>34</v>
      </c>
      <c r="F48" s="56" t="s">
        <v>164</v>
      </c>
      <c r="G48" s="61" t="s">
        <v>163</v>
      </c>
      <c r="H48" s="385" t="s">
        <v>1123</v>
      </c>
      <c r="I48" s="47">
        <v>90695884</v>
      </c>
      <c r="J48" s="510" t="s">
        <v>154</v>
      </c>
      <c r="K48" s="63">
        <v>6.6</v>
      </c>
      <c r="L48" s="207">
        <f>(7010-5466)+(14085-10122)+(3918-14)</f>
        <v>9411</v>
      </c>
      <c r="M48" s="203"/>
      <c r="N48" s="203"/>
      <c r="O48" s="204">
        <f aca="true" t="shared" si="3" ref="O48:O54">L48</f>
        <v>9411</v>
      </c>
      <c r="P48" s="2"/>
    </row>
    <row r="49" spans="1:16" ht="29.25">
      <c r="A49" s="278" t="s">
        <v>11</v>
      </c>
      <c r="B49" s="61" t="s">
        <v>12</v>
      </c>
      <c r="C49" s="61" t="s">
        <v>326</v>
      </c>
      <c r="D49" s="56"/>
      <c r="E49" s="56"/>
      <c r="F49" s="56" t="s">
        <v>164</v>
      </c>
      <c r="G49" s="61" t="s">
        <v>163</v>
      </c>
      <c r="H49" s="385" t="s">
        <v>1126</v>
      </c>
      <c r="I49" s="47">
        <v>1399804</v>
      </c>
      <c r="J49" s="510" t="s">
        <v>154</v>
      </c>
      <c r="K49" s="63">
        <v>2.2</v>
      </c>
      <c r="L49" s="207">
        <f>(1066-937)+(2393-1873)+(3511-2572)</f>
        <v>1588</v>
      </c>
      <c r="M49" s="203"/>
      <c r="N49" s="203"/>
      <c r="O49" s="204">
        <f t="shared" si="3"/>
        <v>1588</v>
      </c>
      <c r="P49" s="2"/>
    </row>
    <row r="50" spans="1:16" ht="29.25">
      <c r="A50" s="278" t="s">
        <v>11</v>
      </c>
      <c r="B50" s="61" t="s">
        <v>12</v>
      </c>
      <c r="C50" s="61" t="s">
        <v>326</v>
      </c>
      <c r="D50" s="56"/>
      <c r="E50" s="56">
        <v>34</v>
      </c>
      <c r="F50" s="56" t="s">
        <v>164</v>
      </c>
      <c r="G50" s="61" t="s">
        <v>163</v>
      </c>
      <c r="H50" s="385" t="s">
        <v>1127</v>
      </c>
      <c r="I50" s="47">
        <v>1387575</v>
      </c>
      <c r="J50" s="510" t="s">
        <v>154</v>
      </c>
      <c r="K50" s="63">
        <v>2.2</v>
      </c>
      <c r="L50" s="207">
        <f>(1127-988)+(2507-1961)+(7324-6332)</f>
        <v>1677</v>
      </c>
      <c r="M50" s="203"/>
      <c r="N50" s="203"/>
      <c r="O50" s="204">
        <f t="shared" si="3"/>
        <v>1677</v>
      </c>
      <c r="P50" s="2"/>
    </row>
    <row r="51" spans="1:16" ht="29.25">
      <c r="A51" s="278" t="s">
        <v>11</v>
      </c>
      <c r="B51" s="61" t="s">
        <v>12</v>
      </c>
      <c r="C51" s="61" t="s">
        <v>327</v>
      </c>
      <c r="D51" s="56"/>
      <c r="E51" s="56"/>
      <c r="F51" s="56" t="s">
        <v>164</v>
      </c>
      <c r="G51" s="61" t="s">
        <v>163</v>
      </c>
      <c r="H51" s="385" t="s">
        <v>1128</v>
      </c>
      <c r="I51" s="47">
        <v>1399808</v>
      </c>
      <c r="J51" s="510" t="s">
        <v>154</v>
      </c>
      <c r="K51" s="63">
        <v>1</v>
      </c>
      <c r="L51" s="207">
        <f>(2359-2034)+(4776-3704)+(3308-1267)</f>
        <v>3438</v>
      </c>
      <c r="M51" s="203"/>
      <c r="N51" s="203"/>
      <c r="O51" s="204">
        <f t="shared" si="3"/>
        <v>3438</v>
      </c>
      <c r="P51" s="2"/>
    </row>
    <row r="52" spans="1:16" ht="29.25">
      <c r="A52" s="278" t="s">
        <v>11</v>
      </c>
      <c r="B52" s="61" t="s">
        <v>12</v>
      </c>
      <c r="C52" s="61" t="s">
        <v>328</v>
      </c>
      <c r="D52" s="56"/>
      <c r="E52" s="56">
        <v>7</v>
      </c>
      <c r="F52" s="56" t="s">
        <v>164</v>
      </c>
      <c r="G52" s="61" t="s">
        <v>163</v>
      </c>
      <c r="H52" s="385" t="s">
        <v>1129</v>
      </c>
      <c r="I52" s="47">
        <v>1399797</v>
      </c>
      <c r="J52" s="510" t="s">
        <v>154</v>
      </c>
      <c r="K52" s="63">
        <v>2.2</v>
      </c>
      <c r="L52" s="207">
        <f>(5552-4769)+(10636-8400)+(7798-3412)</f>
        <v>7405</v>
      </c>
      <c r="M52" s="203"/>
      <c r="N52" s="203"/>
      <c r="O52" s="204">
        <f t="shared" si="3"/>
        <v>7405</v>
      </c>
      <c r="P52" s="2"/>
    </row>
    <row r="53" spans="1:16" ht="29.25">
      <c r="A53" s="278" t="s">
        <v>11</v>
      </c>
      <c r="B53" s="61" t="s">
        <v>12</v>
      </c>
      <c r="C53" s="61" t="s">
        <v>329</v>
      </c>
      <c r="D53" s="56"/>
      <c r="E53" s="56"/>
      <c r="F53" s="56" t="s">
        <v>164</v>
      </c>
      <c r="G53" s="61" t="s">
        <v>163</v>
      </c>
      <c r="H53" s="385" t="s">
        <v>1130</v>
      </c>
      <c r="I53" s="47">
        <v>1399805</v>
      </c>
      <c r="J53" s="510" t="s">
        <v>154</v>
      </c>
      <c r="K53" s="63">
        <v>1.1</v>
      </c>
      <c r="L53" s="207">
        <f>(9427-4618)*2</f>
        <v>9618</v>
      </c>
      <c r="M53" s="203"/>
      <c r="N53" s="203"/>
      <c r="O53" s="204">
        <f t="shared" si="3"/>
        <v>9618</v>
      </c>
      <c r="P53" s="2"/>
    </row>
    <row r="54" spans="1:16" ht="29.25">
      <c r="A54" s="278" t="s">
        <v>11</v>
      </c>
      <c r="B54" s="61" t="s">
        <v>12</v>
      </c>
      <c r="C54" s="61" t="s">
        <v>330</v>
      </c>
      <c r="D54" s="56"/>
      <c r="E54" s="56">
        <v>55</v>
      </c>
      <c r="F54" s="56" t="s">
        <v>164</v>
      </c>
      <c r="G54" s="61" t="s">
        <v>163</v>
      </c>
      <c r="H54" s="385" t="s">
        <v>1132</v>
      </c>
      <c r="I54" s="47">
        <v>1394967</v>
      </c>
      <c r="J54" s="510" t="s">
        <v>154</v>
      </c>
      <c r="K54" s="63">
        <v>2.5</v>
      </c>
      <c r="L54" s="207">
        <f>(5958-4934)+(12567-9601)+(10653-5458)</f>
        <v>9185</v>
      </c>
      <c r="M54" s="203"/>
      <c r="N54" s="203"/>
      <c r="O54" s="204">
        <f t="shared" si="3"/>
        <v>9185</v>
      </c>
      <c r="P54" s="2"/>
    </row>
    <row r="55" spans="1:16" ht="29.25">
      <c r="A55" s="278" t="s">
        <v>11</v>
      </c>
      <c r="B55" s="61" t="s">
        <v>12</v>
      </c>
      <c r="C55" s="61" t="s">
        <v>330</v>
      </c>
      <c r="D55" s="56"/>
      <c r="E55" s="56">
        <v>38</v>
      </c>
      <c r="F55" s="56" t="s">
        <v>164</v>
      </c>
      <c r="G55" s="61" t="s">
        <v>163</v>
      </c>
      <c r="H55" s="385" t="s">
        <v>1133</v>
      </c>
      <c r="I55" s="47">
        <v>1501149</v>
      </c>
      <c r="J55" s="510" t="s">
        <v>154</v>
      </c>
      <c r="K55" s="63">
        <v>2.2</v>
      </c>
      <c r="L55" s="207">
        <f>85*12</f>
        <v>1020</v>
      </c>
      <c r="M55" s="203"/>
      <c r="N55" s="203"/>
      <c r="O55" s="204">
        <f>L55</f>
        <v>1020</v>
      </c>
      <c r="P55" s="2"/>
    </row>
    <row r="56" spans="1:16" ht="29.25">
      <c r="A56" s="278" t="s">
        <v>11</v>
      </c>
      <c r="B56" s="61" t="s">
        <v>12</v>
      </c>
      <c r="C56" s="61" t="s">
        <v>331</v>
      </c>
      <c r="D56" s="56"/>
      <c r="E56" s="56">
        <v>14</v>
      </c>
      <c r="F56" s="56" t="s">
        <v>164</v>
      </c>
      <c r="G56" s="61" t="s">
        <v>163</v>
      </c>
      <c r="H56" s="385" t="s">
        <v>1134</v>
      </c>
      <c r="I56" s="47">
        <v>1404287</v>
      </c>
      <c r="J56" s="510" t="s">
        <v>154</v>
      </c>
      <c r="K56" s="63">
        <v>2.2</v>
      </c>
      <c r="L56" s="207">
        <f>(6524-5379)+(11779-8332)+(6042-1949)</f>
        <v>8685</v>
      </c>
      <c r="M56" s="203"/>
      <c r="N56" s="203"/>
      <c r="O56" s="204">
        <f aca="true" t="shared" si="4" ref="O56:O87">L56</f>
        <v>8685</v>
      </c>
      <c r="P56" s="2"/>
    </row>
    <row r="57" spans="1:16" ht="29.25">
      <c r="A57" s="278" t="s">
        <v>11</v>
      </c>
      <c r="B57" s="61" t="s">
        <v>12</v>
      </c>
      <c r="C57" s="61" t="s">
        <v>331</v>
      </c>
      <c r="D57" s="56"/>
      <c r="E57" s="56">
        <v>2</v>
      </c>
      <c r="F57" s="56" t="s">
        <v>164</v>
      </c>
      <c r="G57" s="61" t="s">
        <v>163</v>
      </c>
      <c r="H57" s="385" t="s">
        <v>1135</v>
      </c>
      <c r="I57" s="47">
        <v>90695801</v>
      </c>
      <c r="J57" s="510" t="s">
        <v>154</v>
      </c>
      <c r="K57" s="63">
        <v>6.6</v>
      </c>
      <c r="L57" s="207">
        <f>(11463-9177)+(23737-16781)+(6313-14)</f>
        <v>15541</v>
      </c>
      <c r="M57" s="203"/>
      <c r="N57" s="203"/>
      <c r="O57" s="204">
        <f t="shared" si="4"/>
        <v>15541</v>
      </c>
      <c r="P57" s="2"/>
    </row>
    <row r="58" spans="1:16" ht="29.25">
      <c r="A58" s="278" t="s">
        <v>11</v>
      </c>
      <c r="B58" s="61" t="s">
        <v>12</v>
      </c>
      <c r="C58" s="61" t="s">
        <v>331</v>
      </c>
      <c r="D58" s="56"/>
      <c r="E58" s="56"/>
      <c r="F58" s="56" t="s">
        <v>164</v>
      </c>
      <c r="G58" s="61" t="s">
        <v>163</v>
      </c>
      <c r="H58" s="385" t="s">
        <v>1136</v>
      </c>
      <c r="I58" s="47">
        <v>90695793</v>
      </c>
      <c r="J58" s="510" t="s">
        <v>154</v>
      </c>
      <c r="K58" s="63">
        <v>6.6</v>
      </c>
      <c r="L58" s="207">
        <f>(7008-5328)+(12105-8656)+(3225-14)</f>
        <v>8340</v>
      </c>
      <c r="M58" s="203"/>
      <c r="N58" s="203"/>
      <c r="O58" s="204">
        <f t="shared" si="4"/>
        <v>8340</v>
      </c>
      <c r="P58" s="2"/>
    </row>
    <row r="59" spans="1:16" ht="29.25">
      <c r="A59" s="278" t="s">
        <v>11</v>
      </c>
      <c r="B59" s="61" t="s">
        <v>12</v>
      </c>
      <c r="C59" s="61" t="s">
        <v>331</v>
      </c>
      <c r="D59" s="61" t="s">
        <v>81</v>
      </c>
      <c r="E59" s="56"/>
      <c r="F59" s="56" t="s">
        <v>164</v>
      </c>
      <c r="G59" s="61" t="s">
        <v>163</v>
      </c>
      <c r="H59" s="385" t="s">
        <v>1137</v>
      </c>
      <c r="I59" s="47">
        <v>1404280</v>
      </c>
      <c r="J59" s="510" t="s">
        <v>154</v>
      </c>
      <c r="K59" s="63">
        <v>1</v>
      </c>
      <c r="L59" s="207">
        <f>(2810-2336)+(5279-3930)+(5465-3585)</f>
        <v>3703</v>
      </c>
      <c r="M59" s="203"/>
      <c r="N59" s="203"/>
      <c r="O59" s="204">
        <f t="shared" si="4"/>
        <v>3703</v>
      </c>
      <c r="P59" s="2"/>
    </row>
    <row r="60" spans="1:16" ht="29.25">
      <c r="A60" s="278" t="s">
        <v>11</v>
      </c>
      <c r="B60" s="61" t="s">
        <v>12</v>
      </c>
      <c r="C60" s="61" t="s">
        <v>330</v>
      </c>
      <c r="D60" s="56"/>
      <c r="E60" s="56"/>
      <c r="F60" s="56" t="s">
        <v>164</v>
      </c>
      <c r="G60" s="61" t="s">
        <v>163</v>
      </c>
      <c r="H60" s="385" t="s">
        <v>1138</v>
      </c>
      <c r="I60" s="47">
        <v>1399811</v>
      </c>
      <c r="J60" s="510" t="s">
        <v>154</v>
      </c>
      <c r="K60" s="63">
        <v>2.2</v>
      </c>
      <c r="L60" s="207">
        <f>(3232-2703)+(7089-5386)+(7167-4793)</f>
        <v>4606</v>
      </c>
      <c r="M60" s="203"/>
      <c r="N60" s="203"/>
      <c r="O60" s="204">
        <f t="shared" si="4"/>
        <v>4606</v>
      </c>
      <c r="P60" s="2"/>
    </row>
    <row r="61" spans="1:16" ht="29.25">
      <c r="A61" s="278" t="s">
        <v>11</v>
      </c>
      <c r="B61" s="61" t="s">
        <v>12</v>
      </c>
      <c r="C61" s="61" t="s">
        <v>330</v>
      </c>
      <c r="D61" s="56"/>
      <c r="E61" s="56">
        <v>26</v>
      </c>
      <c r="F61" s="56" t="s">
        <v>164</v>
      </c>
      <c r="G61" s="61" t="s">
        <v>163</v>
      </c>
      <c r="H61" s="385" t="s">
        <v>1139</v>
      </c>
      <c r="I61" s="47">
        <v>83425873</v>
      </c>
      <c r="J61" s="510" t="s">
        <v>154</v>
      </c>
      <c r="K61" s="63">
        <v>2.2</v>
      </c>
      <c r="L61" s="207">
        <f>6958-627</f>
        <v>6331</v>
      </c>
      <c r="M61" s="203"/>
      <c r="N61" s="203"/>
      <c r="O61" s="204">
        <f t="shared" si="4"/>
        <v>6331</v>
      </c>
      <c r="P61" s="2"/>
    </row>
    <row r="62" spans="1:16" ht="29.25">
      <c r="A62" s="278" t="s">
        <v>11</v>
      </c>
      <c r="B62" s="61" t="s">
        <v>12</v>
      </c>
      <c r="C62" s="61" t="s">
        <v>332</v>
      </c>
      <c r="D62" s="56"/>
      <c r="E62" s="56"/>
      <c r="F62" s="56" t="s">
        <v>164</v>
      </c>
      <c r="G62" s="61" t="s">
        <v>163</v>
      </c>
      <c r="H62" s="385" t="s">
        <v>1140</v>
      </c>
      <c r="I62" s="47">
        <v>1393845</v>
      </c>
      <c r="J62" s="510" t="s">
        <v>154</v>
      </c>
      <c r="K62" s="63">
        <v>0.6</v>
      </c>
      <c r="L62" s="207">
        <f>(2820-2259)+(5622-3969)+(4761-2376)</f>
        <v>4599</v>
      </c>
      <c r="M62" s="203"/>
      <c r="N62" s="203"/>
      <c r="O62" s="204">
        <f t="shared" si="4"/>
        <v>4599</v>
      </c>
      <c r="P62" s="2"/>
    </row>
    <row r="63" spans="1:16" ht="29.25">
      <c r="A63" s="278" t="s">
        <v>11</v>
      </c>
      <c r="B63" s="61" t="s">
        <v>12</v>
      </c>
      <c r="C63" s="61" t="s">
        <v>332</v>
      </c>
      <c r="D63" s="56"/>
      <c r="E63" s="56"/>
      <c r="F63" s="56" t="s">
        <v>164</v>
      </c>
      <c r="G63" s="61" t="s">
        <v>163</v>
      </c>
      <c r="H63" s="385" t="s">
        <v>1141</v>
      </c>
      <c r="I63" s="47">
        <v>1399800</v>
      </c>
      <c r="J63" s="510" t="s">
        <v>154</v>
      </c>
      <c r="K63" s="63">
        <v>2.2</v>
      </c>
      <c r="L63" s="207">
        <f>(3476-2875)+(6080-4622)+(8176-6016)</f>
        <v>4219</v>
      </c>
      <c r="M63" s="203"/>
      <c r="N63" s="203"/>
      <c r="O63" s="204">
        <f t="shared" si="4"/>
        <v>4219</v>
      </c>
      <c r="P63" s="2"/>
    </row>
    <row r="64" spans="1:16" ht="29.25">
      <c r="A64" s="278" t="s">
        <v>11</v>
      </c>
      <c r="B64" s="61" t="s">
        <v>12</v>
      </c>
      <c r="C64" s="61" t="s">
        <v>333</v>
      </c>
      <c r="D64" s="61" t="s">
        <v>139</v>
      </c>
      <c r="E64" s="56"/>
      <c r="F64" s="56" t="s">
        <v>164</v>
      </c>
      <c r="G64" s="61" t="s">
        <v>163</v>
      </c>
      <c r="H64" s="385" t="s">
        <v>1143</v>
      </c>
      <c r="I64" s="47">
        <v>83425926</v>
      </c>
      <c r="J64" s="510" t="s">
        <v>154</v>
      </c>
      <c r="K64" s="63">
        <v>0.6</v>
      </c>
      <c r="L64" s="207">
        <f>11912-1088</f>
        <v>10824</v>
      </c>
      <c r="M64" s="203"/>
      <c r="N64" s="203"/>
      <c r="O64" s="204">
        <f t="shared" si="4"/>
        <v>10824</v>
      </c>
      <c r="P64" s="2"/>
    </row>
    <row r="65" spans="1:16" ht="29.25">
      <c r="A65" s="278" t="s">
        <v>11</v>
      </c>
      <c r="B65" s="61" t="s">
        <v>12</v>
      </c>
      <c r="C65" s="61" t="s">
        <v>333</v>
      </c>
      <c r="D65" s="61" t="s">
        <v>169</v>
      </c>
      <c r="E65" s="56"/>
      <c r="F65" s="56" t="s">
        <v>164</v>
      </c>
      <c r="G65" s="61" t="s">
        <v>163</v>
      </c>
      <c r="H65" s="385" t="s">
        <v>1145</v>
      </c>
      <c r="I65" s="47">
        <v>1404277</v>
      </c>
      <c r="J65" s="510" t="s">
        <v>154</v>
      </c>
      <c r="K65" s="63">
        <v>2.5</v>
      </c>
      <c r="L65" s="207">
        <f>23267-8458</f>
        <v>14809</v>
      </c>
      <c r="M65" s="203"/>
      <c r="N65" s="203"/>
      <c r="O65" s="204">
        <f t="shared" si="4"/>
        <v>14809</v>
      </c>
      <c r="P65" s="2"/>
    </row>
    <row r="66" spans="1:16" ht="29.25">
      <c r="A66" s="278" t="s">
        <v>11</v>
      </c>
      <c r="B66" s="61" t="s">
        <v>12</v>
      </c>
      <c r="C66" s="61" t="s">
        <v>333</v>
      </c>
      <c r="D66" s="56"/>
      <c r="E66" s="56"/>
      <c r="F66" s="56" t="s">
        <v>164</v>
      </c>
      <c r="G66" s="61" t="s">
        <v>163</v>
      </c>
      <c r="H66" s="385" t="s">
        <v>1146</v>
      </c>
      <c r="I66" s="47">
        <v>1399795</v>
      </c>
      <c r="J66" s="510" t="s">
        <v>154</v>
      </c>
      <c r="K66" s="63">
        <v>3.8</v>
      </c>
      <c r="L66" s="207">
        <f>(21389-18463)+(37472-29660)+(14313-2661)</f>
        <v>22390</v>
      </c>
      <c r="M66" s="203"/>
      <c r="N66" s="203"/>
      <c r="O66" s="204">
        <f t="shared" si="4"/>
        <v>22390</v>
      </c>
      <c r="P66" s="2"/>
    </row>
    <row r="67" spans="1:16" ht="29.25">
      <c r="A67" s="278" t="s">
        <v>11</v>
      </c>
      <c r="B67" s="61" t="s">
        <v>12</v>
      </c>
      <c r="C67" s="61" t="s">
        <v>1982</v>
      </c>
      <c r="D67" s="56"/>
      <c r="E67" s="56"/>
      <c r="F67" s="56" t="s">
        <v>164</v>
      </c>
      <c r="G67" s="61" t="s">
        <v>163</v>
      </c>
      <c r="H67" s="385" t="s">
        <v>1147</v>
      </c>
      <c r="I67" s="47">
        <v>83425858</v>
      </c>
      <c r="J67" s="510" t="s">
        <v>154</v>
      </c>
      <c r="K67" s="63">
        <v>2.2</v>
      </c>
      <c r="L67" s="207">
        <f>11277-1164</f>
        <v>10113</v>
      </c>
      <c r="M67" s="203"/>
      <c r="N67" s="203"/>
      <c r="O67" s="204">
        <f t="shared" si="4"/>
        <v>10113</v>
      </c>
      <c r="P67" s="2"/>
    </row>
    <row r="68" spans="1:16" ht="29.25">
      <c r="A68" s="278" t="s">
        <v>11</v>
      </c>
      <c r="B68" s="61" t="s">
        <v>12</v>
      </c>
      <c r="C68" s="61" t="s">
        <v>312</v>
      </c>
      <c r="D68" s="56"/>
      <c r="E68" s="56"/>
      <c r="F68" s="56" t="s">
        <v>164</v>
      </c>
      <c r="G68" s="61" t="s">
        <v>163</v>
      </c>
      <c r="H68" s="385" t="s">
        <v>1148</v>
      </c>
      <c r="I68" s="47">
        <v>1403592</v>
      </c>
      <c r="J68" s="510" t="s">
        <v>154</v>
      </c>
      <c r="K68" s="63">
        <v>2</v>
      </c>
      <c r="L68" s="207">
        <f>(3585-2940)+(7774-5666)+(5260-2123)</f>
        <v>5890</v>
      </c>
      <c r="M68" s="203"/>
      <c r="N68" s="203"/>
      <c r="O68" s="204">
        <f t="shared" si="4"/>
        <v>5890</v>
      </c>
      <c r="P68" s="2"/>
    </row>
    <row r="69" spans="1:16" ht="29.25">
      <c r="A69" s="278" t="s">
        <v>11</v>
      </c>
      <c r="B69" s="61" t="s">
        <v>12</v>
      </c>
      <c r="C69" s="61" t="s">
        <v>335</v>
      </c>
      <c r="D69" s="56"/>
      <c r="E69" s="56"/>
      <c r="F69" s="56" t="s">
        <v>164</v>
      </c>
      <c r="G69" s="61" t="s">
        <v>163</v>
      </c>
      <c r="H69" s="385" t="s">
        <v>1149</v>
      </c>
      <c r="I69" s="47">
        <v>1404275</v>
      </c>
      <c r="J69" s="510" t="s">
        <v>154</v>
      </c>
      <c r="K69" s="63">
        <v>1.3</v>
      </c>
      <c r="L69" s="207">
        <f>(7822-6738)+(15066-11680)+(8651-2359)</f>
        <v>10762</v>
      </c>
      <c r="M69" s="203"/>
      <c r="N69" s="203"/>
      <c r="O69" s="204">
        <f t="shared" si="4"/>
        <v>10762</v>
      </c>
      <c r="P69" s="2"/>
    </row>
    <row r="70" spans="1:16" ht="29.25">
      <c r="A70" s="278" t="s">
        <v>11</v>
      </c>
      <c r="B70" s="61" t="s">
        <v>12</v>
      </c>
      <c r="C70" s="61" t="s">
        <v>335</v>
      </c>
      <c r="D70" s="56"/>
      <c r="E70" s="56"/>
      <c r="F70" s="56" t="s">
        <v>164</v>
      </c>
      <c r="G70" s="61" t="s">
        <v>163</v>
      </c>
      <c r="H70" s="385" t="s">
        <v>1150</v>
      </c>
      <c r="I70" s="47">
        <v>1441885</v>
      </c>
      <c r="J70" s="510" t="s">
        <v>154</v>
      </c>
      <c r="K70" s="63">
        <v>1.8</v>
      </c>
      <c r="L70" s="207">
        <f>10390-1081</f>
        <v>9309</v>
      </c>
      <c r="M70" s="203"/>
      <c r="N70" s="203"/>
      <c r="O70" s="204">
        <f t="shared" si="4"/>
        <v>9309</v>
      </c>
      <c r="P70" s="2"/>
    </row>
    <row r="71" spans="1:16" ht="29.25">
      <c r="A71" s="278" t="s">
        <v>11</v>
      </c>
      <c r="B71" s="61" t="s">
        <v>12</v>
      </c>
      <c r="C71" s="61" t="s">
        <v>335</v>
      </c>
      <c r="D71" s="56"/>
      <c r="E71" s="56"/>
      <c r="F71" s="56" t="s">
        <v>164</v>
      </c>
      <c r="G71" s="61" t="s">
        <v>163</v>
      </c>
      <c r="H71" s="385" t="s">
        <v>1151</v>
      </c>
      <c r="I71" s="47">
        <v>1399801</v>
      </c>
      <c r="J71" s="510" t="s">
        <v>154</v>
      </c>
      <c r="K71" s="63">
        <v>2.3</v>
      </c>
      <c r="L71" s="207">
        <f>(11716-10222)+(21226-17075)+(15987-8012)</f>
        <v>13620</v>
      </c>
      <c r="M71" s="203"/>
      <c r="N71" s="203"/>
      <c r="O71" s="204">
        <f t="shared" si="4"/>
        <v>13620</v>
      </c>
      <c r="P71" s="2"/>
    </row>
    <row r="72" spans="1:16" ht="29.25">
      <c r="A72" s="278" t="s">
        <v>11</v>
      </c>
      <c r="B72" s="61" t="s">
        <v>12</v>
      </c>
      <c r="C72" s="61" t="s">
        <v>336</v>
      </c>
      <c r="D72" s="56"/>
      <c r="E72" s="56"/>
      <c r="F72" s="56" t="s">
        <v>164</v>
      </c>
      <c r="G72" s="61" t="s">
        <v>163</v>
      </c>
      <c r="H72" s="385" t="s">
        <v>1152</v>
      </c>
      <c r="I72" s="47">
        <v>1387589</v>
      </c>
      <c r="J72" s="510" t="s">
        <v>154</v>
      </c>
      <c r="K72" s="63">
        <v>2.5</v>
      </c>
      <c r="L72" s="207">
        <f>(11576-9913)+(20142-15322)+(15397-6684)</f>
        <v>15196</v>
      </c>
      <c r="M72" s="203"/>
      <c r="N72" s="203"/>
      <c r="O72" s="204">
        <f t="shared" si="4"/>
        <v>15196</v>
      </c>
      <c r="P72" s="2"/>
    </row>
    <row r="73" spans="1:16" ht="29.25">
      <c r="A73" s="278" t="s">
        <v>11</v>
      </c>
      <c r="B73" s="61" t="s">
        <v>12</v>
      </c>
      <c r="C73" s="61" t="s">
        <v>337</v>
      </c>
      <c r="D73" s="56"/>
      <c r="E73" s="56"/>
      <c r="F73" s="56" t="s">
        <v>164</v>
      </c>
      <c r="G73" s="61" t="s">
        <v>163</v>
      </c>
      <c r="H73" s="385" t="s">
        <v>1153</v>
      </c>
      <c r="I73" s="47">
        <v>1387580</v>
      </c>
      <c r="J73" s="510" t="s">
        <v>154</v>
      </c>
      <c r="K73" s="63">
        <v>1.1</v>
      </c>
      <c r="L73" s="207">
        <f>(3877-3336)+(7482-5799)+(4508-1489)</f>
        <v>5243</v>
      </c>
      <c r="M73" s="203"/>
      <c r="N73" s="203"/>
      <c r="O73" s="204">
        <f t="shared" si="4"/>
        <v>5243</v>
      </c>
      <c r="P73" s="2"/>
    </row>
    <row r="74" spans="1:16" ht="29.25">
      <c r="A74" s="278" t="s">
        <v>11</v>
      </c>
      <c r="B74" s="61" t="s">
        <v>12</v>
      </c>
      <c r="C74" s="61" t="s">
        <v>335</v>
      </c>
      <c r="D74" s="56"/>
      <c r="E74" s="56"/>
      <c r="F74" s="56" t="s">
        <v>164</v>
      </c>
      <c r="G74" s="61" t="s">
        <v>163</v>
      </c>
      <c r="H74" s="385" t="s">
        <v>1154</v>
      </c>
      <c r="I74" s="47">
        <v>1387587</v>
      </c>
      <c r="J74" s="510" t="s">
        <v>154</v>
      </c>
      <c r="K74" s="63">
        <v>2.8</v>
      </c>
      <c r="L74" s="207">
        <f>(5838-5081)+(11397-9093)+(5929-1127)</f>
        <v>7863</v>
      </c>
      <c r="M74" s="203"/>
      <c r="N74" s="203"/>
      <c r="O74" s="204">
        <f t="shared" si="4"/>
        <v>7863</v>
      </c>
      <c r="P74" s="2"/>
    </row>
    <row r="75" spans="1:16" ht="29.25">
      <c r="A75" s="278" t="s">
        <v>11</v>
      </c>
      <c r="B75" s="61" t="s">
        <v>12</v>
      </c>
      <c r="C75" s="61" t="s">
        <v>335</v>
      </c>
      <c r="D75" s="56"/>
      <c r="E75" s="56"/>
      <c r="F75" s="56" t="s">
        <v>164</v>
      </c>
      <c r="G75" s="61" t="s">
        <v>163</v>
      </c>
      <c r="H75" s="385" t="s">
        <v>1155</v>
      </c>
      <c r="I75" s="47">
        <v>1387584</v>
      </c>
      <c r="J75" s="510" t="s">
        <v>154</v>
      </c>
      <c r="K75" s="63">
        <v>0.5</v>
      </c>
      <c r="L75" s="207">
        <f>(5364-4488)+(9646-7359)+(13628-9905)</f>
        <v>6886</v>
      </c>
      <c r="M75" s="203"/>
      <c r="N75" s="203"/>
      <c r="O75" s="204">
        <f t="shared" si="4"/>
        <v>6886</v>
      </c>
      <c r="P75" s="2"/>
    </row>
    <row r="76" spans="1:16" ht="29.25">
      <c r="A76" s="278" t="s">
        <v>11</v>
      </c>
      <c r="B76" s="61" t="s">
        <v>12</v>
      </c>
      <c r="C76" s="61" t="s">
        <v>338</v>
      </c>
      <c r="D76" s="61" t="s">
        <v>339</v>
      </c>
      <c r="E76" s="56"/>
      <c r="F76" s="56" t="s">
        <v>164</v>
      </c>
      <c r="G76" s="61" t="s">
        <v>163</v>
      </c>
      <c r="H76" s="385" t="s">
        <v>1157</v>
      </c>
      <c r="I76" s="47">
        <v>1482536</v>
      </c>
      <c r="J76" s="510" t="s">
        <v>154</v>
      </c>
      <c r="K76" s="63">
        <v>0.3</v>
      </c>
      <c r="L76" s="207">
        <f>(2475-1796)+(4610-2956)+(11128-8689)</f>
        <v>4772</v>
      </c>
      <c r="M76" s="203"/>
      <c r="N76" s="203"/>
      <c r="O76" s="204">
        <f t="shared" si="4"/>
        <v>4772</v>
      </c>
      <c r="P76" s="2"/>
    </row>
    <row r="77" spans="1:16" ht="29.25">
      <c r="A77" s="278" t="s">
        <v>11</v>
      </c>
      <c r="B77" s="61" t="s">
        <v>12</v>
      </c>
      <c r="C77" s="61" t="s">
        <v>335</v>
      </c>
      <c r="D77" s="61" t="s">
        <v>209</v>
      </c>
      <c r="E77" s="56"/>
      <c r="F77" s="56" t="s">
        <v>164</v>
      </c>
      <c r="G77" s="61" t="s">
        <v>163</v>
      </c>
      <c r="H77" s="385" t="s">
        <v>1158</v>
      </c>
      <c r="I77" s="47">
        <v>1494935</v>
      </c>
      <c r="J77" s="510" t="s">
        <v>154</v>
      </c>
      <c r="K77" s="63">
        <v>0.5</v>
      </c>
      <c r="L77" s="207">
        <f>2344-243</f>
        <v>2101</v>
      </c>
      <c r="M77" s="203"/>
      <c r="N77" s="203"/>
      <c r="O77" s="204">
        <f t="shared" si="4"/>
        <v>2101</v>
      </c>
      <c r="P77" s="2"/>
    </row>
    <row r="78" spans="1:16" ht="29.25">
      <c r="A78" s="278" t="s">
        <v>11</v>
      </c>
      <c r="B78" s="61" t="s">
        <v>12</v>
      </c>
      <c r="C78" s="61" t="s">
        <v>340</v>
      </c>
      <c r="D78" s="56"/>
      <c r="E78" s="56"/>
      <c r="F78" s="56" t="s">
        <v>164</v>
      </c>
      <c r="G78" s="61" t="s">
        <v>163</v>
      </c>
      <c r="H78" s="385" t="s">
        <v>1159</v>
      </c>
      <c r="I78" s="47">
        <v>1404286</v>
      </c>
      <c r="J78" s="510" t="s">
        <v>154</v>
      </c>
      <c r="K78" s="63">
        <v>0.7</v>
      </c>
      <c r="L78" s="207">
        <f>(7665-6515)+(14672-11085)+(11746-5208)</f>
        <v>11275</v>
      </c>
      <c r="M78" s="203"/>
      <c r="N78" s="203"/>
      <c r="O78" s="204">
        <f t="shared" si="4"/>
        <v>11275</v>
      </c>
      <c r="P78" s="2"/>
    </row>
    <row r="79" spans="1:16" ht="29.25">
      <c r="A79" s="278" t="s">
        <v>11</v>
      </c>
      <c r="B79" s="61" t="s">
        <v>12</v>
      </c>
      <c r="C79" s="61" t="s">
        <v>341</v>
      </c>
      <c r="D79" s="61" t="s">
        <v>238</v>
      </c>
      <c r="E79" s="56">
        <v>33</v>
      </c>
      <c r="F79" s="56" t="s">
        <v>164</v>
      </c>
      <c r="G79" s="61" t="s">
        <v>163</v>
      </c>
      <c r="H79" s="385" t="s">
        <v>1160</v>
      </c>
      <c r="I79" s="47">
        <v>1394958</v>
      </c>
      <c r="J79" s="510" t="s">
        <v>154</v>
      </c>
      <c r="K79" s="63">
        <v>2.2</v>
      </c>
      <c r="L79" s="207">
        <f>12399-5776</f>
        <v>6623</v>
      </c>
      <c r="M79" s="203"/>
      <c r="N79" s="203"/>
      <c r="O79" s="204">
        <f t="shared" si="4"/>
        <v>6623</v>
      </c>
      <c r="P79" s="2"/>
    </row>
    <row r="80" spans="1:16" ht="29.25">
      <c r="A80" s="278" t="s">
        <v>11</v>
      </c>
      <c r="B80" s="61" t="s">
        <v>12</v>
      </c>
      <c r="C80" s="61" t="s">
        <v>342</v>
      </c>
      <c r="D80" s="61" t="s">
        <v>343</v>
      </c>
      <c r="E80" s="56"/>
      <c r="F80" s="56" t="s">
        <v>164</v>
      </c>
      <c r="G80" s="61" t="s">
        <v>163</v>
      </c>
      <c r="H80" s="385" t="s">
        <v>1161</v>
      </c>
      <c r="I80" s="47">
        <v>1387579</v>
      </c>
      <c r="J80" s="510" t="s">
        <v>154</v>
      </c>
      <c r="K80" s="63">
        <v>2.2</v>
      </c>
      <c r="L80" s="207">
        <f>(11787-9699)+(21260-15388)+(15531-5452)</f>
        <v>18039</v>
      </c>
      <c r="M80" s="203"/>
      <c r="N80" s="203"/>
      <c r="O80" s="204">
        <f t="shared" si="4"/>
        <v>18039</v>
      </c>
      <c r="P80" s="2"/>
    </row>
    <row r="81" spans="1:16" ht="29.25">
      <c r="A81" s="278" t="s">
        <v>11</v>
      </c>
      <c r="B81" s="61" t="s">
        <v>12</v>
      </c>
      <c r="C81" s="61" t="s">
        <v>342</v>
      </c>
      <c r="D81" s="61" t="s">
        <v>344</v>
      </c>
      <c r="E81" s="61" t="s">
        <v>345</v>
      </c>
      <c r="F81" s="56" t="s">
        <v>164</v>
      </c>
      <c r="G81" s="61" t="s">
        <v>163</v>
      </c>
      <c r="H81" s="385" t="s">
        <v>1162</v>
      </c>
      <c r="I81" s="47">
        <v>1404289</v>
      </c>
      <c r="J81" s="510" t="s">
        <v>154</v>
      </c>
      <c r="K81" s="63">
        <v>1.1</v>
      </c>
      <c r="L81" s="207">
        <f>(4722-4037)+(8334-6423)+(6566-3250)</f>
        <v>5912</v>
      </c>
      <c r="M81" s="203"/>
      <c r="N81" s="203"/>
      <c r="O81" s="204">
        <f t="shared" si="4"/>
        <v>5912</v>
      </c>
      <c r="P81" s="2"/>
    </row>
    <row r="82" spans="1:16" ht="29.25">
      <c r="A82" s="278" t="s">
        <v>11</v>
      </c>
      <c r="B82" s="61" t="s">
        <v>12</v>
      </c>
      <c r="C82" s="61" t="s">
        <v>342</v>
      </c>
      <c r="D82" s="61" t="s">
        <v>346</v>
      </c>
      <c r="E82" s="61" t="s">
        <v>347</v>
      </c>
      <c r="F82" s="56" t="s">
        <v>164</v>
      </c>
      <c r="G82" s="61" t="s">
        <v>163</v>
      </c>
      <c r="H82" s="385" t="s">
        <v>1163</v>
      </c>
      <c r="I82" s="47">
        <v>1387590</v>
      </c>
      <c r="J82" s="510" t="s">
        <v>154</v>
      </c>
      <c r="K82" s="63">
        <v>1.6</v>
      </c>
      <c r="L82" s="207">
        <f>14524-3521</f>
        <v>11003</v>
      </c>
      <c r="M82" s="203"/>
      <c r="N82" s="203"/>
      <c r="O82" s="204">
        <f t="shared" si="4"/>
        <v>11003</v>
      </c>
      <c r="P82" s="2"/>
    </row>
    <row r="83" spans="1:16" ht="29.25">
      <c r="A83" s="278" t="s">
        <v>11</v>
      </c>
      <c r="B83" s="61" t="s">
        <v>12</v>
      </c>
      <c r="C83" s="61" t="s">
        <v>348</v>
      </c>
      <c r="D83" s="61" t="s">
        <v>349</v>
      </c>
      <c r="E83" s="56"/>
      <c r="F83" s="56" t="s">
        <v>164</v>
      </c>
      <c r="G83" s="61" t="s">
        <v>163</v>
      </c>
      <c r="H83" s="385" t="s">
        <v>1164</v>
      </c>
      <c r="I83" s="47">
        <v>1394968</v>
      </c>
      <c r="J83" s="510" t="s">
        <v>154</v>
      </c>
      <c r="K83" s="63">
        <v>2.2</v>
      </c>
      <c r="L83" s="207">
        <f>(2607-2167)+(5015-3663)+(7309-4893)</f>
        <v>4208</v>
      </c>
      <c r="M83" s="203"/>
      <c r="N83" s="203"/>
      <c r="O83" s="204">
        <f t="shared" si="4"/>
        <v>4208</v>
      </c>
      <c r="P83" s="2"/>
    </row>
    <row r="84" spans="1:16" ht="29.25">
      <c r="A84" s="278" t="s">
        <v>11</v>
      </c>
      <c r="B84" s="61" t="s">
        <v>12</v>
      </c>
      <c r="C84" s="61" t="s">
        <v>342</v>
      </c>
      <c r="D84" s="61" t="s">
        <v>339</v>
      </c>
      <c r="E84" s="56">
        <v>5</v>
      </c>
      <c r="F84" s="56" t="s">
        <v>164</v>
      </c>
      <c r="G84" s="61" t="s">
        <v>163</v>
      </c>
      <c r="H84" s="385" t="s">
        <v>1165</v>
      </c>
      <c r="I84" s="47">
        <v>1394962</v>
      </c>
      <c r="J84" s="510" t="s">
        <v>154</v>
      </c>
      <c r="K84" s="63">
        <v>1.1</v>
      </c>
      <c r="L84" s="207">
        <f>(3407-2911)+(6165-4799)+(8922-6151)</f>
        <v>4633</v>
      </c>
      <c r="M84" s="203"/>
      <c r="N84" s="203"/>
      <c r="O84" s="204">
        <f t="shared" si="4"/>
        <v>4633</v>
      </c>
      <c r="P84" s="2"/>
    </row>
    <row r="85" spans="1:16" ht="29.25">
      <c r="A85" s="278" t="s">
        <v>11</v>
      </c>
      <c r="B85" s="61" t="s">
        <v>12</v>
      </c>
      <c r="C85" s="61" t="s">
        <v>342</v>
      </c>
      <c r="D85" s="61" t="s">
        <v>350</v>
      </c>
      <c r="E85" s="56"/>
      <c r="F85" s="56" t="s">
        <v>164</v>
      </c>
      <c r="G85" s="61" t="s">
        <v>163</v>
      </c>
      <c r="H85" s="385" t="s">
        <v>1166</v>
      </c>
      <c r="I85" s="47">
        <v>1394966</v>
      </c>
      <c r="J85" s="510" t="s">
        <v>154</v>
      </c>
      <c r="K85" s="63">
        <v>1.3</v>
      </c>
      <c r="L85" s="207">
        <f>12818-4086</f>
        <v>8732</v>
      </c>
      <c r="M85" s="203"/>
      <c r="N85" s="203"/>
      <c r="O85" s="204">
        <f t="shared" si="4"/>
        <v>8732</v>
      </c>
      <c r="P85" s="2"/>
    </row>
    <row r="86" spans="1:16" ht="29.25">
      <c r="A86" s="278" t="s">
        <v>11</v>
      </c>
      <c r="B86" s="61" t="s">
        <v>12</v>
      </c>
      <c r="C86" s="61" t="s">
        <v>342</v>
      </c>
      <c r="D86" s="61" t="s">
        <v>339</v>
      </c>
      <c r="E86" s="56"/>
      <c r="F86" s="56" t="s">
        <v>164</v>
      </c>
      <c r="G86" s="61" t="s">
        <v>163</v>
      </c>
      <c r="H86" s="385" t="s">
        <v>1167</v>
      </c>
      <c r="I86" s="47">
        <v>1387581</v>
      </c>
      <c r="J86" s="510" t="s">
        <v>154</v>
      </c>
      <c r="K86" s="63">
        <v>2.2</v>
      </c>
      <c r="L86" s="207">
        <f>9963-4876</f>
        <v>5087</v>
      </c>
      <c r="M86" s="203"/>
      <c r="N86" s="203"/>
      <c r="O86" s="204">
        <f t="shared" si="4"/>
        <v>5087</v>
      </c>
      <c r="P86" s="2"/>
    </row>
    <row r="87" spans="1:16" ht="29.25">
      <c r="A87" s="278" t="s">
        <v>11</v>
      </c>
      <c r="B87" s="61" t="s">
        <v>12</v>
      </c>
      <c r="C87" s="61" t="s">
        <v>351</v>
      </c>
      <c r="D87" s="56"/>
      <c r="E87" s="56"/>
      <c r="F87" s="56" t="s">
        <v>164</v>
      </c>
      <c r="G87" s="61" t="s">
        <v>163</v>
      </c>
      <c r="H87" s="385" t="s">
        <v>1168</v>
      </c>
      <c r="I87" s="47">
        <v>83143604</v>
      </c>
      <c r="J87" s="510" t="s">
        <v>154</v>
      </c>
      <c r="K87" s="63">
        <v>1.5</v>
      </c>
      <c r="L87" s="207">
        <f>(8882-2388)*2</f>
        <v>12988</v>
      </c>
      <c r="M87" s="203"/>
      <c r="N87" s="203"/>
      <c r="O87" s="204">
        <f t="shared" si="4"/>
        <v>12988</v>
      </c>
      <c r="P87" s="2"/>
    </row>
    <row r="88" spans="1:16" ht="29.25">
      <c r="A88" s="278" t="s">
        <v>11</v>
      </c>
      <c r="B88" s="61" t="s">
        <v>12</v>
      </c>
      <c r="C88" s="61" t="s">
        <v>351</v>
      </c>
      <c r="D88" s="56"/>
      <c r="E88" s="56"/>
      <c r="F88" s="56" t="s">
        <v>164</v>
      </c>
      <c r="G88" s="61" t="s">
        <v>163</v>
      </c>
      <c r="H88" s="385" t="s">
        <v>1169</v>
      </c>
      <c r="I88" s="47">
        <v>1395739</v>
      </c>
      <c r="J88" s="510" t="s">
        <v>154</v>
      </c>
      <c r="K88" s="63">
        <v>0.9</v>
      </c>
      <c r="L88" s="207">
        <f>6766-1239</f>
        <v>5527</v>
      </c>
      <c r="M88" s="203"/>
      <c r="N88" s="203"/>
      <c r="O88" s="204">
        <f aca="true" t="shared" si="5" ref="O88:O119">L88</f>
        <v>5527</v>
      </c>
      <c r="P88" s="2"/>
    </row>
    <row r="89" spans="1:16" ht="29.25">
      <c r="A89" s="278" t="s">
        <v>11</v>
      </c>
      <c r="B89" s="61" t="s">
        <v>12</v>
      </c>
      <c r="C89" s="61" t="s">
        <v>348</v>
      </c>
      <c r="D89" s="56"/>
      <c r="E89" s="56"/>
      <c r="F89" s="56" t="s">
        <v>164</v>
      </c>
      <c r="G89" s="61" t="s">
        <v>163</v>
      </c>
      <c r="H89" s="385" t="s">
        <v>1170</v>
      </c>
      <c r="I89" s="419">
        <v>1404285</v>
      </c>
      <c r="J89" s="510" t="s">
        <v>154</v>
      </c>
      <c r="K89" s="63">
        <v>1.8</v>
      </c>
      <c r="L89" s="207">
        <f>(6016-5139)+(10577-8186)+(15656-11716)</f>
        <v>7208</v>
      </c>
      <c r="M89" s="203"/>
      <c r="N89" s="203"/>
      <c r="O89" s="204">
        <f t="shared" si="5"/>
        <v>7208</v>
      </c>
      <c r="P89" s="2"/>
    </row>
    <row r="90" spans="1:16" ht="29.25">
      <c r="A90" s="278" t="s">
        <v>11</v>
      </c>
      <c r="B90" s="61" t="s">
        <v>12</v>
      </c>
      <c r="C90" s="61" t="s">
        <v>351</v>
      </c>
      <c r="D90" s="61" t="s">
        <v>352</v>
      </c>
      <c r="E90" s="56"/>
      <c r="F90" s="56" t="s">
        <v>164</v>
      </c>
      <c r="G90" s="61" t="s">
        <v>163</v>
      </c>
      <c r="H90" s="385" t="s">
        <v>1171</v>
      </c>
      <c r="I90" s="47">
        <v>1404283</v>
      </c>
      <c r="J90" s="510" t="s">
        <v>154</v>
      </c>
      <c r="K90" s="63">
        <v>0.5</v>
      </c>
      <c r="L90" s="207">
        <f>(7203-6181)+(13352-10494)+(6286-1069)</f>
        <v>9097</v>
      </c>
      <c r="M90" s="203"/>
      <c r="N90" s="203"/>
      <c r="O90" s="204">
        <f t="shared" si="5"/>
        <v>9097</v>
      </c>
      <c r="P90" s="2"/>
    </row>
    <row r="91" spans="1:16" ht="29.25">
      <c r="A91" s="278" t="s">
        <v>11</v>
      </c>
      <c r="B91" s="61" t="s">
        <v>12</v>
      </c>
      <c r="C91" s="61" t="s">
        <v>348</v>
      </c>
      <c r="D91" s="56"/>
      <c r="E91" s="56"/>
      <c r="F91" s="56" t="s">
        <v>164</v>
      </c>
      <c r="G91" s="61" t="s">
        <v>163</v>
      </c>
      <c r="H91" s="385" t="s">
        <v>1172</v>
      </c>
      <c r="I91" s="47">
        <v>1481685</v>
      </c>
      <c r="J91" s="510" t="s">
        <v>154</v>
      </c>
      <c r="K91" s="63">
        <v>1</v>
      </c>
      <c r="L91" s="207">
        <f>20356-3911</f>
        <v>16445</v>
      </c>
      <c r="M91" s="203"/>
      <c r="N91" s="203"/>
      <c r="O91" s="204">
        <f t="shared" si="5"/>
        <v>16445</v>
      </c>
      <c r="P91" s="2"/>
    </row>
    <row r="92" spans="1:16" ht="29.25">
      <c r="A92" s="278" t="s">
        <v>11</v>
      </c>
      <c r="B92" s="61" t="s">
        <v>12</v>
      </c>
      <c r="C92" s="61" t="s">
        <v>348</v>
      </c>
      <c r="D92" s="56"/>
      <c r="E92" s="61" t="s">
        <v>353</v>
      </c>
      <c r="F92" s="56" t="s">
        <v>164</v>
      </c>
      <c r="G92" s="61" t="s">
        <v>163</v>
      </c>
      <c r="H92" s="385" t="s">
        <v>1173</v>
      </c>
      <c r="I92" s="47">
        <v>1401617</v>
      </c>
      <c r="J92" s="510" t="s">
        <v>154</v>
      </c>
      <c r="K92" s="63">
        <v>1.4</v>
      </c>
      <c r="L92" s="207">
        <f>(5252-4436)+(9591-7253)+(7269-3407)</f>
        <v>7016</v>
      </c>
      <c r="M92" s="203"/>
      <c r="N92" s="203"/>
      <c r="O92" s="204">
        <f t="shared" si="5"/>
        <v>7016</v>
      </c>
      <c r="P92" s="2"/>
    </row>
    <row r="93" spans="1:16" ht="29.25">
      <c r="A93" s="278" t="s">
        <v>11</v>
      </c>
      <c r="B93" s="61" t="s">
        <v>12</v>
      </c>
      <c r="C93" s="61" t="s">
        <v>348</v>
      </c>
      <c r="D93" s="56"/>
      <c r="E93" s="56"/>
      <c r="F93" s="56" t="s">
        <v>164</v>
      </c>
      <c r="G93" s="61" t="s">
        <v>163</v>
      </c>
      <c r="H93" s="385" t="s">
        <v>1174</v>
      </c>
      <c r="I93" s="47">
        <v>1398833</v>
      </c>
      <c r="J93" s="510" t="s">
        <v>154</v>
      </c>
      <c r="K93" s="63">
        <v>1.4</v>
      </c>
      <c r="L93" s="207">
        <f>(6236-5374)+(12420-9419)+(16967-11787)</f>
        <v>9043</v>
      </c>
      <c r="M93" s="203"/>
      <c r="N93" s="203"/>
      <c r="O93" s="204">
        <f t="shared" si="5"/>
        <v>9043</v>
      </c>
      <c r="P93" s="2"/>
    </row>
    <row r="94" spans="1:16" ht="29.25">
      <c r="A94" s="278" t="s">
        <v>11</v>
      </c>
      <c r="B94" s="61" t="s">
        <v>12</v>
      </c>
      <c r="C94" s="61" t="s">
        <v>348</v>
      </c>
      <c r="D94" s="56"/>
      <c r="E94" s="56"/>
      <c r="F94" s="56" t="s">
        <v>164</v>
      </c>
      <c r="G94" s="61" t="s">
        <v>163</v>
      </c>
      <c r="H94" s="385" t="s">
        <v>1175</v>
      </c>
      <c r="I94" s="47">
        <v>1403593</v>
      </c>
      <c r="J94" s="510" t="s">
        <v>154</v>
      </c>
      <c r="K94" s="63">
        <v>0.6</v>
      </c>
      <c r="L94" s="207">
        <f>7655-3537</f>
        <v>4118</v>
      </c>
      <c r="M94" s="203"/>
      <c r="N94" s="203"/>
      <c r="O94" s="204">
        <f t="shared" si="5"/>
        <v>4118</v>
      </c>
      <c r="P94" s="2"/>
    </row>
    <row r="95" spans="1:16" ht="29.25">
      <c r="A95" s="278" t="s">
        <v>11</v>
      </c>
      <c r="B95" s="61" t="s">
        <v>12</v>
      </c>
      <c r="C95" s="61" t="s">
        <v>348</v>
      </c>
      <c r="D95" s="56"/>
      <c r="E95" s="61" t="s">
        <v>354</v>
      </c>
      <c r="F95" s="56" t="s">
        <v>164</v>
      </c>
      <c r="G95" s="61" t="s">
        <v>163</v>
      </c>
      <c r="H95" s="385" t="s">
        <v>1176</v>
      </c>
      <c r="I95" s="47">
        <v>1387578</v>
      </c>
      <c r="J95" s="510" t="s">
        <v>154</v>
      </c>
      <c r="K95" s="63">
        <v>1.3</v>
      </c>
      <c r="L95" s="207">
        <f>(4468-3852)+(8553-6522)+(4965-1031)</f>
        <v>6581</v>
      </c>
      <c r="M95" s="203"/>
      <c r="N95" s="203"/>
      <c r="O95" s="204">
        <f t="shared" si="5"/>
        <v>6581</v>
      </c>
      <c r="P95" s="2"/>
    </row>
    <row r="96" spans="1:16" ht="29.25">
      <c r="A96" s="278" t="s">
        <v>11</v>
      </c>
      <c r="B96" s="61" t="s">
        <v>12</v>
      </c>
      <c r="C96" s="61" t="s">
        <v>348</v>
      </c>
      <c r="D96" s="56"/>
      <c r="E96" s="56"/>
      <c r="F96" s="56" t="s">
        <v>164</v>
      </c>
      <c r="G96" s="61" t="s">
        <v>163</v>
      </c>
      <c r="H96" s="385" t="s">
        <v>1177</v>
      </c>
      <c r="I96" s="47">
        <v>1398829</v>
      </c>
      <c r="J96" s="510" t="s">
        <v>154</v>
      </c>
      <c r="K96" s="63">
        <v>0.7</v>
      </c>
      <c r="L96" s="207">
        <f>(7144-6085)+(13008-10131)+(17093-11576)</f>
        <v>9453</v>
      </c>
      <c r="M96" s="203"/>
      <c r="N96" s="203"/>
      <c r="O96" s="204">
        <f t="shared" si="5"/>
        <v>9453</v>
      </c>
      <c r="P96" s="2"/>
    </row>
    <row r="97" spans="1:16" ht="29.25">
      <c r="A97" s="278" t="s">
        <v>11</v>
      </c>
      <c r="B97" s="61" t="s">
        <v>12</v>
      </c>
      <c r="C97" s="61" t="s">
        <v>348</v>
      </c>
      <c r="D97" s="56"/>
      <c r="E97" s="56"/>
      <c r="F97" s="56" t="s">
        <v>164</v>
      </c>
      <c r="G97" s="61" t="s">
        <v>163</v>
      </c>
      <c r="H97" s="385" t="s">
        <v>1178</v>
      </c>
      <c r="I97" s="47">
        <v>1399806</v>
      </c>
      <c r="J97" s="510" t="s">
        <v>154</v>
      </c>
      <c r="K97" s="63">
        <v>0.5</v>
      </c>
      <c r="L97" s="207">
        <f>((14951-9403)/13)*12</f>
        <v>5121.2307692307695</v>
      </c>
      <c r="M97" s="203"/>
      <c r="N97" s="203"/>
      <c r="O97" s="204">
        <f t="shared" si="5"/>
        <v>5121.2307692307695</v>
      </c>
      <c r="P97" s="2"/>
    </row>
    <row r="98" spans="1:16" ht="29.25">
      <c r="A98" s="278" t="s">
        <v>11</v>
      </c>
      <c r="B98" s="61" t="s">
        <v>12</v>
      </c>
      <c r="C98" s="61" t="s">
        <v>355</v>
      </c>
      <c r="D98" s="61" t="s">
        <v>356</v>
      </c>
      <c r="E98" s="56"/>
      <c r="F98" s="56" t="s">
        <v>164</v>
      </c>
      <c r="G98" s="61" t="s">
        <v>163</v>
      </c>
      <c r="H98" s="385" t="s">
        <v>1179</v>
      </c>
      <c r="I98" s="47">
        <v>1382663</v>
      </c>
      <c r="J98" s="510" t="s">
        <v>154</v>
      </c>
      <c r="K98" s="63">
        <v>2.1</v>
      </c>
      <c r="L98" s="207">
        <f>(15638-3291)</f>
        <v>12347</v>
      </c>
      <c r="M98" s="203"/>
      <c r="N98" s="203"/>
      <c r="O98" s="204">
        <f t="shared" si="5"/>
        <v>12347</v>
      </c>
      <c r="P98" s="2"/>
    </row>
    <row r="99" spans="1:16" ht="29.25">
      <c r="A99" s="278" t="s">
        <v>11</v>
      </c>
      <c r="B99" s="61" t="s">
        <v>12</v>
      </c>
      <c r="C99" s="61" t="s">
        <v>357</v>
      </c>
      <c r="D99" s="61" t="s">
        <v>117</v>
      </c>
      <c r="E99" s="56">
        <v>12</v>
      </c>
      <c r="F99" s="56" t="s">
        <v>164</v>
      </c>
      <c r="G99" s="61" t="s">
        <v>163</v>
      </c>
      <c r="H99" s="385" t="s">
        <v>1182</v>
      </c>
      <c r="I99" s="47">
        <v>1404290</v>
      </c>
      <c r="J99" s="510" t="s">
        <v>154</v>
      </c>
      <c r="K99" s="63">
        <v>2.5</v>
      </c>
      <c r="L99" s="207">
        <f>37376-6863</f>
        <v>30513</v>
      </c>
      <c r="M99" s="203"/>
      <c r="N99" s="203"/>
      <c r="O99" s="204">
        <f t="shared" si="5"/>
        <v>30513</v>
      </c>
      <c r="P99" s="2"/>
    </row>
    <row r="100" spans="1:16" ht="29.25">
      <c r="A100" s="278" t="s">
        <v>11</v>
      </c>
      <c r="B100" s="61" t="s">
        <v>12</v>
      </c>
      <c r="C100" s="61" t="s">
        <v>351</v>
      </c>
      <c r="D100" s="56"/>
      <c r="E100" s="56">
        <v>6</v>
      </c>
      <c r="F100" s="56" t="s">
        <v>164</v>
      </c>
      <c r="G100" s="61" t="s">
        <v>163</v>
      </c>
      <c r="H100" s="385" t="s">
        <v>1183</v>
      </c>
      <c r="I100" s="47">
        <v>1404291</v>
      </c>
      <c r="J100" s="510" t="s">
        <v>154</v>
      </c>
      <c r="K100" s="63">
        <v>1.8</v>
      </c>
      <c r="L100" s="207">
        <f>(3362-2804)+(5668-4300)+(6937-3877)</f>
        <v>4986</v>
      </c>
      <c r="M100" s="203"/>
      <c r="N100" s="203"/>
      <c r="O100" s="204">
        <f t="shared" si="5"/>
        <v>4986</v>
      </c>
      <c r="P100" s="2"/>
    </row>
    <row r="101" spans="1:16" ht="29.25">
      <c r="A101" s="278" t="s">
        <v>11</v>
      </c>
      <c r="B101" s="61" t="s">
        <v>12</v>
      </c>
      <c r="C101" s="61" t="s">
        <v>351</v>
      </c>
      <c r="D101" s="61" t="s">
        <v>358</v>
      </c>
      <c r="E101" s="56">
        <v>5</v>
      </c>
      <c r="F101" s="56" t="s">
        <v>164</v>
      </c>
      <c r="G101" s="61" t="s">
        <v>163</v>
      </c>
      <c r="H101" s="385" t="s">
        <v>1184</v>
      </c>
      <c r="I101" s="47">
        <v>83247338</v>
      </c>
      <c r="J101" s="510" t="s">
        <v>154</v>
      </c>
      <c r="K101" s="63">
        <v>1.8</v>
      </c>
      <c r="L101" s="207">
        <f>(5111-1363)*2</f>
        <v>7496</v>
      </c>
      <c r="M101" s="203"/>
      <c r="N101" s="203"/>
      <c r="O101" s="204">
        <f t="shared" si="5"/>
        <v>7496</v>
      </c>
      <c r="P101" s="2"/>
    </row>
    <row r="102" spans="1:16" ht="29.25">
      <c r="A102" s="278" t="s">
        <v>11</v>
      </c>
      <c r="B102" s="61" t="s">
        <v>12</v>
      </c>
      <c r="C102" s="61" t="s">
        <v>359</v>
      </c>
      <c r="D102" s="56"/>
      <c r="E102" s="56"/>
      <c r="F102" s="56" t="s">
        <v>164</v>
      </c>
      <c r="G102" s="61" t="s">
        <v>163</v>
      </c>
      <c r="H102" s="385" t="s">
        <v>1185</v>
      </c>
      <c r="I102" s="47">
        <v>83426520</v>
      </c>
      <c r="J102" s="510" t="s">
        <v>154</v>
      </c>
      <c r="K102" s="63">
        <v>0.8</v>
      </c>
      <c r="L102" s="207">
        <f>(1469-383)*2</f>
        <v>2172</v>
      </c>
      <c r="M102" s="203"/>
      <c r="N102" s="203"/>
      <c r="O102" s="204">
        <f t="shared" si="5"/>
        <v>2172</v>
      </c>
      <c r="P102" s="2"/>
    </row>
    <row r="103" spans="1:16" ht="29.25">
      <c r="A103" s="278" t="s">
        <v>11</v>
      </c>
      <c r="B103" s="61" t="s">
        <v>12</v>
      </c>
      <c r="C103" s="61" t="s">
        <v>359</v>
      </c>
      <c r="D103" s="56"/>
      <c r="E103" s="56"/>
      <c r="F103" s="56" t="s">
        <v>164</v>
      </c>
      <c r="G103" s="61" t="s">
        <v>163</v>
      </c>
      <c r="H103" s="385" t="s">
        <v>1186</v>
      </c>
      <c r="I103" s="47">
        <v>83426143</v>
      </c>
      <c r="J103" s="510" t="s">
        <v>154</v>
      </c>
      <c r="K103" s="63">
        <v>1</v>
      </c>
      <c r="L103" s="207">
        <f>(3089-285)</f>
        <v>2804</v>
      </c>
      <c r="M103" s="203"/>
      <c r="N103" s="203"/>
      <c r="O103" s="204">
        <f t="shared" si="5"/>
        <v>2804</v>
      </c>
      <c r="P103" s="2"/>
    </row>
    <row r="104" spans="1:16" ht="29.25">
      <c r="A104" s="278" t="s">
        <v>11</v>
      </c>
      <c r="B104" s="61" t="s">
        <v>12</v>
      </c>
      <c r="C104" s="61" t="s">
        <v>360</v>
      </c>
      <c r="D104" s="56"/>
      <c r="E104" s="56"/>
      <c r="F104" s="56" t="s">
        <v>164</v>
      </c>
      <c r="G104" s="61" t="s">
        <v>163</v>
      </c>
      <c r="H104" s="385" t="s">
        <v>1187</v>
      </c>
      <c r="I104" s="47">
        <v>84426540</v>
      </c>
      <c r="J104" s="510" t="s">
        <v>154</v>
      </c>
      <c r="K104" s="63">
        <v>2.2</v>
      </c>
      <c r="L104" s="207">
        <f>(4132-996)*2</f>
        <v>6272</v>
      </c>
      <c r="M104" s="203"/>
      <c r="N104" s="203"/>
      <c r="O104" s="204">
        <f t="shared" si="5"/>
        <v>6272</v>
      </c>
      <c r="P104" s="2"/>
    </row>
    <row r="105" spans="1:16" ht="29.25">
      <c r="A105" s="278" t="s">
        <v>11</v>
      </c>
      <c r="B105" s="61" t="s">
        <v>12</v>
      </c>
      <c r="C105" s="61" t="s">
        <v>361</v>
      </c>
      <c r="D105" s="61" t="s">
        <v>362</v>
      </c>
      <c r="E105" s="56"/>
      <c r="F105" s="56" t="s">
        <v>164</v>
      </c>
      <c r="G105" s="61" t="s">
        <v>163</v>
      </c>
      <c r="H105" s="385" t="s">
        <v>1188</v>
      </c>
      <c r="I105" s="47">
        <v>83426446</v>
      </c>
      <c r="J105" s="510" t="s">
        <v>154</v>
      </c>
      <c r="K105" s="63">
        <v>1</v>
      </c>
      <c r="L105" s="207">
        <f>9238-932</f>
        <v>8306</v>
      </c>
      <c r="M105" s="203"/>
      <c r="N105" s="203"/>
      <c r="O105" s="204">
        <f t="shared" si="5"/>
        <v>8306</v>
      </c>
      <c r="P105" s="2"/>
    </row>
    <row r="106" spans="1:16" ht="29.25">
      <c r="A106" s="278" t="s">
        <v>11</v>
      </c>
      <c r="B106" s="61" t="s">
        <v>12</v>
      </c>
      <c r="C106" s="61" t="s">
        <v>361</v>
      </c>
      <c r="D106" s="61" t="s">
        <v>61</v>
      </c>
      <c r="E106" s="56"/>
      <c r="F106" s="56" t="s">
        <v>164</v>
      </c>
      <c r="G106" s="61" t="s">
        <v>163</v>
      </c>
      <c r="H106" s="385" t="s">
        <v>1189</v>
      </c>
      <c r="I106" s="47">
        <v>83426439</v>
      </c>
      <c r="J106" s="510" t="s">
        <v>154</v>
      </c>
      <c r="K106" s="63">
        <v>1</v>
      </c>
      <c r="L106" s="207">
        <f>1854-173</f>
        <v>1681</v>
      </c>
      <c r="M106" s="203"/>
      <c r="N106" s="203"/>
      <c r="O106" s="204">
        <f t="shared" si="5"/>
        <v>1681</v>
      </c>
      <c r="P106" s="2"/>
    </row>
    <row r="107" spans="1:16" ht="29.25">
      <c r="A107" s="278" t="s">
        <v>11</v>
      </c>
      <c r="B107" s="61" t="s">
        <v>12</v>
      </c>
      <c r="C107" s="61" t="s">
        <v>361</v>
      </c>
      <c r="D107" s="61" t="s">
        <v>363</v>
      </c>
      <c r="E107" s="56"/>
      <c r="F107" s="56" t="s">
        <v>164</v>
      </c>
      <c r="G107" s="61" t="s">
        <v>163</v>
      </c>
      <c r="H107" s="385" t="s">
        <v>1190</v>
      </c>
      <c r="I107" s="47">
        <v>1393859</v>
      </c>
      <c r="J107" s="510" t="s">
        <v>154</v>
      </c>
      <c r="K107" s="63">
        <v>1.8</v>
      </c>
      <c r="L107" s="207">
        <f>(4338-3629)+(8033-6157)+(9285-6236)</f>
        <v>5634</v>
      </c>
      <c r="M107" s="203"/>
      <c r="N107" s="203"/>
      <c r="O107" s="204">
        <f t="shared" si="5"/>
        <v>5634</v>
      </c>
      <c r="P107" s="2"/>
    </row>
    <row r="108" spans="1:16" ht="29.25">
      <c r="A108" s="278" t="s">
        <v>11</v>
      </c>
      <c r="B108" s="61" t="s">
        <v>12</v>
      </c>
      <c r="C108" s="61" t="s">
        <v>361</v>
      </c>
      <c r="D108" s="61" t="s">
        <v>364</v>
      </c>
      <c r="E108" s="56"/>
      <c r="F108" s="56" t="s">
        <v>164</v>
      </c>
      <c r="G108" s="61" t="s">
        <v>163</v>
      </c>
      <c r="H108" s="385" t="s">
        <v>1191</v>
      </c>
      <c r="I108" s="47">
        <v>83426433</v>
      </c>
      <c r="J108" s="510" t="s">
        <v>154</v>
      </c>
      <c r="K108" s="63">
        <v>1.7</v>
      </c>
      <c r="L108" s="207">
        <f>7893-745</f>
        <v>7148</v>
      </c>
      <c r="M108" s="203"/>
      <c r="N108" s="203"/>
      <c r="O108" s="204">
        <f t="shared" si="5"/>
        <v>7148</v>
      </c>
      <c r="P108" s="2"/>
    </row>
    <row r="109" spans="1:16" ht="29.25">
      <c r="A109" s="278" t="s">
        <v>11</v>
      </c>
      <c r="B109" s="61" t="s">
        <v>12</v>
      </c>
      <c r="C109" s="61" t="s">
        <v>361</v>
      </c>
      <c r="D109" s="61" t="s">
        <v>365</v>
      </c>
      <c r="E109" s="56"/>
      <c r="F109" s="56" t="s">
        <v>164</v>
      </c>
      <c r="G109" s="61" t="s">
        <v>163</v>
      </c>
      <c r="H109" s="385" t="s">
        <v>1202</v>
      </c>
      <c r="I109" s="47">
        <v>83426429</v>
      </c>
      <c r="J109" s="510" t="s">
        <v>154</v>
      </c>
      <c r="K109" s="63">
        <v>0.6</v>
      </c>
      <c r="L109" s="207">
        <f>2261-222</f>
        <v>2039</v>
      </c>
      <c r="M109" s="203"/>
      <c r="N109" s="203"/>
      <c r="O109" s="204">
        <f t="shared" si="5"/>
        <v>2039</v>
      </c>
      <c r="P109" s="2"/>
    </row>
    <row r="110" spans="1:16" ht="29.25">
      <c r="A110" s="278" t="s">
        <v>11</v>
      </c>
      <c r="B110" s="61" t="s">
        <v>12</v>
      </c>
      <c r="C110" s="61" t="s">
        <v>361</v>
      </c>
      <c r="D110" s="61" t="s">
        <v>199</v>
      </c>
      <c r="E110" s="56"/>
      <c r="F110" s="56" t="s">
        <v>164</v>
      </c>
      <c r="G110" s="61" t="s">
        <v>163</v>
      </c>
      <c r="H110" s="385" t="s">
        <v>1192</v>
      </c>
      <c r="I110" s="47">
        <v>83426462</v>
      </c>
      <c r="J110" s="510" t="s">
        <v>154</v>
      </c>
      <c r="K110" s="63">
        <v>1.5</v>
      </c>
      <c r="L110" s="207">
        <f>5970-512</f>
        <v>5458</v>
      </c>
      <c r="M110" s="203"/>
      <c r="N110" s="203"/>
      <c r="O110" s="204">
        <f t="shared" si="5"/>
        <v>5458</v>
      </c>
      <c r="P110" s="2"/>
    </row>
    <row r="111" spans="1:16" ht="29.25">
      <c r="A111" s="278" t="s">
        <v>11</v>
      </c>
      <c r="B111" s="61" t="s">
        <v>12</v>
      </c>
      <c r="C111" s="61" t="s">
        <v>361</v>
      </c>
      <c r="D111" s="56"/>
      <c r="E111" s="56"/>
      <c r="F111" s="56" t="s">
        <v>164</v>
      </c>
      <c r="G111" s="61" t="s">
        <v>163</v>
      </c>
      <c r="H111" s="385" t="s">
        <v>1193</v>
      </c>
      <c r="I111" s="47">
        <v>83426463</v>
      </c>
      <c r="J111" s="510" t="s">
        <v>154</v>
      </c>
      <c r="K111" s="63">
        <v>2.1</v>
      </c>
      <c r="L111" s="207">
        <f>5941-599</f>
        <v>5342</v>
      </c>
      <c r="M111" s="203"/>
      <c r="N111" s="203"/>
      <c r="O111" s="204">
        <f t="shared" si="5"/>
        <v>5342</v>
      </c>
      <c r="P111" s="2"/>
    </row>
    <row r="112" spans="1:16" ht="29.25">
      <c r="A112" s="278" t="s">
        <v>11</v>
      </c>
      <c r="B112" s="61" t="s">
        <v>12</v>
      </c>
      <c r="C112" s="61" t="s">
        <v>360</v>
      </c>
      <c r="D112" s="56"/>
      <c r="E112" s="56"/>
      <c r="F112" s="56" t="s">
        <v>164</v>
      </c>
      <c r="G112" s="61" t="s">
        <v>163</v>
      </c>
      <c r="H112" s="385" t="s">
        <v>1194</v>
      </c>
      <c r="I112" s="47">
        <v>1393864</v>
      </c>
      <c r="J112" s="510" t="s">
        <v>154</v>
      </c>
      <c r="K112" s="63">
        <v>0.9</v>
      </c>
      <c r="L112" s="207">
        <f>(4790-4043)+(9120-6895)+(8654-5252)</f>
        <v>6374</v>
      </c>
      <c r="M112" s="203"/>
      <c r="N112" s="203"/>
      <c r="O112" s="204">
        <f t="shared" si="5"/>
        <v>6374</v>
      </c>
      <c r="P112" s="2"/>
    </row>
    <row r="113" spans="1:16" ht="29.25">
      <c r="A113" s="278" t="s">
        <v>11</v>
      </c>
      <c r="B113" s="61" t="s">
        <v>12</v>
      </c>
      <c r="C113" s="61" t="s">
        <v>366</v>
      </c>
      <c r="D113" s="56"/>
      <c r="E113" s="56"/>
      <c r="F113" s="56" t="s">
        <v>164</v>
      </c>
      <c r="G113" s="61" t="s">
        <v>163</v>
      </c>
      <c r="H113" s="385" t="s">
        <v>1195</v>
      </c>
      <c r="I113" s="47">
        <v>83426460</v>
      </c>
      <c r="J113" s="510" t="s">
        <v>154</v>
      </c>
      <c r="K113" s="63">
        <v>2.2</v>
      </c>
      <c r="L113" s="207">
        <f>4426-424</f>
        <v>4002</v>
      </c>
      <c r="M113" s="203"/>
      <c r="N113" s="203"/>
      <c r="O113" s="204">
        <f t="shared" si="5"/>
        <v>4002</v>
      </c>
      <c r="P113" s="2"/>
    </row>
    <row r="114" spans="1:16" ht="29.25">
      <c r="A114" s="278" t="s">
        <v>11</v>
      </c>
      <c r="B114" s="61" t="s">
        <v>12</v>
      </c>
      <c r="C114" s="61" t="s">
        <v>366</v>
      </c>
      <c r="D114" s="56"/>
      <c r="E114" s="56">
        <v>22</v>
      </c>
      <c r="F114" s="56" t="s">
        <v>164</v>
      </c>
      <c r="G114" s="61" t="s">
        <v>163</v>
      </c>
      <c r="H114" s="385" t="s">
        <v>1196</v>
      </c>
      <c r="I114" s="47">
        <v>1399802</v>
      </c>
      <c r="J114" s="510" t="s">
        <v>154</v>
      </c>
      <c r="K114" s="63">
        <v>1.5</v>
      </c>
      <c r="L114" s="207">
        <f>(4794-4014)+(9480-7303)+(11167-7203)</f>
        <v>6921</v>
      </c>
      <c r="M114" s="203"/>
      <c r="N114" s="203"/>
      <c r="O114" s="204">
        <f t="shared" si="5"/>
        <v>6921</v>
      </c>
      <c r="P114" s="2"/>
    </row>
    <row r="115" spans="1:16" ht="29.25">
      <c r="A115" s="278" t="s">
        <v>11</v>
      </c>
      <c r="B115" s="61" t="s">
        <v>12</v>
      </c>
      <c r="C115" s="61" t="s">
        <v>366</v>
      </c>
      <c r="D115" s="56"/>
      <c r="E115" s="56"/>
      <c r="F115" s="56" t="s">
        <v>164</v>
      </c>
      <c r="G115" s="61" t="s">
        <v>163</v>
      </c>
      <c r="H115" s="385" t="s">
        <v>1197</v>
      </c>
      <c r="I115" s="47">
        <v>83426537</v>
      </c>
      <c r="J115" s="510" t="s">
        <v>154</v>
      </c>
      <c r="K115" s="63">
        <v>2.2</v>
      </c>
      <c r="L115" s="207">
        <f>(3192-328)*2</f>
        <v>5728</v>
      </c>
      <c r="M115" s="203"/>
      <c r="N115" s="203"/>
      <c r="O115" s="204">
        <f t="shared" si="5"/>
        <v>5728</v>
      </c>
      <c r="P115" s="2"/>
    </row>
    <row r="116" spans="1:16" ht="29.25">
      <c r="A116" s="278" t="s">
        <v>11</v>
      </c>
      <c r="B116" s="61" t="s">
        <v>12</v>
      </c>
      <c r="C116" s="61" t="s">
        <v>305</v>
      </c>
      <c r="D116" s="56"/>
      <c r="E116" s="56"/>
      <c r="F116" s="56" t="s">
        <v>164</v>
      </c>
      <c r="G116" s="61" t="s">
        <v>163</v>
      </c>
      <c r="H116" s="385" t="s">
        <v>1198</v>
      </c>
      <c r="I116" s="47">
        <v>1398828</v>
      </c>
      <c r="J116" s="510" t="s">
        <v>154</v>
      </c>
      <c r="K116" s="63">
        <v>2.2</v>
      </c>
      <c r="L116" s="207">
        <f>(5458-4622)+(10584-8203)+(11398-7665)</f>
        <v>6950</v>
      </c>
      <c r="M116" s="203"/>
      <c r="N116" s="203"/>
      <c r="O116" s="204">
        <f t="shared" si="5"/>
        <v>6950</v>
      </c>
      <c r="P116" s="2"/>
    </row>
    <row r="117" spans="1:16" ht="29.25">
      <c r="A117" s="278" t="s">
        <v>11</v>
      </c>
      <c r="B117" s="61" t="s">
        <v>12</v>
      </c>
      <c r="C117" s="61" t="s">
        <v>305</v>
      </c>
      <c r="D117" s="56"/>
      <c r="E117" s="56"/>
      <c r="F117" s="56" t="s">
        <v>164</v>
      </c>
      <c r="G117" s="61" t="s">
        <v>163</v>
      </c>
      <c r="H117" s="385" t="s">
        <v>1199</v>
      </c>
      <c r="I117" s="47">
        <v>83425927</v>
      </c>
      <c r="J117" s="510" t="s">
        <v>154</v>
      </c>
      <c r="K117" s="63">
        <v>2.2</v>
      </c>
      <c r="L117" s="207">
        <f>16154-1548</f>
        <v>14606</v>
      </c>
      <c r="M117" s="203"/>
      <c r="N117" s="203"/>
      <c r="O117" s="204">
        <f t="shared" si="5"/>
        <v>14606</v>
      </c>
      <c r="P117" s="2"/>
    </row>
    <row r="118" spans="1:16" ht="29.25">
      <c r="A118" s="278" t="s">
        <v>11</v>
      </c>
      <c r="B118" s="61" t="s">
        <v>12</v>
      </c>
      <c r="C118" s="61" t="s">
        <v>1981</v>
      </c>
      <c r="D118" s="61" t="s">
        <v>1743</v>
      </c>
      <c r="E118" s="56"/>
      <c r="F118" s="56" t="s">
        <v>164</v>
      </c>
      <c r="G118" s="61" t="s">
        <v>163</v>
      </c>
      <c r="H118" s="385" t="s">
        <v>1095</v>
      </c>
      <c r="I118" s="47">
        <v>1404293</v>
      </c>
      <c r="J118" s="510" t="s">
        <v>154</v>
      </c>
      <c r="K118" s="63">
        <v>3</v>
      </c>
      <c r="L118" s="207">
        <f>210*12</f>
        <v>2520</v>
      </c>
      <c r="M118" s="203"/>
      <c r="N118" s="203"/>
      <c r="O118" s="204">
        <f t="shared" si="5"/>
        <v>2520</v>
      </c>
      <c r="P118" s="2"/>
    </row>
    <row r="119" spans="1:16" ht="29.25">
      <c r="A119" s="278" t="s">
        <v>11</v>
      </c>
      <c r="B119" s="61" t="s">
        <v>12</v>
      </c>
      <c r="C119" s="61" t="s">
        <v>367</v>
      </c>
      <c r="D119" s="56"/>
      <c r="E119" s="56"/>
      <c r="F119" s="56" t="s">
        <v>164</v>
      </c>
      <c r="G119" s="61" t="s">
        <v>163</v>
      </c>
      <c r="H119" s="385" t="s">
        <v>1096</v>
      </c>
      <c r="I119" s="47">
        <v>83426435</v>
      </c>
      <c r="J119" s="510" t="s">
        <v>154</v>
      </c>
      <c r="K119" s="63">
        <v>1.4</v>
      </c>
      <c r="L119" s="207">
        <f>8609-872</f>
        <v>7737</v>
      </c>
      <c r="M119" s="203"/>
      <c r="N119" s="203"/>
      <c r="O119" s="204">
        <f t="shared" si="5"/>
        <v>7737</v>
      </c>
      <c r="P119" s="2"/>
    </row>
    <row r="120" spans="1:19" ht="29.25">
      <c r="A120" s="278" t="s">
        <v>11</v>
      </c>
      <c r="B120" s="61" t="s">
        <v>12</v>
      </c>
      <c r="C120" s="61" t="s">
        <v>355</v>
      </c>
      <c r="D120" s="56"/>
      <c r="E120" s="56"/>
      <c r="F120" s="56" t="s">
        <v>164</v>
      </c>
      <c r="G120" s="61" t="s">
        <v>163</v>
      </c>
      <c r="H120" s="385" t="s">
        <v>1181</v>
      </c>
      <c r="I120" s="47">
        <v>1494941</v>
      </c>
      <c r="J120" s="510" t="s">
        <v>154</v>
      </c>
      <c r="K120" s="418">
        <v>0.3</v>
      </c>
      <c r="L120" s="207">
        <f>1506-288</f>
        <v>1218</v>
      </c>
      <c r="M120" s="203"/>
      <c r="N120" s="203"/>
      <c r="O120" s="204">
        <f aca="true" t="shared" si="6" ref="O120:O127">L120</f>
        <v>1218</v>
      </c>
      <c r="P120" s="2"/>
      <c r="S120" s="21"/>
    </row>
    <row r="121" spans="1:16" ht="29.25">
      <c r="A121" s="278" t="s">
        <v>11</v>
      </c>
      <c r="B121" s="61" t="s">
        <v>12</v>
      </c>
      <c r="C121" s="61" t="s">
        <v>338</v>
      </c>
      <c r="D121" s="56"/>
      <c r="E121" s="56"/>
      <c r="F121" s="56" t="s">
        <v>164</v>
      </c>
      <c r="G121" s="61" t="s">
        <v>163</v>
      </c>
      <c r="H121" s="385" t="s">
        <v>1156</v>
      </c>
      <c r="I121" s="47">
        <v>1387592</v>
      </c>
      <c r="J121" s="510" t="s">
        <v>154</v>
      </c>
      <c r="K121" s="418">
        <v>3.7</v>
      </c>
      <c r="L121" s="207">
        <f>33661-4502</f>
        <v>29159</v>
      </c>
      <c r="M121" s="203"/>
      <c r="N121" s="203"/>
      <c r="O121" s="204">
        <f t="shared" si="6"/>
        <v>29159</v>
      </c>
      <c r="P121" s="2"/>
    </row>
    <row r="122" spans="1:16" ht="29.25">
      <c r="A122" s="278" t="s">
        <v>11</v>
      </c>
      <c r="B122" s="61" t="s">
        <v>12</v>
      </c>
      <c r="C122" s="61" t="s">
        <v>332</v>
      </c>
      <c r="D122" s="56"/>
      <c r="E122" s="56"/>
      <c r="F122" s="56" t="s">
        <v>164</v>
      </c>
      <c r="G122" s="61" t="s">
        <v>163</v>
      </c>
      <c r="H122" s="385" t="s">
        <v>1142</v>
      </c>
      <c r="I122" s="47">
        <v>90695786</v>
      </c>
      <c r="J122" s="510" t="s">
        <v>154</v>
      </c>
      <c r="K122" s="63">
        <v>1</v>
      </c>
      <c r="L122" s="207">
        <f>(2682-1986)+(4856-3325)+(1467-14)</f>
        <v>3680</v>
      </c>
      <c r="M122" s="203"/>
      <c r="N122" s="203"/>
      <c r="O122" s="204">
        <f t="shared" si="6"/>
        <v>3680</v>
      </c>
      <c r="P122" s="2"/>
    </row>
    <row r="123" spans="1:16" ht="29.25">
      <c r="A123" s="278" t="s">
        <v>11</v>
      </c>
      <c r="B123" s="61" t="s">
        <v>12</v>
      </c>
      <c r="C123" s="61" t="s">
        <v>333</v>
      </c>
      <c r="D123" s="61" t="s">
        <v>139</v>
      </c>
      <c r="E123" s="56"/>
      <c r="F123" s="56" t="s">
        <v>164</v>
      </c>
      <c r="G123" s="61" t="s">
        <v>163</v>
      </c>
      <c r="H123" s="385" t="s">
        <v>1144</v>
      </c>
      <c r="I123" s="47">
        <v>83425933</v>
      </c>
      <c r="J123" s="510" t="s">
        <v>154</v>
      </c>
      <c r="K123" s="209">
        <v>0.7</v>
      </c>
      <c r="L123" s="207">
        <f>3774-376</f>
        <v>3398</v>
      </c>
      <c r="M123" s="203"/>
      <c r="N123" s="203"/>
      <c r="O123" s="204">
        <f t="shared" si="6"/>
        <v>3398</v>
      </c>
      <c r="P123" s="2"/>
    </row>
    <row r="124" spans="1:16" ht="29.25">
      <c r="A124" s="278" t="s">
        <v>11</v>
      </c>
      <c r="B124" s="65" t="s">
        <v>12</v>
      </c>
      <c r="C124" s="65" t="s">
        <v>368</v>
      </c>
      <c r="D124" s="57"/>
      <c r="E124" s="57"/>
      <c r="F124" s="56" t="s">
        <v>164</v>
      </c>
      <c r="G124" s="61" t="s">
        <v>163</v>
      </c>
      <c r="H124" s="385" t="s">
        <v>1121</v>
      </c>
      <c r="I124" s="47">
        <v>1403588</v>
      </c>
      <c r="J124" s="510" t="s">
        <v>154</v>
      </c>
      <c r="K124" s="63">
        <v>2.2</v>
      </c>
      <c r="L124" s="207">
        <f>(6025-5174)+(12016-8674)+(10987)</f>
        <v>15180</v>
      </c>
      <c r="M124" s="203"/>
      <c r="N124" s="203"/>
      <c r="O124" s="204">
        <f t="shared" si="6"/>
        <v>15180</v>
      </c>
      <c r="P124" s="2"/>
    </row>
    <row r="125" spans="1:16" ht="29.25">
      <c r="A125" s="278" t="s">
        <v>11</v>
      </c>
      <c r="B125" s="61" t="s">
        <v>12</v>
      </c>
      <c r="C125" s="61" t="s">
        <v>310</v>
      </c>
      <c r="D125" s="61" t="s">
        <v>369</v>
      </c>
      <c r="E125" s="56">
        <v>178</v>
      </c>
      <c r="F125" s="56" t="s">
        <v>164</v>
      </c>
      <c r="G125" s="61" t="s">
        <v>163</v>
      </c>
      <c r="H125" s="385" t="s">
        <v>1180</v>
      </c>
      <c r="I125" s="47">
        <v>1403587</v>
      </c>
      <c r="J125" s="510" t="s">
        <v>154</v>
      </c>
      <c r="K125" s="63">
        <v>3.3</v>
      </c>
      <c r="L125" s="207">
        <f>(5448-374)*2</f>
        <v>10148</v>
      </c>
      <c r="M125" s="203"/>
      <c r="N125" s="203"/>
      <c r="O125" s="204">
        <f t="shared" si="6"/>
        <v>10148</v>
      </c>
      <c r="P125" s="2"/>
    </row>
    <row r="126" spans="1:16" ht="29.25">
      <c r="A126" s="277" t="s">
        <v>11</v>
      </c>
      <c r="B126" s="187" t="s">
        <v>1318</v>
      </c>
      <c r="C126" s="208" t="s">
        <v>331</v>
      </c>
      <c r="D126" s="200" t="s">
        <v>81</v>
      </c>
      <c r="E126" s="211"/>
      <c r="F126" s="43" t="s">
        <v>164</v>
      </c>
      <c r="G126" s="23" t="s">
        <v>163</v>
      </c>
      <c r="H126" s="508" t="s">
        <v>1748</v>
      </c>
      <c r="I126" s="243">
        <v>1404288</v>
      </c>
      <c r="J126" s="510" t="s">
        <v>154</v>
      </c>
      <c r="K126" s="209">
        <v>2.9</v>
      </c>
      <c r="L126" s="207">
        <f>10716-2131</f>
        <v>8585</v>
      </c>
      <c r="M126" s="203"/>
      <c r="N126" s="203"/>
      <c r="O126" s="204">
        <f t="shared" si="6"/>
        <v>8585</v>
      </c>
      <c r="P126" s="2"/>
    </row>
    <row r="127" spans="1:16" ht="29.25">
      <c r="A127" s="277" t="s">
        <v>11</v>
      </c>
      <c r="B127" s="186" t="s">
        <v>1318</v>
      </c>
      <c r="C127" s="205" t="s">
        <v>331</v>
      </c>
      <c r="D127" s="62"/>
      <c r="E127" s="210"/>
      <c r="F127" s="47" t="s">
        <v>164</v>
      </c>
      <c r="G127" s="27" t="s">
        <v>163</v>
      </c>
      <c r="H127" s="508" t="s">
        <v>1766</v>
      </c>
      <c r="I127" s="73"/>
      <c r="J127" s="159" t="s">
        <v>154</v>
      </c>
      <c r="K127" s="206">
        <v>2.7</v>
      </c>
      <c r="L127" s="513">
        <v>15396</v>
      </c>
      <c r="M127" s="203"/>
      <c r="N127" s="203"/>
      <c r="O127" s="204">
        <f t="shared" si="6"/>
        <v>15396</v>
      </c>
      <c r="P127" s="2"/>
    </row>
    <row r="128" spans="1:16" ht="29.25">
      <c r="A128" s="278" t="s">
        <v>11</v>
      </c>
      <c r="B128" s="186" t="s">
        <v>1318</v>
      </c>
      <c r="C128" s="186" t="s">
        <v>334</v>
      </c>
      <c r="D128" s="62"/>
      <c r="E128" s="210"/>
      <c r="F128" s="47" t="s">
        <v>164</v>
      </c>
      <c r="G128" s="27" t="s">
        <v>163</v>
      </c>
      <c r="H128" s="504" t="s">
        <v>1749</v>
      </c>
      <c r="I128" s="73">
        <v>1398819</v>
      </c>
      <c r="J128" s="159" t="s">
        <v>154</v>
      </c>
      <c r="K128" s="206">
        <v>0.4</v>
      </c>
      <c r="L128" s="207">
        <f>(3653-3254)+(7586-7145)</f>
        <v>840</v>
      </c>
      <c r="M128" s="203"/>
      <c r="N128" s="203"/>
      <c r="O128" s="204">
        <f>L128</f>
        <v>840</v>
      </c>
      <c r="P128" s="2"/>
    </row>
    <row r="129" spans="1:16" ht="29.25">
      <c r="A129" s="278" t="s">
        <v>11</v>
      </c>
      <c r="B129" s="186" t="s">
        <v>1318</v>
      </c>
      <c r="C129" s="186" t="s">
        <v>316</v>
      </c>
      <c r="D129" s="62" t="s">
        <v>363</v>
      </c>
      <c r="E129" s="56"/>
      <c r="F129" s="47" t="s">
        <v>164</v>
      </c>
      <c r="G129" s="27" t="s">
        <v>163</v>
      </c>
      <c r="H129" s="504" t="s">
        <v>1746</v>
      </c>
      <c r="I129" s="73">
        <v>83426488</v>
      </c>
      <c r="J129" s="159" t="s">
        <v>154</v>
      </c>
      <c r="K129" s="206">
        <v>0.5</v>
      </c>
      <c r="L129" s="207">
        <f>(2881-782)*2</f>
        <v>4198</v>
      </c>
      <c r="M129" s="203"/>
      <c r="N129" s="203"/>
      <c r="O129" s="204">
        <f>L129</f>
        <v>4198</v>
      </c>
      <c r="P129" s="2"/>
    </row>
    <row r="130" spans="1:16" ht="29.25">
      <c r="A130" s="278" t="s">
        <v>11</v>
      </c>
      <c r="B130" s="186" t="s">
        <v>1318</v>
      </c>
      <c r="C130" s="186" t="s">
        <v>163</v>
      </c>
      <c r="D130" s="62" t="s">
        <v>1319</v>
      </c>
      <c r="E130" s="56"/>
      <c r="F130" s="47" t="s">
        <v>164</v>
      </c>
      <c r="G130" s="27" t="s">
        <v>163</v>
      </c>
      <c r="H130" s="504" t="s">
        <v>1744</v>
      </c>
      <c r="I130" s="73">
        <v>90695874</v>
      </c>
      <c r="J130" s="159" t="s">
        <v>154</v>
      </c>
      <c r="K130" s="206">
        <v>12</v>
      </c>
      <c r="L130" s="207">
        <f>(34310-32649)+7848-14</f>
        <v>9495</v>
      </c>
      <c r="M130" s="203"/>
      <c r="N130" s="203"/>
      <c r="O130" s="204">
        <f>SUM(L130:N130)</f>
        <v>9495</v>
      </c>
      <c r="P130" s="2"/>
    </row>
    <row r="131" spans="1:16" ht="43.5">
      <c r="A131" s="278" t="s">
        <v>11</v>
      </c>
      <c r="B131" s="334" t="s">
        <v>1320</v>
      </c>
      <c r="C131" s="334" t="s">
        <v>316</v>
      </c>
      <c r="D131" s="335" t="s">
        <v>209</v>
      </c>
      <c r="E131" s="57"/>
      <c r="F131" s="47" t="s">
        <v>164</v>
      </c>
      <c r="G131" s="27" t="s">
        <v>163</v>
      </c>
      <c r="H131" s="504" t="s">
        <v>1745</v>
      </c>
      <c r="I131" s="73">
        <v>90695804</v>
      </c>
      <c r="J131" s="509" t="s">
        <v>154</v>
      </c>
      <c r="K131" s="206">
        <v>20</v>
      </c>
      <c r="L131" s="207">
        <f>(91909-64218)+19552</f>
        <v>47243</v>
      </c>
      <c r="M131" s="203"/>
      <c r="N131" s="203"/>
      <c r="O131" s="204">
        <f>SUM(L131:N131)</f>
        <v>47243</v>
      </c>
      <c r="P131" s="2"/>
    </row>
    <row r="132" spans="1:16" ht="29.25">
      <c r="A132" s="410" t="s">
        <v>11</v>
      </c>
      <c r="B132" s="32" t="s">
        <v>12</v>
      </c>
      <c r="C132" s="32" t="s">
        <v>351</v>
      </c>
      <c r="D132" s="32" t="s">
        <v>1743</v>
      </c>
      <c r="E132" s="32" t="s">
        <v>371</v>
      </c>
      <c r="F132" s="50" t="s">
        <v>164</v>
      </c>
      <c r="G132" s="32" t="s">
        <v>163</v>
      </c>
      <c r="H132" s="386" t="s">
        <v>1201</v>
      </c>
      <c r="I132" s="50">
        <v>1404282</v>
      </c>
      <c r="J132" s="509" t="s">
        <v>154</v>
      </c>
      <c r="K132" s="505">
        <v>0.4</v>
      </c>
      <c r="L132" s="207">
        <f>190*12</f>
        <v>2280</v>
      </c>
      <c r="M132" s="203"/>
      <c r="N132" s="203"/>
      <c r="O132" s="204">
        <f>SUM(L132:N132)</f>
        <v>2280</v>
      </c>
      <c r="P132" s="2"/>
    </row>
    <row r="133" spans="1:16" ht="29.25">
      <c r="A133" s="278" t="s">
        <v>11</v>
      </c>
      <c r="B133" s="32" t="s">
        <v>12</v>
      </c>
      <c r="C133" s="32" t="s">
        <v>357</v>
      </c>
      <c r="D133" s="32" t="s">
        <v>191</v>
      </c>
      <c r="E133" s="32"/>
      <c r="F133" s="47" t="s">
        <v>164</v>
      </c>
      <c r="G133" s="27" t="s">
        <v>163</v>
      </c>
      <c r="H133" s="504" t="s">
        <v>1964</v>
      </c>
      <c r="I133" s="47">
        <v>1441106</v>
      </c>
      <c r="J133" s="159" t="s">
        <v>154</v>
      </c>
      <c r="K133" s="49">
        <v>1.1</v>
      </c>
      <c r="L133" s="30">
        <f>500*12</f>
        <v>6000</v>
      </c>
      <c r="M133" s="203"/>
      <c r="N133" s="203"/>
      <c r="O133" s="30">
        <f aca="true" t="shared" si="7" ref="O133:O150">L133</f>
        <v>6000</v>
      </c>
      <c r="P133" s="2"/>
    </row>
    <row r="134" spans="1:16" ht="29.25">
      <c r="A134" s="278" t="s">
        <v>11</v>
      </c>
      <c r="B134" s="32" t="s">
        <v>12</v>
      </c>
      <c r="C134" s="32" t="s">
        <v>321</v>
      </c>
      <c r="D134" s="32" t="s">
        <v>504</v>
      </c>
      <c r="E134" s="32"/>
      <c r="F134" s="50" t="s">
        <v>164</v>
      </c>
      <c r="G134" s="27" t="s">
        <v>163</v>
      </c>
      <c r="H134" s="504" t="s">
        <v>1965</v>
      </c>
      <c r="I134" s="47">
        <v>1502946</v>
      </c>
      <c r="J134" s="159" t="s">
        <v>154</v>
      </c>
      <c r="K134" s="49">
        <v>3</v>
      </c>
      <c r="L134" s="30">
        <f>140*12</f>
        <v>1680</v>
      </c>
      <c r="M134" s="203"/>
      <c r="N134" s="203"/>
      <c r="O134" s="30">
        <f t="shared" si="7"/>
        <v>1680</v>
      </c>
      <c r="P134" s="2"/>
    </row>
    <row r="135" spans="1:16" ht="29.25">
      <c r="A135" s="278" t="s">
        <v>11</v>
      </c>
      <c r="B135" s="32" t="s">
        <v>12</v>
      </c>
      <c r="C135" s="32" t="s">
        <v>316</v>
      </c>
      <c r="D135" s="32" t="s">
        <v>1966</v>
      </c>
      <c r="E135" s="32"/>
      <c r="F135" s="47" t="s">
        <v>164</v>
      </c>
      <c r="G135" s="27" t="s">
        <v>163</v>
      </c>
      <c r="H135" s="504" t="s">
        <v>1967</v>
      </c>
      <c r="I135" s="47">
        <v>1502949</v>
      </c>
      <c r="J135" s="159" t="s">
        <v>154</v>
      </c>
      <c r="K135" s="49">
        <v>0.3</v>
      </c>
      <c r="L135" s="30">
        <f>74*12</f>
        <v>888</v>
      </c>
      <c r="M135" s="203"/>
      <c r="N135" s="203"/>
      <c r="O135" s="30">
        <f t="shared" si="7"/>
        <v>888</v>
      </c>
      <c r="P135" s="2"/>
    </row>
    <row r="136" spans="1:16" ht="29.25">
      <c r="A136" s="278" t="s">
        <v>11</v>
      </c>
      <c r="B136" s="32" t="s">
        <v>12</v>
      </c>
      <c r="C136" s="32" t="s">
        <v>316</v>
      </c>
      <c r="D136" s="32" t="s">
        <v>1966</v>
      </c>
      <c r="E136" s="32"/>
      <c r="F136" s="50" t="s">
        <v>164</v>
      </c>
      <c r="G136" s="27" t="s">
        <v>163</v>
      </c>
      <c r="H136" s="504" t="s">
        <v>1968</v>
      </c>
      <c r="I136" s="47">
        <v>1442091</v>
      </c>
      <c r="J136" s="159" t="s">
        <v>154</v>
      </c>
      <c r="K136" s="49">
        <v>0.5</v>
      </c>
      <c r="L136" s="30">
        <f>55*12</f>
        <v>660</v>
      </c>
      <c r="M136" s="203"/>
      <c r="N136" s="203"/>
      <c r="O136" s="30">
        <f t="shared" si="7"/>
        <v>660</v>
      </c>
      <c r="P136" s="2"/>
    </row>
    <row r="137" spans="1:16" ht="29.25">
      <c r="A137" s="278" t="s">
        <v>11</v>
      </c>
      <c r="B137" s="32" t="s">
        <v>12</v>
      </c>
      <c r="C137" s="32" t="s">
        <v>321</v>
      </c>
      <c r="D137" s="32"/>
      <c r="E137" s="32"/>
      <c r="F137" s="50" t="s">
        <v>164</v>
      </c>
      <c r="G137" s="27" t="s">
        <v>163</v>
      </c>
      <c r="H137" s="504" t="s">
        <v>1969</v>
      </c>
      <c r="I137" s="47">
        <v>1503521</v>
      </c>
      <c r="J137" s="159" t="s">
        <v>154</v>
      </c>
      <c r="K137" s="49">
        <v>0.2</v>
      </c>
      <c r="L137" s="30">
        <f>98*12</f>
        <v>1176</v>
      </c>
      <c r="M137" s="203"/>
      <c r="N137" s="203"/>
      <c r="O137" s="30">
        <f t="shared" si="7"/>
        <v>1176</v>
      </c>
      <c r="P137" s="2"/>
    </row>
    <row r="138" spans="1:16" ht="29.25">
      <c r="A138" s="278" t="s">
        <v>11</v>
      </c>
      <c r="B138" s="32" t="s">
        <v>12</v>
      </c>
      <c r="C138" s="32" t="s">
        <v>321</v>
      </c>
      <c r="D138" s="32"/>
      <c r="E138" s="32"/>
      <c r="F138" s="50" t="s">
        <v>164</v>
      </c>
      <c r="G138" s="27" t="s">
        <v>163</v>
      </c>
      <c r="H138" s="504" t="s">
        <v>1970</v>
      </c>
      <c r="I138" s="47">
        <v>1503043</v>
      </c>
      <c r="J138" s="159" t="s">
        <v>154</v>
      </c>
      <c r="K138" s="49">
        <v>1.1</v>
      </c>
      <c r="L138" s="30">
        <f>330*12</f>
        <v>3960</v>
      </c>
      <c r="M138" s="203"/>
      <c r="N138" s="203"/>
      <c r="O138" s="30">
        <f t="shared" si="7"/>
        <v>3960</v>
      </c>
      <c r="P138" s="2"/>
    </row>
    <row r="139" spans="1:16" ht="29.25">
      <c r="A139" s="278" t="s">
        <v>11</v>
      </c>
      <c r="B139" s="32" t="s">
        <v>12</v>
      </c>
      <c r="C139" s="32" t="s">
        <v>333</v>
      </c>
      <c r="D139" s="32" t="s">
        <v>1716</v>
      </c>
      <c r="E139" s="32"/>
      <c r="F139" s="50" t="s">
        <v>164</v>
      </c>
      <c r="G139" s="27" t="s">
        <v>163</v>
      </c>
      <c r="H139" s="504" t="s">
        <v>1971</v>
      </c>
      <c r="I139" s="47">
        <v>1494593</v>
      </c>
      <c r="J139" s="159" t="s">
        <v>154</v>
      </c>
      <c r="K139" s="49">
        <v>2</v>
      </c>
      <c r="L139" s="30">
        <f>31*12</f>
        <v>372</v>
      </c>
      <c r="M139" s="203"/>
      <c r="N139" s="203"/>
      <c r="O139" s="30">
        <f t="shared" si="7"/>
        <v>372</v>
      </c>
      <c r="P139" s="2"/>
    </row>
    <row r="140" spans="1:16" ht="29.25">
      <c r="A140" s="278" t="s">
        <v>11</v>
      </c>
      <c r="B140" s="32" t="s">
        <v>12</v>
      </c>
      <c r="C140" s="32" t="s">
        <v>1972</v>
      </c>
      <c r="D140" s="32" t="s">
        <v>61</v>
      </c>
      <c r="E140" s="32"/>
      <c r="F140" s="50" t="s">
        <v>164</v>
      </c>
      <c r="G140" s="27" t="s">
        <v>163</v>
      </c>
      <c r="H140" s="504" t="s">
        <v>1973</v>
      </c>
      <c r="I140" s="47">
        <v>83638305</v>
      </c>
      <c r="J140" s="159" t="s">
        <v>154</v>
      </c>
      <c r="K140" s="49">
        <v>0.5</v>
      </c>
      <c r="L140" s="30">
        <f>21*12</f>
        <v>252</v>
      </c>
      <c r="M140" s="203"/>
      <c r="N140" s="203"/>
      <c r="O140" s="30">
        <f t="shared" si="7"/>
        <v>252</v>
      </c>
      <c r="P140" s="2"/>
    </row>
    <row r="141" spans="1:16" ht="29.25">
      <c r="A141" s="278" t="s">
        <v>11</v>
      </c>
      <c r="B141" s="32" t="s">
        <v>12</v>
      </c>
      <c r="C141" s="32" t="s">
        <v>316</v>
      </c>
      <c r="D141" s="32" t="s">
        <v>339</v>
      </c>
      <c r="E141" s="32"/>
      <c r="F141" s="50" t="s">
        <v>164</v>
      </c>
      <c r="G141" s="27" t="s">
        <v>163</v>
      </c>
      <c r="H141" s="504" t="s">
        <v>1974</v>
      </c>
      <c r="I141" s="47">
        <v>1577794</v>
      </c>
      <c r="J141" s="511" t="s">
        <v>154</v>
      </c>
      <c r="K141" s="49">
        <v>2.3</v>
      </c>
      <c r="L141" s="30">
        <f>570*12</f>
        <v>6840</v>
      </c>
      <c r="M141" s="203"/>
      <c r="N141" s="203"/>
      <c r="O141" s="30">
        <f t="shared" si="7"/>
        <v>6840</v>
      </c>
      <c r="P141" s="2"/>
    </row>
    <row r="142" spans="1:16" ht="29.25">
      <c r="A142" s="410" t="s">
        <v>11</v>
      </c>
      <c r="B142" s="32" t="s">
        <v>12</v>
      </c>
      <c r="C142" s="32" t="s">
        <v>305</v>
      </c>
      <c r="D142" s="32" t="s">
        <v>61</v>
      </c>
      <c r="E142" s="32"/>
      <c r="F142" s="50" t="s">
        <v>164</v>
      </c>
      <c r="G142" s="32" t="s">
        <v>163</v>
      </c>
      <c r="H142" s="506" t="s">
        <v>1975</v>
      </c>
      <c r="I142" s="50">
        <v>1494596</v>
      </c>
      <c r="J142" s="512" t="s">
        <v>154</v>
      </c>
      <c r="K142" s="505">
        <v>0.3</v>
      </c>
      <c r="L142" s="164">
        <f>90*12</f>
        <v>1080</v>
      </c>
      <c r="M142" s="507"/>
      <c r="N142" s="507"/>
      <c r="O142" s="164">
        <f t="shared" si="7"/>
        <v>1080</v>
      </c>
      <c r="P142" s="2"/>
    </row>
    <row r="143" spans="1:16" ht="29.25">
      <c r="A143" s="278" t="s">
        <v>11</v>
      </c>
      <c r="B143" s="27" t="s">
        <v>12</v>
      </c>
      <c r="C143" s="27" t="s">
        <v>1972</v>
      </c>
      <c r="D143" s="27" t="s">
        <v>61</v>
      </c>
      <c r="E143" s="27"/>
      <c r="F143" s="50" t="s">
        <v>164</v>
      </c>
      <c r="G143" s="27" t="s">
        <v>163</v>
      </c>
      <c r="H143" s="504" t="s">
        <v>1976</v>
      </c>
      <c r="I143" s="47">
        <v>1403680</v>
      </c>
      <c r="J143" s="511" t="s">
        <v>154</v>
      </c>
      <c r="K143" s="49">
        <v>2</v>
      </c>
      <c r="L143" s="30">
        <f>33*12</f>
        <v>396</v>
      </c>
      <c r="M143" s="203"/>
      <c r="N143" s="203"/>
      <c r="O143" s="30">
        <f t="shared" si="7"/>
        <v>396</v>
      </c>
      <c r="P143" s="2"/>
    </row>
    <row r="144" spans="1:16" ht="29.25">
      <c r="A144" s="278" t="s">
        <v>11</v>
      </c>
      <c r="B144" s="27" t="s">
        <v>12</v>
      </c>
      <c r="C144" s="27" t="s">
        <v>321</v>
      </c>
      <c r="D144" s="27" t="s">
        <v>504</v>
      </c>
      <c r="E144" s="27"/>
      <c r="F144" s="50" t="s">
        <v>164</v>
      </c>
      <c r="G144" s="27" t="s">
        <v>163</v>
      </c>
      <c r="H144" s="504" t="s">
        <v>1977</v>
      </c>
      <c r="I144" s="47">
        <v>1403390</v>
      </c>
      <c r="J144" s="511" t="s">
        <v>154</v>
      </c>
      <c r="K144" s="49">
        <v>3</v>
      </c>
      <c r="L144" s="30">
        <f>480*12</f>
        <v>5760</v>
      </c>
      <c r="M144" s="203"/>
      <c r="N144" s="203"/>
      <c r="O144" s="30">
        <f t="shared" si="7"/>
        <v>5760</v>
      </c>
      <c r="P144" s="2"/>
    </row>
    <row r="145" spans="1:16" ht="29.25">
      <c r="A145" s="278" t="s">
        <v>11</v>
      </c>
      <c r="B145" s="27" t="s">
        <v>12</v>
      </c>
      <c r="C145" s="27" t="s">
        <v>366</v>
      </c>
      <c r="D145" s="27"/>
      <c r="E145" s="27"/>
      <c r="F145" s="50" t="s">
        <v>164</v>
      </c>
      <c r="G145" s="32" t="s">
        <v>163</v>
      </c>
      <c r="H145" s="504" t="s">
        <v>1978</v>
      </c>
      <c r="I145" s="47">
        <v>83638354</v>
      </c>
      <c r="J145" s="511" t="s">
        <v>154</v>
      </c>
      <c r="K145" s="49">
        <v>1</v>
      </c>
      <c r="L145" s="30">
        <f>190*12</f>
        <v>2280</v>
      </c>
      <c r="M145" s="203"/>
      <c r="N145" s="203"/>
      <c r="O145" s="30">
        <f t="shared" si="7"/>
        <v>2280</v>
      </c>
      <c r="P145" s="2"/>
    </row>
    <row r="146" spans="1:16" ht="86.25">
      <c r="A146" s="278" t="s">
        <v>11</v>
      </c>
      <c r="B146" s="27" t="s">
        <v>12</v>
      </c>
      <c r="C146" s="27" t="s">
        <v>305</v>
      </c>
      <c r="D146" s="27"/>
      <c r="E146" s="27" t="s">
        <v>1979</v>
      </c>
      <c r="F146" s="50" t="s">
        <v>164</v>
      </c>
      <c r="G146" s="27" t="s">
        <v>163</v>
      </c>
      <c r="H146" s="504" t="s">
        <v>1980</v>
      </c>
      <c r="I146" s="47">
        <v>83746675</v>
      </c>
      <c r="J146" s="511" t="s">
        <v>154</v>
      </c>
      <c r="K146" s="49">
        <v>3</v>
      </c>
      <c r="L146" s="30">
        <f>4000</f>
        <v>4000</v>
      </c>
      <c r="M146" s="203"/>
      <c r="N146" s="203"/>
      <c r="O146" s="30">
        <f t="shared" si="7"/>
        <v>4000</v>
      </c>
      <c r="P146" s="2"/>
    </row>
    <row r="147" spans="1:16" ht="28.5">
      <c r="A147" s="278" t="s">
        <v>11</v>
      </c>
      <c r="B147" s="186" t="s">
        <v>1750</v>
      </c>
      <c r="C147" s="283" t="s">
        <v>351</v>
      </c>
      <c r="D147" s="62" t="s">
        <v>1752</v>
      </c>
      <c r="E147" s="62"/>
      <c r="F147" s="62" t="s">
        <v>164</v>
      </c>
      <c r="G147" s="317" t="s">
        <v>163</v>
      </c>
      <c r="H147" s="385" t="s">
        <v>1810</v>
      </c>
      <c r="I147" s="316">
        <v>1398832</v>
      </c>
      <c r="J147" s="319" t="s">
        <v>154</v>
      </c>
      <c r="K147" s="318">
        <v>2</v>
      </c>
      <c r="L147" s="30">
        <f>((2123-1822)+(8872-6687))+(7976-5152)</f>
        <v>5310</v>
      </c>
      <c r="M147" s="203"/>
      <c r="N147" s="203"/>
      <c r="O147" s="30">
        <f t="shared" si="7"/>
        <v>5310</v>
      </c>
      <c r="P147" s="2"/>
    </row>
    <row r="148" spans="1:16" ht="28.5">
      <c r="A148" s="278" t="s">
        <v>11</v>
      </c>
      <c r="B148" s="186" t="s">
        <v>1750</v>
      </c>
      <c r="C148" s="283" t="s">
        <v>367</v>
      </c>
      <c r="D148" s="62"/>
      <c r="E148" s="62"/>
      <c r="F148" s="62" t="s">
        <v>164</v>
      </c>
      <c r="G148" s="317" t="s">
        <v>163</v>
      </c>
      <c r="H148" s="385" t="s">
        <v>1811</v>
      </c>
      <c r="I148" s="316">
        <v>83426426</v>
      </c>
      <c r="J148" s="319" t="s">
        <v>154</v>
      </c>
      <c r="K148" s="318">
        <v>3</v>
      </c>
      <c r="L148" s="207">
        <f>3855-392</f>
        <v>3463</v>
      </c>
      <c r="M148" s="203"/>
      <c r="N148" s="203"/>
      <c r="O148" s="204">
        <f t="shared" si="7"/>
        <v>3463</v>
      </c>
      <c r="P148" s="2"/>
    </row>
    <row r="149" spans="1:16" ht="28.5">
      <c r="A149" s="278" t="s">
        <v>11</v>
      </c>
      <c r="B149" s="186" t="s">
        <v>1750</v>
      </c>
      <c r="C149" s="283" t="s">
        <v>313</v>
      </c>
      <c r="D149" s="62"/>
      <c r="E149" s="62"/>
      <c r="F149" s="62" t="s">
        <v>164</v>
      </c>
      <c r="G149" s="317" t="s">
        <v>163</v>
      </c>
      <c r="H149" s="385" t="s">
        <v>1812</v>
      </c>
      <c r="I149" s="316">
        <v>83426545</v>
      </c>
      <c r="J149" s="319" t="s">
        <v>154</v>
      </c>
      <c r="K149" s="318">
        <v>3</v>
      </c>
      <c r="L149" s="207">
        <f>3315-333</f>
        <v>2982</v>
      </c>
      <c r="M149" s="203"/>
      <c r="N149" s="203"/>
      <c r="O149" s="204">
        <f t="shared" si="7"/>
        <v>2982</v>
      </c>
      <c r="P149" s="2"/>
    </row>
    <row r="150" spans="1:16" ht="28.5">
      <c r="A150" s="278" t="s">
        <v>11</v>
      </c>
      <c r="B150" s="186" t="s">
        <v>1750</v>
      </c>
      <c r="C150" s="283" t="s">
        <v>315</v>
      </c>
      <c r="D150" s="62"/>
      <c r="E150" s="62"/>
      <c r="F150" s="62" t="s">
        <v>164</v>
      </c>
      <c r="G150" s="317" t="s">
        <v>163</v>
      </c>
      <c r="H150" s="385" t="s">
        <v>1813</v>
      </c>
      <c r="I150" s="316">
        <v>83426009</v>
      </c>
      <c r="J150" s="319" t="s">
        <v>154</v>
      </c>
      <c r="K150" s="318">
        <v>1</v>
      </c>
      <c r="L150" s="207">
        <f>5687-544</f>
        <v>5143</v>
      </c>
      <c r="M150" s="203"/>
      <c r="N150" s="203"/>
      <c r="O150" s="204">
        <f t="shared" si="7"/>
        <v>5143</v>
      </c>
      <c r="P150" s="2"/>
    </row>
    <row r="151" spans="1:16" ht="28.5">
      <c r="A151" s="278" t="s">
        <v>11</v>
      </c>
      <c r="B151" s="187" t="s">
        <v>1750</v>
      </c>
      <c r="C151" s="323" t="s">
        <v>341</v>
      </c>
      <c r="D151" s="200" t="s">
        <v>137</v>
      </c>
      <c r="E151" s="200"/>
      <c r="F151" s="200" t="s">
        <v>164</v>
      </c>
      <c r="G151" s="330" t="s">
        <v>163</v>
      </c>
      <c r="H151" s="385" t="s">
        <v>1814</v>
      </c>
      <c r="I151" s="331">
        <v>1382666</v>
      </c>
      <c r="J151" s="319" t="s">
        <v>154</v>
      </c>
      <c r="K151" s="332">
        <v>3</v>
      </c>
      <c r="L151" s="207">
        <f>(1558-1214)+(374-323)+(3152-2607)</f>
        <v>940</v>
      </c>
      <c r="M151" s="203"/>
      <c r="N151" s="203"/>
      <c r="O151" s="204">
        <f>L151</f>
        <v>940</v>
      </c>
      <c r="P151" s="2"/>
    </row>
    <row r="152" spans="1:16" ht="29.25" thickBot="1">
      <c r="A152" s="278" t="s">
        <v>11</v>
      </c>
      <c r="B152" s="186" t="s">
        <v>1750</v>
      </c>
      <c r="C152" s="283" t="s">
        <v>1751</v>
      </c>
      <c r="D152" s="62"/>
      <c r="E152" s="62"/>
      <c r="F152" s="62" t="s">
        <v>164</v>
      </c>
      <c r="G152" s="317" t="s">
        <v>163</v>
      </c>
      <c r="H152" s="385" t="s">
        <v>1815</v>
      </c>
      <c r="I152" s="316">
        <v>83247291</v>
      </c>
      <c r="J152" s="319" t="s">
        <v>154</v>
      </c>
      <c r="K152" s="318">
        <v>5</v>
      </c>
      <c r="L152" s="207">
        <f>(6415-1702)*2</f>
        <v>9426</v>
      </c>
      <c r="M152" s="203"/>
      <c r="N152" s="203"/>
      <c r="O152" s="204">
        <f>L152</f>
        <v>9426</v>
      </c>
      <c r="P152" s="2"/>
    </row>
    <row r="153" spans="2:15" ht="20.25" customHeight="1">
      <c r="B153" s="570" t="s">
        <v>155</v>
      </c>
      <c r="C153" s="571" t="s">
        <v>372</v>
      </c>
      <c r="D153" s="35"/>
      <c r="E153" s="198"/>
      <c r="H153" s="572" t="s">
        <v>2000</v>
      </c>
      <c r="I153" s="34" t="s">
        <v>372</v>
      </c>
      <c r="J153" s="573"/>
      <c r="K153" s="574"/>
      <c r="N153" s="54" t="s">
        <v>156</v>
      </c>
      <c r="O153" s="338">
        <f>SUM(O18:O152)</f>
        <v>1018833.2307692308</v>
      </c>
    </row>
    <row r="154" spans="2:11" ht="15">
      <c r="B154" s="282"/>
      <c r="C154" s="68" t="s">
        <v>370</v>
      </c>
      <c r="D154" s="39"/>
      <c r="E154" s="198"/>
      <c r="H154" s="575"/>
      <c r="I154" s="38" t="s">
        <v>370</v>
      </c>
      <c r="J154" s="265"/>
      <c r="K154" s="576"/>
    </row>
    <row r="155" spans="2:11" ht="15.75" thickBot="1">
      <c r="B155" s="282"/>
      <c r="C155" s="68" t="s">
        <v>286</v>
      </c>
      <c r="D155" s="39"/>
      <c r="E155" s="69"/>
      <c r="H155" s="577"/>
      <c r="I155" s="41" t="s">
        <v>286</v>
      </c>
      <c r="J155" s="578"/>
      <c r="K155" s="579"/>
    </row>
    <row r="156" spans="2:11" ht="15">
      <c r="B156" s="282" t="s">
        <v>1689</v>
      </c>
      <c r="C156" s="68" t="s">
        <v>2001</v>
      </c>
      <c r="D156" s="39"/>
      <c r="E156" s="69"/>
      <c r="K156" s="60"/>
    </row>
    <row r="157" spans="2:11" ht="15.75" thickBot="1">
      <c r="B157" s="240" t="s">
        <v>1693</v>
      </c>
      <c r="C157" s="71" t="s">
        <v>1809</v>
      </c>
      <c r="D157" s="42"/>
      <c r="E157" s="69"/>
      <c r="K157" s="60"/>
    </row>
    <row r="158" spans="2:5" ht="15.75" thickBot="1">
      <c r="B158" s="69"/>
      <c r="C158" s="68"/>
      <c r="D158" s="69"/>
      <c r="E158" s="69"/>
    </row>
    <row r="159" spans="7:15" ht="44.25" customHeight="1">
      <c r="G159" s="171"/>
      <c r="H159" s="234"/>
      <c r="J159" s="238"/>
      <c r="K159" s="705" t="s">
        <v>157</v>
      </c>
      <c r="L159" s="702" t="s">
        <v>1034</v>
      </c>
      <c r="M159" s="703"/>
      <c r="N159" s="704"/>
      <c r="O159" s="713" t="s">
        <v>158</v>
      </c>
    </row>
    <row r="160" spans="7:15" ht="24.75" customHeight="1" thickBot="1">
      <c r="G160" s="235"/>
      <c r="H160" s="236"/>
      <c r="J160" s="241"/>
      <c r="K160" s="706"/>
      <c r="L160" s="130" t="s">
        <v>159</v>
      </c>
      <c r="M160" s="130" t="s">
        <v>1035</v>
      </c>
      <c r="N160" s="130" t="s">
        <v>1036</v>
      </c>
      <c r="O160" s="714"/>
    </row>
    <row r="161" spans="7:15" ht="15" thickBot="1">
      <c r="G161" s="31"/>
      <c r="H161" s="156"/>
      <c r="J161" s="31"/>
      <c r="K161" s="131" t="s">
        <v>154</v>
      </c>
      <c r="L161" s="103">
        <f>SUM(O18:O152)</f>
        <v>1018833.2307692308</v>
      </c>
      <c r="M161" s="163"/>
      <c r="N161" s="163"/>
      <c r="O161" s="76">
        <v>135</v>
      </c>
    </row>
    <row r="162" spans="7:15" ht="18.75" thickBot="1">
      <c r="G162" s="31"/>
      <c r="H162" s="241"/>
      <c r="I162" s="237"/>
      <c r="J162" s="31"/>
      <c r="K162" s="134" t="s">
        <v>160</v>
      </c>
      <c r="L162" s="147">
        <f>SUM(L161:L161)</f>
        <v>1018833.2307692308</v>
      </c>
      <c r="M162" s="18">
        <f>SUM(M161:M161)</f>
        <v>0</v>
      </c>
      <c r="N162" s="15">
        <f>SUM(N161:N161)</f>
        <v>0</v>
      </c>
      <c r="O162" s="336">
        <f>SUM(O161:O161)</f>
        <v>135</v>
      </c>
    </row>
    <row r="163" spans="7:15" ht="18.75" thickBot="1">
      <c r="G163" s="31"/>
      <c r="H163" s="31"/>
      <c r="I163" s="156"/>
      <c r="J163" s="88"/>
      <c r="K163"/>
      <c r="L163" s="59" t="s">
        <v>161</v>
      </c>
      <c r="M163" s="327">
        <f>SUM(L162:N162)</f>
        <v>1018833.2307692308</v>
      </c>
      <c r="N163"/>
      <c r="O163"/>
    </row>
    <row r="164" ht="14.25">
      <c r="J164" s="2"/>
    </row>
  </sheetData>
  <sheetProtection/>
  <mergeCells count="19">
    <mergeCell ref="L16:O16"/>
    <mergeCell ref="J15:J17"/>
    <mergeCell ref="K15:K17"/>
    <mergeCell ref="L15:O15"/>
    <mergeCell ref="B3:I3"/>
    <mergeCell ref="B5:I5"/>
    <mergeCell ref="G15:G17"/>
    <mergeCell ref="H15:H17"/>
    <mergeCell ref="I15:I17"/>
    <mergeCell ref="O159:O160"/>
    <mergeCell ref="B1:J1"/>
    <mergeCell ref="K159:K160"/>
    <mergeCell ref="L159:N159"/>
    <mergeCell ref="A15:A17"/>
    <mergeCell ref="B15:B17"/>
    <mergeCell ref="C15:C17"/>
    <mergeCell ref="D15:D17"/>
    <mergeCell ref="E15:E17"/>
    <mergeCell ref="F15:F17"/>
  </mergeCells>
  <printOptions/>
  <pageMargins left="0.7" right="0.7" top="0.75" bottom="0.75" header="0.3" footer="0.3"/>
  <pageSetup horizontalDpi="600" verticalDpi="600" orientation="portrait" paperSize="9" r:id="rId1"/>
  <ignoredErrors>
    <ignoredError sqref="O26 O119:O121 O35:O36 O130:O131 O41:O42 O45:O46 O31 O126 O61 O64:O65 O123 O67 O70 O77 O79 O82 O85:O86 O88 O91 O94 O97:O99 O105:O106 O108:O111 O113 O117 O1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7"/>
  <sheetViews>
    <sheetView zoomScale="80" zoomScaleNormal="80" zoomScalePageLayoutView="0" workbookViewId="0" topLeftCell="A109">
      <selection activeCell="D120" sqref="D120"/>
    </sheetView>
  </sheetViews>
  <sheetFormatPr defaultColWidth="8.796875" defaultRowHeight="14.25"/>
  <cols>
    <col min="1" max="1" width="12.69921875" style="1" customWidth="1"/>
    <col min="2" max="2" width="11.69921875" style="0" customWidth="1"/>
    <col min="3" max="3" width="15.3984375" style="0" customWidth="1"/>
    <col min="4" max="4" width="15.09765625" style="0" customWidth="1"/>
    <col min="5" max="5" width="11.59765625" style="0" customWidth="1"/>
    <col min="7" max="7" width="14.3984375" style="0" customWidth="1"/>
    <col min="8" max="8" width="19" style="0" customWidth="1"/>
    <col min="9" max="9" width="26.3984375" style="0" customWidth="1"/>
    <col min="10" max="10" width="12" style="1" customWidth="1"/>
    <col min="11" max="11" width="12.8984375" style="1" customWidth="1"/>
    <col min="12" max="12" width="15" style="0" customWidth="1"/>
    <col min="13" max="13" width="15.19921875" style="0" customWidth="1"/>
    <col min="14" max="14" width="17.19921875" style="0" customWidth="1"/>
    <col min="15" max="15" width="16.5" style="0" customWidth="1"/>
    <col min="16" max="16" width="12.3984375" style="0" customWidth="1"/>
    <col min="17" max="17" width="15" style="0" customWidth="1"/>
    <col min="18" max="18" width="15.69921875" style="0" customWidth="1"/>
    <col min="19" max="19" width="17" style="0" customWidth="1"/>
    <col min="20" max="20" width="21.5" style="0" customWidth="1"/>
    <col min="21" max="21" width="20.3984375" style="0" customWidth="1"/>
  </cols>
  <sheetData>
    <row r="1" spans="1:13" ht="18">
      <c r="A1"/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31"/>
      <c r="L1" s="2"/>
      <c r="M1" s="2"/>
    </row>
    <row r="2" spans="1:13" ht="15">
      <c r="A2"/>
      <c r="B2" s="222"/>
      <c r="C2" s="222"/>
      <c r="D2" s="222"/>
      <c r="E2" s="222"/>
      <c r="F2" s="222"/>
      <c r="G2" s="222"/>
      <c r="H2" s="223"/>
      <c r="I2" s="224"/>
      <c r="J2" s="232"/>
      <c r="K2" s="31"/>
      <c r="L2" s="2"/>
      <c r="M2" s="2"/>
    </row>
    <row r="3" spans="1:13" ht="26.25" customHeight="1">
      <c r="A3"/>
      <c r="B3" s="726" t="s">
        <v>1055</v>
      </c>
      <c r="C3" s="727"/>
      <c r="D3" s="727"/>
      <c r="E3" s="727"/>
      <c r="F3" s="727"/>
      <c r="G3" s="727"/>
      <c r="H3" s="727"/>
      <c r="I3" s="728"/>
      <c r="J3" s="232"/>
      <c r="K3" s="31"/>
      <c r="L3" s="2"/>
      <c r="M3" s="2"/>
    </row>
    <row r="4" spans="1:13" ht="15">
      <c r="A4"/>
      <c r="B4" s="223"/>
      <c r="C4" s="223"/>
      <c r="D4" s="223"/>
      <c r="E4" s="223"/>
      <c r="F4" s="223"/>
      <c r="G4" s="223"/>
      <c r="H4" s="223"/>
      <c r="I4" s="224"/>
      <c r="J4" s="232"/>
      <c r="K4" s="31"/>
      <c r="L4" s="2"/>
      <c r="M4" s="2"/>
    </row>
    <row r="5" spans="1:13" ht="15">
      <c r="A5"/>
      <c r="B5" s="679" t="s">
        <v>1029</v>
      </c>
      <c r="C5" s="679"/>
      <c r="D5" s="679"/>
      <c r="E5" s="679"/>
      <c r="F5" s="679"/>
      <c r="G5" s="679"/>
      <c r="H5" s="679"/>
      <c r="I5" s="679"/>
      <c r="J5" s="232"/>
      <c r="K5" s="31"/>
      <c r="L5" s="2"/>
      <c r="M5" s="2"/>
    </row>
    <row r="6" spans="1:13" ht="15">
      <c r="A6"/>
      <c r="B6" s="223"/>
      <c r="C6" s="223"/>
      <c r="D6" s="223"/>
      <c r="E6" s="223"/>
      <c r="F6" s="223"/>
      <c r="G6" s="223"/>
      <c r="H6" s="223"/>
      <c r="I6" s="224"/>
      <c r="J6" s="232"/>
      <c r="K6" s="31"/>
      <c r="L6" s="2"/>
      <c r="M6" s="2"/>
    </row>
    <row r="7" spans="1:13" ht="15.75">
      <c r="A7"/>
      <c r="B7" s="225" t="s">
        <v>967</v>
      </c>
      <c r="C7" s="222"/>
      <c r="D7" s="223"/>
      <c r="E7" s="223"/>
      <c r="F7" s="223"/>
      <c r="G7" s="222"/>
      <c r="H7" s="223"/>
      <c r="I7" s="224"/>
      <c r="J7" s="232"/>
      <c r="K7" s="31"/>
      <c r="L7" s="2"/>
      <c r="M7" s="2"/>
    </row>
    <row r="8" spans="1:13" ht="15">
      <c r="A8"/>
      <c r="B8" s="528" t="s">
        <v>1986</v>
      </c>
      <c r="C8" s="222"/>
      <c r="D8" s="223"/>
      <c r="E8" s="223"/>
      <c r="F8" s="223"/>
      <c r="G8" s="222"/>
      <c r="H8" s="223"/>
      <c r="I8" s="224"/>
      <c r="J8" s="232"/>
      <c r="K8" s="31"/>
      <c r="L8" s="2"/>
      <c r="M8" s="2"/>
    </row>
    <row r="9" spans="1:13" ht="15.75">
      <c r="A9"/>
      <c r="B9" s="226" t="s">
        <v>1828</v>
      </c>
      <c r="C9" s="222"/>
      <c r="D9" s="227"/>
      <c r="E9" s="223"/>
      <c r="F9" s="223"/>
      <c r="G9" s="222"/>
      <c r="H9" s="223"/>
      <c r="I9" s="224"/>
      <c r="J9" s="232"/>
      <c r="K9" s="31"/>
      <c r="L9" s="2"/>
      <c r="M9" s="2"/>
    </row>
    <row r="10" spans="1:13" ht="15.75">
      <c r="A10"/>
      <c r="B10" s="226" t="s">
        <v>1681</v>
      </c>
      <c r="C10" s="222"/>
      <c r="D10" s="227"/>
      <c r="E10" s="223"/>
      <c r="F10" s="223"/>
      <c r="G10" s="222"/>
      <c r="H10" s="223"/>
      <c r="I10" s="224"/>
      <c r="J10" s="232"/>
      <c r="K10" s="31"/>
      <c r="L10" s="2"/>
      <c r="M10" s="2"/>
    </row>
    <row r="11" spans="1:13" ht="15">
      <c r="A11"/>
      <c r="B11" s="222" t="s">
        <v>1047</v>
      </c>
      <c r="C11" s="222"/>
      <c r="D11" s="222"/>
      <c r="E11" s="222"/>
      <c r="F11" s="222"/>
      <c r="G11" s="222"/>
      <c r="H11" s="223"/>
      <c r="I11" s="224"/>
      <c r="J11" s="232"/>
      <c r="K11" s="31"/>
      <c r="L11" s="2"/>
      <c r="M11" s="2"/>
    </row>
    <row r="12" spans="1:13" ht="15.75">
      <c r="A12"/>
      <c r="B12" s="228"/>
      <c r="C12" s="229"/>
      <c r="D12" s="227"/>
      <c r="E12" s="227"/>
      <c r="F12" s="227"/>
      <c r="G12" s="227"/>
      <c r="H12" s="230"/>
      <c r="I12" s="222"/>
      <c r="J12" s="232"/>
      <c r="K12" s="31"/>
      <c r="L12" s="2"/>
      <c r="M12" s="2"/>
    </row>
    <row r="13" spans="1:13" ht="15.75">
      <c r="A13"/>
      <c r="B13" s="228" t="s">
        <v>1032</v>
      </c>
      <c r="C13" s="225" t="s">
        <v>1033</v>
      </c>
      <c r="D13" s="227"/>
      <c r="E13" s="227"/>
      <c r="F13" s="227"/>
      <c r="G13" s="227"/>
      <c r="H13" s="230"/>
      <c r="I13" s="222"/>
      <c r="J13" s="232"/>
      <c r="K13" s="31"/>
      <c r="L13" s="2"/>
      <c r="M13" s="2"/>
    </row>
    <row r="14" spans="1:13" ht="15" thickBot="1">
      <c r="A14" s="31"/>
      <c r="B14" s="88"/>
      <c r="C14" s="31"/>
      <c r="D14" s="31"/>
      <c r="E14" s="31"/>
      <c r="F14" s="31"/>
      <c r="G14" s="31"/>
      <c r="H14" s="31"/>
      <c r="I14" s="31"/>
      <c r="J14" s="88"/>
      <c r="K14" s="31"/>
      <c r="L14" s="2"/>
      <c r="M14" s="2"/>
    </row>
    <row r="15" spans="1:15" ht="42" customHeight="1">
      <c r="A15" s="718" t="s">
        <v>0</v>
      </c>
      <c r="B15" s="676" t="s">
        <v>993</v>
      </c>
      <c r="C15" s="680" t="s">
        <v>2</v>
      </c>
      <c r="D15" s="680" t="s">
        <v>3</v>
      </c>
      <c r="E15" s="686" t="s">
        <v>1401</v>
      </c>
      <c r="F15" s="686" t="s">
        <v>5</v>
      </c>
      <c r="G15" s="680" t="s">
        <v>6</v>
      </c>
      <c r="H15" s="686" t="s">
        <v>753</v>
      </c>
      <c r="I15" s="686" t="s">
        <v>7</v>
      </c>
      <c r="J15" s="686" t="s">
        <v>157</v>
      </c>
      <c r="K15" s="729" t="s">
        <v>992</v>
      </c>
      <c r="L15" s="684" t="s">
        <v>1039</v>
      </c>
      <c r="M15" s="684"/>
      <c r="N15" s="684"/>
      <c r="O15" s="685"/>
    </row>
    <row r="16" spans="1:15" ht="33" customHeight="1">
      <c r="A16" s="719"/>
      <c r="B16" s="677"/>
      <c r="C16" s="681"/>
      <c r="D16" s="681"/>
      <c r="E16" s="687"/>
      <c r="F16" s="687"/>
      <c r="G16" s="681"/>
      <c r="H16" s="687"/>
      <c r="I16" s="687"/>
      <c r="J16" s="687"/>
      <c r="K16" s="730"/>
      <c r="L16" s="690" t="s">
        <v>1040</v>
      </c>
      <c r="M16" s="690"/>
      <c r="N16" s="690"/>
      <c r="O16" s="691"/>
    </row>
    <row r="17" spans="1:15" ht="27" customHeight="1" thickBot="1">
      <c r="A17" s="720"/>
      <c r="B17" s="678"/>
      <c r="C17" s="682"/>
      <c r="D17" s="682"/>
      <c r="E17" s="688"/>
      <c r="F17" s="688"/>
      <c r="G17" s="682"/>
      <c r="H17" s="688"/>
      <c r="I17" s="688"/>
      <c r="J17" s="688"/>
      <c r="K17" s="731"/>
      <c r="L17" s="137" t="s">
        <v>1041</v>
      </c>
      <c r="M17" s="137" t="s">
        <v>1035</v>
      </c>
      <c r="N17" s="137" t="s">
        <v>1036</v>
      </c>
      <c r="O17" s="138" t="s">
        <v>10</v>
      </c>
    </row>
    <row r="18" spans="1:16" ht="29.25">
      <c r="A18" s="291" t="s">
        <v>11</v>
      </c>
      <c r="B18" s="140" t="s">
        <v>12</v>
      </c>
      <c r="C18" s="140" t="s">
        <v>373</v>
      </c>
      <c r="D18" s="140" t="s">
        <v>374</v>
      </c>
      <c r="E18" s="53"/>
      <c r="F18" s="53" t="s">
        <v>375</v>
      </c>
      <c r="G18" s="53" t="s">
        <v>376</v>
      </c>
      <c r="H18" s="43">
        <v>83294601</v>
      </c>
      <c r="I18" s="396" t="s">
        <v>1599</v>
      </c>
      <c r="J18" s="165" t="s">
        <v>377</v>
      </c>
      <c r="K18" s="166">
        <v>3</v>
      </c>
      <c r="L18" s="55"/>
      <c r="M18" s="54">
        <f>416-108</f>
        <v>308</v>
      </c>
      <c r="N18" s="54">
        <f>831-174</f>
        <v>657</v>
      </c>
      <c r="O18" s="54">
        <f aca="true" t="shared" si="0" ref="O18:O62">SUM(M18:N18)</f>
        <v>965</v>
      </c>
      <c r="P18" s="212"/>
    </row>
    <row r="19" spans="1:16" ht="29.25">
      <c r="A19" s="291" t="s">
        <v>11</v>
      </c>
      <c r="B19" s="140" t="s">
        <v>12</v>
      </c>
      <c r="C19" s="61" t="s">
        <v>378</v>
      </c>
      <c r="D19" s="61"/>
      <c r="E19" s="56"/>
      <c r="F19" s="56" t="s">
        <v>375</v>
      </c>
      <c r="G19" s="56" t="s">
        <v>376</v>
      </c>
      <c r="H19" s="47">
        <v>83111009</v>
      </c>
      <c r="I19" s="385" t="s">
        <v>1600</v>
      </c>
      <c r="J19" s="4" t="s">
        <v>377</v>
      </c>
      <c r="K19" s="63">
        <v>3</v>
      </c>
      <c r="L19" s="46"/>
      <c r="M19" s="13">
        <f>5305-2376</f>
        <v>2929</v>
      </c>
      <c r="N19" s="13">
        <f>9632-4315</f>
        <v>5317</v>
      </c>
      <c r="O19" s="13">
        <f t="shared" si="0"/>
        <v>8246</v>
      </c>
      <c r="P19" s="212"/>
    </row>
    <row r="20" spans="1:16" ht="29.25">
      <c r="A20" s="291" t="s">
        <v>11</v>
      </c>
      <c r="B20" s="140" t="s">
        <v>12</v>
      </c>
      <c r="C20" s="61" t="s">
        <v>379</v>
      </c>
      <c r="D20" s="61"/>
      <c r="E20" s="406" t="s">
        <v>1787</v>
      </c>
      <c r="F20" s="56" t="s">
        <v>375</v>
      </c>
      <c r="G20" s="56" t="s">
        <v>376</v>
      </c>
      <c r="H20" s="47">
        <v>83294585</v>
      </c>
      <c r="I20" s="385" t="s">
        <v>1601</v>
      </c>
      <c r="J20" s="4" t="s">
        <v>377</v>
      </c>
      <c r="K20" s="63">
        <v>3</v>
      </c>
      <c r="L20" s="46"/>
      <c r="M20" s="13">
        <f>2489-557</f>
        <v>1932</v>
      </c>
      <c r="N20" s="13">
        <f>4941-1067</f>
        <v>3874</v>
      </c>
      <c r="O20" s="13">
        <f t="shared" si="0"/>
        <v>5806</v>
      </c>
      <c r="P20" s="212"/>
    </row>
    <row r="21" spans="1:16" ht="29.25">
      <c r="A21" s="291" t="s">
        <v>11</v>
      </c>
      <c r="B21" s="140" t="s">
        <v>12</v>
      </c>
      <c r="C21" s="61" t="s">
        <v>376</v>
      </c>
      <c r="D21" s="61" t="s">
        <v>380</v>
      </c>
      <c r="E21" s="56"/>
      <c r="F21" s="56" t="s">
        <v>375</v>
      </c>
      <c r="G21" s="56" t="s">
        <v>376</v>
      </c>
      <c r="H21" s="47">
        <v>90104550</v>
      </c>
      <c r="I21" s="396" t="s">
        <v>1602</v>
      </c>
      <c r="J21" s="4" t="s">
        <v>377</v>
      </c>
      <c r="K21" s="63">
        <v>6</v>
      </c>
      <c r="L21" s="46"/>
      <c r="M21" s="13">
        <f>3640-897</f>
        <v>2743</v>
      </c>
      <c r="N21" s="13">
        <f>6528-1504</f>
        <v>5024</v>
      </c>
      <c r="O21" s="13">
        <f t="shared" si="0"/>
        <v>7767</v>
      </c>
      <c r="P21" s="212"/>
    </row>
    <row r="22" spans="1:16" ht="29.25">
      <c r="A22" s="291" t="s">
        <v>11</v>
      </c>
      <c r="B22" s="140" t="s">
        <v>12</v>
      </c>
      <c r="C22" s="61" t="s">
        <v>373</v>
      </c>
      <c r="D22" s="61" t="s">
        <v>79</v>
      </c>
      <c r="E22" s="56"/>
      <c r="F22" s="56" t="s">
        <v>375</v>
      </c>
      <c r="G22" s="56" t="s">
        <v>376</v>
      </c>
      <c r="H22" s="47">
        <v>14817</v>
      </c>
      <c r="I22" s="385" t="s">
        <v>1603</v>
      </c>
      <c r="J22" s="4" t="s">
        <v>377</v>
      </c>
      <c r="K22" s="63">
        <v>7.6</v>
      </c>
      <c r="L22" s="46"/>
      <c r="M22" s="13">
        <f>47724-39463</f>
        <v>8261</v>
      </c>
      <c r="N22" s="13">
        <f>89901-75136</f>
        <v>14765</v>
      </c>
      <c r="O22" s="13">
        <f t="shared" si="0"/>
        <v>23026</v>
      </c>
      <c r="P22" s="212"/>
    </row>
    <row r="23" spans="1:16" ht="29.25">
      <c r="A23" s="291" t="s">
        <v>11</v>
      </c>
      <c r="B23" s="140" t="s">
        <v>12</v>
      </c>
      <c r="C23" s="61" t="s">
        <v>376</v>
      </c>
      <c r="D23" s="61" t="s">
        <v>381</v>
      </c>
      <c r="E23" s="56"/>
      <c r="F23" s="56" t="s">
        <v>375</v>
      </c>
      <c r="G23" s="56" t="s">
        <v>376</v>
      </c>
      <c r="H23" s="47">
        <v>90102360</v>
      </c>
      <c r="I23" s="385" t="s">
        <v>1604</v>
      </c>
      <c r="J23" s="4" t="s">
        <v>377</v>
      </c>
      <c r="K23" s="63">
        <v>11.5</v>
      </c>
      <c r="L23" s="46"/>
      <c r="M23" s="13">
        <f>15607-3430</f>
        <v>12177</v>
      </c>
      <c r="N23" s="13">
        <f>28314-6017</f>
        <v>22297</v>
      </c>
      <c r="O23" s="13">
        <f t="shared" si="0"/>
        <v>34474</v>
      </c>
      <c r="P23" s="212"/>
    </row>
    <row r="24" spans="1:16" ht="29.25">
      <c r="A24" s="291" t="s">
        <v>11</v>
      </c>
      <c r="B24" s="140" t="s">
        <v>12</v>
      </c>
      <c r="C24" s="61" t="s">
        <v>376</v>
      </c>
      <c r="D24" s="61" t="s">
        <v>382</v>
      </c>
      <c r="E24" s="56"/>
      <c r="F24" s="56" t="s">
        <v>375</v>
      </c>
      <c r="G24" s="56" t="s">
        <v>376</v>
      </c>
      <c r="H24" s="47">
        <v>90103798</v>
      </c>
      <c r="I24" s="396" t="s">
        <v>1605</v>
      </c>
      <c r="J24" s="4" t="s">
        <v>377</v>
      </c>
      <c r="K24" s="63">
        <v>6</v>
      </c>
      <c r="L24" s="46"/>
      <c r="M24" s="13">
        <f>6525-1423</f>
        <v>5102</v>
      </c>
      <c r="N24" s="13">
        <f>11876-2464</f>
        <v>9412</v>
      </c>
      <c r="O24" s="13">
        <f t="shared" si="0"/>
        <v>14514</v>
      </c>
      <c r="P24" s="212"/>
    </row>
    <row r="25" spans="1:16" ht="29.25">
      <c r="A25" s="291" t="s">
        <v>11</v>
      </c>
      <c r="B25" s="140" t="s">
        <v>12</v>
      </c>
      <c r="C25" s="61" t="s">
        <v>376</v>
      </c>
      <c r="D25" s="61" t="s">
        <v>383</v>
      </c>
      <c r="E25" s="56"/>
      <c r="F25" s="56" t="s">
        <v>375</v>
      </c>
      <c r="G25" s="56" t="s">
        <v>376</v>
      </c>
      <c r="H25" s="47">
        <v>83294379</v>
      </c>
      <c r="I25" s="385" t="s">
        <v>1606</v>
      </c>
      <c r="J25" s="4" t="s">
        <v>377</v>
      </c>
      <c r="K25" s="63">
        <v>3.2</v>
      </c>
      <c r="L25" s="46"/>
      <c r="M25" s="13">
        <f>2183-458</f>
        <v>1725</v>
      </c>
      <c r="N25" s="13">
        <f>3907-797</f>
        <v>3110</v>
      </c>
      <c r="O25" s="13">
        <f t="shared" si="0"/>
        <v>4835</v>
      </c>
      <c r="P25" s="212"/>
    </row>
    <row r="26" spans="1:16" ht="29.25">
      <c r="A26" s="291" t="s">
        <v>11</v>
      </c>
      <c r="B26" s="140" t="s">
        <v>12</v>
      </c>
      <c r="C26" s="61" t="s">
        <v>376</v>
      </c>
      <c r="D26" s="61" t="s">
        <v>365</v>
      </c>
      <c r="E26" s="56"/>
      <c r="F26" s="56" t="s">
        <v>375</v>
      </c>
      <c r="G26" s="56" t="s">
        <v>376</v>
      </c>
      <c r="H26" s="47">
        <v>90102084</v>
      </c>
      <c r="I26" s="385" t="s">
        <v>1607</v>
      </c>
      <c r="J26" s="4" t="s">
        <v>377</v>
      </c>
      <c r="K26" s="63">
        <v>6</v>
      </c>
      <c r="L26" s="46"/>
      <c r="M26" s="13">
        <f>5105-935</f>
        <v>4170</v>
      </c>
      <c r="N26" s="13">
        <f>9243-1736</f>
        <v>7507</v>
      </c>
      <c r="O26" s="13">
        <f t="shared" si="0"/>
        <v>11677</v>
      </c>
      <c r="P26" s="212"/>
    </row>
    <row r="27" spans="1:16" ht="29.25">
      <c r="A27" s="291" t="s">
        <v>11</v>
      </c>
      <c r="B27" s="140" t="s">
        <v>12</v>
      </c>
      <c r="C27" s="61" t="s">
        <v>376</v>
      </c>
      <c r="D27" s="61" t="s">
        <v>94</v>
      </c>
      <c r="E27" s="56"/>
      <c r="F27" s="56" t="s">
        <v>375</v>
      </c>
      <c r="G27" s="56" t="s">
        <v>376</v>
      </c>
      <c r="H27" s="47">
        <v>90100755</v>
      </c>
      <c r="I27" s="396" t="s">
        <v>1608</v>
      </c>
      <c r="J27" s="4" t="s">
        <v>377</v>
      </c>
      <c r="K27" s="63">
        <v>11.7</v>
      </c>
      <c r="L27" s="46"/>
      <c r="M27" s="13">
        <f>13591-2927</f>
        <v>10664</v>
      </c>
      <c r="N27" s="13">
        <f>24409-5124</f>
        <v>19285</v>
      </c>
      <c r="O27" s="13">
        <f t="shared" si="0"/>
        <v>29949</v>
      </c>
      <c r="P27" s="212"/>
    </row>
    <row r="28" spans="1:16" ht="29.25">
      <c r="A28" s="291" t="s">
        <v>11</v>
      </c>
      <c r="B28" s="140" t="s">
        <v>12</v>
      </c>
      <c r="C28" s="61" t="s">
        <v>384</v>
      </c>
      <c r="D28" s="61"/>
      <c r="E28" s="56"/>
      <c r="F28" s="56" t="s">
        <v>375</v>
      </c>
      <c r="G28" s="56" t="s">
        <v>376</v>
      </c>
      <c r="H28" s="47">
        <v>32671</v>
      </c>
      <c r="I28" s="385" t="s">
        <v>1609</v>
      </c>
      <c r="J28" s="4" t="s">
        <v>377</v>
      </c>
      <c r="K28" s="63">
        <v>6</v>
      </c>
      <c r="L28" s="46"/>
      <c r="M28" s="13">
        <f>55150-47681</f>
        <v>7469</v>
      </c>
      <c r="N28" s="13">
        <f>105100-91391</f>
        <v>13709</v>
      </c>
      <c r="O28" s="13">
        <f t="shared" si="0"/>
        <v>21178</v>
      </c>
      <c r="P28" s="212"/>
    </row>
    <row r="29" spans="1:16" ht="28.5" customHeight="1">
      <c r="A29" s="291" t="s">
        <v>11</v>
      </c>
      <c r="B29" s="140" t="s">
        <v>12</v>
      </c>
      <c r="C29" s="61" t="s">
        <v>384</v>
      </c>
      <c r="D29" s="61"/>
      <c r="E29" s="56"/>
      <c r="F29" s="56" t="s">
        <v>375</v>
      </c>
      <c r="G29" s="56" t="s">
        <v>376</v>
      </c>
      <c r="H29" s="47">
        <v>14695</v>
      </c>
      <c r="I29" s="385" t="s">
        <v>1610</v>
      </c>
      <c r="J29" s="4" t="s">
        <v>377</v>
      </c>
      <c r="K29" s="63">
        <v>6</v>
      </c>
      <c r="L29" s="46"/>
      <c r="M29" s="13">
        <f>14475-11835</f>
        <v>2640</v>
      </c>
      <c r="N29" s="13">
        <f>25871-20763</f>
        <v>5108</v>
      </c>
      <c r="O29" s="13">
        <f t="shared" si="0"/>
        <v>7748</v>
      </c>
      <c r="P29" s="212"/>
    </row>
    <row r="30" spans="1:16" ht="29.25">
      <c r="A30" s="291" t="s">
        <v>11</v>
      </c>
      <c r="B30" s="140" t="s">
        <v>12</v>
      </c>
      <c r="C30" s="61" t="s">
        <v>385</v>
      </c>
      <c r="D30" s="61"/>
      <c r="E30" s="56"/>
      <c r="F30" s="56" t="s">
        <v>375</v>
      </c>
      <c r="G30" s="56" t="s">
        <v>376</v>
      </c>
      <c r="H30" s="47">
        <v>36157</v>
      </c>
      <c r="I30" s="396" t="s">
        <v>1611</v>
      </c>
      <c r="J30" s="4" t="s">
        <v>377</v>
      </c>
      <c r="K30" s="63">
        <v>6</v>
      </c>
      <c r="L30" s="46"/>
      <c r="M30" s="13">
        <f>28669-24878</f>
        <v>3791</v>
      </c>
      <c r="N30" s="13">
        <f>51454-44592</f>
        <v>6862</v>
      </c>
      <c r="O30" s="13">
        <f t="shared" si="0"/>
        <v>10653</v>
      </c>
      <c r="P30" s="212"/>
    </row>
    <row r="31" spans="1:16" ht="29.25">
      <c r="A31" s="291" t="s">
        <v>11</v>
      </c>
      <c r="B31" s="140" t="s">
        <v>12</v>
      </c>
      <c r="C31" s="61" t="s">
        <v>386</v>
      </c>
      <c r="D31" s="61"/>
      <c r="E31" s="56"/>
      <c r="F31" s="56" t="s">
        <v>375</v>
      </c>
      <c r="G31" s="56" t="s">
        <v>376</v>
      </c>
      <c r="H31" s="47">
        <v>83294576</v>
      </c>
      <c r="I31" s="385" t="s">
        <v>1612</v>
      </c>
      <c r="J31" s="4" t="s">
        <v>377</v>
      </c>
      <c r="K31" s="63">
        <v>3</v>
      </c>
      <c r="L31" s="46"/>
      <c r="M31" s="13">
        <f>3735-831</f>
        <v>2904</v>
      </c>
      <c r="N31" s="13">
        <f>7347-1479</f>
        <v>5868</v>
      </c>
      <c r="O31" s="13">
        <f t="shared" si="0"/>
        <v>8772</v>
      </c>
      <c r="P31" s="212"/>
    </row>
    <row r="32" spans="1:16" ht="29.25">
      <c r="A32" s="291" t="s">
        <v>11</v>
      </c>
      <c r="B32" s="140" t="s">
        <v>12</v>
      </c>
      <c r="C32" s="61" t="s">
        <v>373</v>
      </c>
      <c r="D32" s="61" t="s">
        <v>374</v>
      </c>
      <c r="E32" s="56"/>
      <c r="F32" s="56" t="s">
        <v>375</v>
      </c>
      <c r="G32" s="56" t="s">
        <v>376</v>
      </c>
      <c r="H32" s="47">
        <v>525531</v>
      </c>
      <c r="I32" s="385" t="s">
        <v>1613</v>
      </c>
      <c r="J32" s="4" t="s">
        <v>377</v>
      </c>
      <c r="K32" s="63">
        <v>6</v>
      </c>
      <c r="L32" s="46"/>
      <c r="M32" s="13">
        <f>16864-13450</f>
        <v>3414</v>
      </c>
      <c r="N32" s="13">
        <f>33042-26287</f>
        <v>6755</v>
      </c>
      <c r="O32" s="13">
        <f t="shared" si="0"/>
        <v>10169</v>
      </c>
      <c r="P32" s="212"/>
    </row>
    <row r="33" spans="1:16" ht="29.25">
      <c r="A33" s="291" t="s">
        <v>11</v>
      </c>
      <c r="B33" s="140" t="s">
        <v>12</v>
      </c>
      <c r="C33" s="61" t="s">
        <v>373</v>
      </c>
      <c r="D33" s="61" t="s">
        <v>374</v>
      </c>
      <c r="E33" s="56"/>
      <c r="F33" s="56" t="s">
        <v>375</v>
      </c>
      <c r="G33" s="56" t="s">
        <v>376</v>
      </c>
      <c r="H33" s="47">
        <v>90103724</v>
      </c>
      <c r="I33" s="396" t="s">
        <v>1614</v>
      </c>
      <c r="J33" s="4" t="s">
        <v>377</v>
      </c>
      <c r="K33" s="63">
        <v>6</v>
      </c>
      <c r="L33" s="46"/>
      <c r="M33" s="13">
        <f>8241-1865</f>
        <v>6376</v>
      </c>
      <c r="N33" s="13">
        <f>15113-3207</f>
        <v>11906</v>
      </c>
      <c r="O33" s="13">
        <f t="shared" si="0"/>
        <v>18282</v>
      </c>
      <c r="P33" s="212"/>
    </row>
    <row r="34" spans="1:16" ht="29.25">
      <c r="A34" s="291" t="s">
        <v>11</v>
      </c>
      <c r="B34" s="140" t="s">
        <v>12</v>
      </c>
      <c r="C34" s="61" t="s">
        <v>373</v>
      </c>
      <c r="D34" s="61" t="s">
        <v>374</v>
      </c>
      <c r="E34" s="56"/>
      <c r="F34" s="56" t="s">
        <v>375</v>
      </c>
      <c r="G34" s="56" t="s">
        <v>376</v>
      </c>
      <c r="H34" s="47">
        <v>14819</v>
      </c>
      <c r="I34" s="385" t="s">
        <v>1615</v>
      </c>
      <c r="J34" s="4" t="s">
        <v>377</v>
      </c>
      <c r="K34" s="63">
        <v>6</v>
      </c>
      <c r="L34" s="46"/>
      <c r="M34" s="13">
        <f>31242-25705</f>
        <v>5537</v>
      </c>
      <c r="N34" s="13">
        <f>58951-48732</f>
        <v>10219</v>
      </c>
      <c r="O34" s="13">
        <f t="shared" si="0"/>
        <v>15756</v>
      </c>
      <c r="P34" s="212"/>
    </row>
    <row r="35" spans="1:16" ht="29.25">
      <c r="A35" s="291" t="s">
        <v>11</v>
      </c>
      <c r="B35" s="140" t="s">
        <v>12</v>
      </c>
      <c r="C35" s="61" t="s">
        <v>376</v>
      </c>
      <c r="D35" s="61" t="s">
        <v>387</v>
      </c>
      <c r="E35" s="56"/>
      <c r="F35" s="56" t="s">
        <v>375</v>
      </c>
      <c r="G35" s="56" t="s">
        <v>376</v>
      </c>
      <c r="H35" s="47">
        <v>90105337</v>
      </c>
      <c r="I35" s="385" t="s">
        <v>1616</v>
      </c>
      <c r="J35" s="4" t="s">
        <v>377</v>
      </c>
      <c r="K35" s="63">
        <v>6.4</v>
      </c>
      <c r="L35" s="46"/>
      <c r="M35" s="13">
        <f>8523-2114</f>
        <v>6409</v>
      </c>
      <c r="N35" s="13">
        <f>15231-3474</f>
        <v>11757</v>
      </c>
      <c r="O35" s="13">
        <f t="shared" si="0"/>
        <v>18166</v>
      </c>
      <c r="P35" s="212"/>
    </row>
    <row r="36" spans="1:16" ht="29.25">
      <c r="A36" s="291" t="s">
        <v>11</v>
      </c>
      <c r="B36" s="140" t="s">
        <v>12</v>
      </c>
      <c r="C36" s="61" t="s">
        <v>376</v>
      </c>
      <c r="D36" s="61" t="s">
        <v>388</v>
      </c>
      <c r="E36" s="56"/>
      <c r="F36" s="56" t="s">
        <v>375</v>
      </c>
      <c r="G36" s="56" t="s">
        <v>376</v>
      </c>
      <c r="H36" s="47">
        <v>14814</v>
      </c>
      <c r="I36" s="396" t="s">
        <v>1617</v>
      </c>
      <c r="J36" s="4" t="s">
        <v>377</v>
      </c>
      <c r="K36" s="63">
        <v>6</v>
      </c>
      <c r="L36" s="46"/>
      <c r="M36" s="13">
        <f>33294-27916</f>
        <v>5378</v>
      </c>
      <c r="N36" s="13">
        <f>62975-53588</f>
        <v>9387</v>
      </c>
      <c r="O36" s="13">
        <f t="shared" si="0"/>
        <v>14765</v>
      </c>
      <c r="P36" s="212"/>
    </row>
    <row r="37" spans="1:16" ht="43.5">
      <c r="A37" s="291" t="s">
        <v>11</v>
      </c>
      <c r="B37" s="140" t="s">
        <v>12</v>
      </c>
      <c r="C37" s="61" t="s">
        <v>376</v>
      </c>
      <c r="D37" s="61" t="s">
        <v>1683</v>
      </c>
      <c r="E37" s="56"/>
      <c r="F37" s="56" t="s">
        <v>375</v>
      </c>
      <c r="G37" s="56" t="s">
        <v>376</v>
      </c>
      <c r="H37" s="47">
        <v>90103894</v>
      </c>
      <c r="I37" s="385" t="s">
        <v>1618</v>
      </c>
      <c r="J37" s="4" t="s">
        <v>377</v>
      </c>
      <c r="K37" s="63">
        <v>6</v>
      </c>
      <c r="L37" s="46"/>
      <c r="M37" s="13">
        <f>7268-1473</f>
        <v>5795</v>
      </c>
      <c r="N37" s="13">
        <f>13099-2519</f>
        <v>10580</v>
      </c>
      <c r="O37" s="13">
        <f t="shared" si="0"/>
        <v>16375</v>
      </c>
      <c r="P37" s="212"/>
    </row>
    <row r="38" spans="1:16" ht="43.5">
      <c r="A38" s="291" t="s">
        <v>11</v>
      </c>
      <c r="B38" s="140" t="s">
        <v>12</v>
      </c>
      <c r="C38" s="61" t="s">
        <v>376</v>
      </c>
      <c r="D38" s="61" t="s">
        <v>389</v>
      </c>
      <c r="E38" s="56"/>
      <c r="F38" s="56" t="s">
        <v>375</v>
      </c>
      <c r="G38" s="56" t="s">
        <v>376</v>
      </c>
      <c r="H38" s="47">
        <v>90107457</v>
      </c>
      <c r="I38" s="385" t="s">
        <v>1619</v>
      </c>
      <c r="J38" s="4" t="s">
        <v>377</v>
      </c>
      <c r="K38" s="63">
        <v>6</v>
      </c>
      <c r="L38" s="46"/>
      <c r="M38" s="13">
        <f>6651-1672</f>
        <v>4979</v>
      </c>
      <c r="N38" s="13">
        <f>12316-2793</f>
        <v>9523</v>
      </c>
      <c r="O38" s="13">
        <f t="shared" si="0"/>
        <v>14502</v>
      </c>
      <c r="P38" s="212"/>
    </row>
    <row r="39" spans="1:16" ht="29.25">
      <c r="A39" s="291" t="s">
        <v>11</v>
      </c>
      <c r="B39" s="140" t="s">
        <v>12</v>
      </c>
      <c r="C39" s="61" t="s">
        <v>376</v>
      </c>
      <c r="D39" s="61" t="s">
        <v>61</v>
      </c>
      <c r="E39" s="56"/>
      <c r="F39" s="56" t="s">
        <v>375</v>
      </c>
      <c r="G39" s="56" t="s">
        <v>376</v>
      </c>
      <c r="H39" s="47">
        <v>90103149</v>
      </c>
      <c r="I39" s="396" t="s">
        <v>1620</v>
      </c>
      <c r="J39" s="4" t="s">
        <v>377</v>
      </c>
      <c r="K39" s="63">
        <v>7</v>
      </c>
      <c r="L39" s="46"/>
      <c r="M39" s="13">
        <f>15109-3631</f>
        <v>11478</v>
      </c>
      <c r="N39" s="13">
        <f>26794-5939</f>
        <v>20855</v>
      </c>
      <c r="O39" s="13">
        <f t="shared" si="0"/>
        <v>32333</v>
      </c>
      <c r="P39" s="212"/>
    </row>
    <row r="40" spans="1:16" ht="29.25">
      <c r="A40" s="291" t="s">
        <v>11</v>
      </c>
      <c r="B40" s="140" t="s">
        <v>12</v>
      </c>
      <c r="C40" s="61" t="s">
        <v>376</v>
      </c>
      <c r="D40" s="61" t="s">
        <v>47</v>
      </c>
      <c r="E40" s="56"/>
      <c r="F40" s="56" t="s">
        <v>375</v>
      </c>
      <c r="G40" s="56" t="s">
        <v>376</v>
      </c>
      <c r="H40" s="47">
        <v>90182650</v>
      </c>
      <c r="I40" s="385" t="s">
        <v>1621</v>
      </c>
      <c r="J40" s="4" t="s">
        <v>377</v>
      </c>
      <c r="K40" s="63">
        <v>6</v>
      </c>
      <c r="L40" s="46"/>
      <c r="M40" s="13">
        <f>10099-4108</f>
        <v>5991</v>
      </c>
      <c r="N40" s="13">
        <f>18602-6798</f>
        <v>11804</v>
      </c>
      <c r="O40" s="13">
        <f t="shared" si="0"/>
        <v>17795</v>
      </c>
      <c r="P40" s="212"/>
    </row>
    <row r="41" spans="1:16" ht="29.25">
      <c r="A41" s="291" t="s">
        <v>11</v>
      </c>
      <c r="B41" s="140" t="s">
        <v>12</v>
      </c>
      <c r="C41" s="61" t="s">
        <v>376</v>
      </c>
      <c r="D41" s="61" t="s">
        <v>390</v>
      </c>
      <c r="E41" s="56"/>
      <c r="F41" s="56" t="s">
        <v>375</v>
      </c>
      <c r="G41" s="56" t="s">
        <v>376</v>
      </c>
      <c r="H41" s="47">
        <v>90103558</v>
      </c>
      <c r="I41" s="385" t="s">
        <v>1622</v>
      </c>
      <c r="J41" s="4" t="s">
        <v>377</v>
      </c>
      <c r="K41" s="63">
        <v>7.7</v>
      </c>
      <c r="L41" s="46"/>
      <c r="M41" s="13">
        <f>17962-4558</f>
        <v>13404</v>
      </c>
      <c r="N41" s="13">
        <f>32133-7108</f>
        <v>25025</v>
      </c>
      <c r="O41" s="13">
        <f t="shared" si="0"/>
        <v>38429</v>
      </c>
      <c r="P41" s="212"/>
    </row>
    <row r="42" spans="1:16" ht="29.25">
      <c r="A42" s="291" t="s">
        <v>11</v>
      </c>
      <c r="B42" s="140" t="s">
        <v>12</v>
      </c>
      <c r="C42" s="61" t="s">
        <v>376</v>
      </c>
      <c r="D42" s="61" t="s">
        <v>391</v>
      </c>
      <c r="E42" s="56"/>
      <c r="F42" s="56" t="s">
        <v>375</v>
      </c>
      <c r="G42" s="56" t="s">
        <v>376</v>
      </c>
      <c r="H42" s="47">
        <v>20342</v>
      </c>
      <c r="I42" s="396" t="s">
        <v>1623</v>
      </c>
      <c r="J42" s="4" t="s">
        <v>377</v>
      </c>
      <c r="K42" s="63">
        <v>7.7</v>
      </c>
      <c r="L42" s="46"/>
      <c r="M42" s="13">
        <f>104453-89499</f>
        <v>14954</v>
      </c>
      <c r="N42" s="13">
        <f>189662-163014</f>
        <v>26648</v>
      </c>
      <c r="O42" s="13">
        <f t="shared" si="0"/>
        <v>41602</v>
      </c>
      <c r="P42" s="212"/>
    </row>
    <row r="43" spans="1:16" ht="29.25">
      <c r="A43" s="291" t="s">
        <v>11</v>
      </c>
      <c r="B43" s="140" t="s">
        <v>12</v>
      </c>
      <c r="C43" s="61" t="s">
        <v>376</v>
      </c>
      <c r="D43" s="61" t="s">
        <v>392</v>
      </c>
      <c r="E43" s="56"/>
      <c r="F43" s="56" t="s">
        <v>375</v>
      </c>
      <c r="G43" s="56" t="s">
        <v>376</v>
      </c>
      <c r="H43" s="47">
        <v>70849250</v>
      </c>
      <c r="I43" s="385" t="s">
        <v>1624</v>
      </c>
      <c r="J43" s="4" t="s">
        <v>377</v>
      </c>
      <c r="K43" s="63">
        <v>6</v>
      </c>
      <c r="L43" s="46"/>
      <c r="M43" s="13">
        <f>35601-29123</f>
        <v>6478</v>
      </c>
      <c r="N43" s="13">
        <f>69705-56864</f>
        <v>12841</v>
      </c>
      <c r="O43" s="13">
        <f t="shared" si="0"/>
        <v>19319</v>
      </c>
      <c r="P43" s="212"/>
    </row>
    <row r="44" spans="1:16" ht="29.25">
      <c r="A44" s="291" t="s">
        <v>11</v>
      </c>
      <c r="B44" s="140" t="s">
        <v>12</v>
      </c>
      <c r="C44" s="61" t="s">
        <v>376</v>
      </c>
      <c r="D44" s="61" t="s">
        <v>169</v>
      </c>
      <c r="E44" s="56"/>
      <c r="F44" s="56" t="s">
        <v>375</v>
      </c>
      <c r="G44" s="56" t="s">
        <v>376</v>
      </c>
      <c r="H44" s="47">
        <v>13882</v>
      </c>
      <c r="I44" s="385" t="s">
        <v>1625</v>
      </c>
      <c r="J44" s="4" t="s">
        <v>377</v>
      </c>
      <c r="K44" s="63">
        <v>6</v>
      </c>
      <c r="L44" s="46"/>
      <c r="M44" s="13">
        <f>77486-65891</f>
        <v>11595</v>
      </c>
      <c r="N44" s="13">
        <f>77273-64470</f>
        <v>12803</v>
      </c>
      <c r="O44" s="13">
        <f t="shared" si="0"/>
        <v>24398</v>
      </c>
      <c r="P44" s="212"/>
    </row>
    <row r="45" spans="1:16" ht="29.25">
      <c r="A45" s="291" t="s">
        <v>11</v>
      </c>
      <c r="B45" s="140" t="s">
        <v>12</v>
      </c>
      <c r="C45" s="61" t="s">
        <v>393</v>
      </c>
      <c r="D45" s="61"/>
      <c r="E45" s="56"/>
      <c r="F45" s="56" t="s">
        <v>375</v>
      </c>
      <c r="G45" s="56" t="s">
        <v>376</v>
      </c>
      <c r="H45" s="47">
        <v>83294614</v>
      </c>
      <c r="I45" s="396" t="s">
        <v>1626</v>
      </c>
      <c r="J45" s="4" t="s">
        <v>377</v>
      </c>
      <c r="K45" s="63">
        <v>3</v>
      </c>
      <c r="L45" s="46"/>
      <c r="M45" s="13">
        <f>9964-2196</f>
        <v>7768</v>
      </c>
      <c r="N45" s="13">
        <f>18125-3821</f>
        <v>14304</v>
      </c>
      <c r="O45" s="13">
        <f t="shared" si="0"/>
        <v>22072</v>
      </c>
      <c r="P45" s="212"/>
    </row>
    <row r="46" spans="1:16" ht="29.25">
      <c r="A46" s="291" t="s">
        <v>11</v>
      </c>
      <c r="B46" s="140" t="s">
        <v>12</v>
      </c>
      <c r="C46" s="61" t="s">
        <v>376</v>
      </c>
      <c r="D46" s="61" t="s">
        <v>394</v>
      </c>
      <c r="E46" s="56"/>
      <c r="F46" s="56" t="s">
        <v>375</v>
      </c>
      <c r="G46" s="56" t="s">
        <v>376</v>
      </c>
      <c r="H46" s="47">
        <v>90103811</v>
      </c>
      <c r="I46" s="385" t="s">
        <v>1627</v>
      </c>
      <c r="J46" s="4" t="s">
        <v>377</v>
      </c>
      <c r="K46" s="63">
        <v>8</v>
      </c>
      <c r="L46" s="46"/>
      <c r="M46" s="13">
        <f>16242-3996</f>
        <v>12246</v>
      </c>
      <c r="N46" s="13">
        <f>28976-6591</f>
        <v>22385</v>
      </c>
      <c r="O46" s="13">
        <f t="shared" si="0"/>
        <v>34631</v>
      </c>
      <c r="P46" s="212"/>
    </row>
    <row r="47" spans="1:16" ht="29.25">
      <c r="A47" s="291" t="s">
        <v>11</v>
      </c>
      <c r="B47" s="140" t="s">
        <v>12</v>
      </c>
      <c r="C47" s="61" t="s">
        <v>395</v>
      </c>
      <c r="D47" s="61"/>
      <c r="E47" s="56"/>
      <c r="F47" s="56" t="s">
        <v>375</v>
      </c>
      <c r="G47" s="56" t="s">
        <v>376</v>
      </c>
      <c r="H47" s="47">
        <v>70810303</v>
      </c>
      <c r="I47" s="385" t="s">
        <v>1628</v>
      </c>
      <c r="J47" s="4" t="s">
        <v>377</v>
      </c>
      <c r="K47" s="63">
        <v>6</v>
      </c>
      <c r="L47" s="46"/>
      <c r="M47" s="13">
        <f>41874-33154</f>
        <v>8720</v>
      </c>
      <c r="N47" s="13">
        <f>83056-64585</f>
        <v>18471</v>
      </c>
      <c r="O47" s="13">
        <f t="shared" si="0"/>
        <v>27191</v>
      </c>
      <c r="P47" s="212"/>
    </row>
    <row r="48" spans="1:16" ht="29.25">
      <c r="A48" s="291" t="s">
        <v>11</v>
      </c>
      <c r="B48" s="140" t="s">
        <v>12</v>
      </c>
      <c r="C48" s="61" t="s">
        <v>395</v>
      </c>
      <c r="D48" s="61"/>
      <c r="E48" s="56"/>
      <c r="F48" s="56" t="s">
        <v>375</v>
      </c>
      <c r="G48" s="56" t="s">
        <v>376</v>
      </c>
      <c r="H48" s="47">
        <v>90103169</v>
      </c>
      <c r="I48" s="396" t="s">
        <v>1629</v>
      </c>
      <c r="J48" s="4" t="s">
        <v>377</v>
      </c>
      <c r="K48" s="63">
        <v>6</v>
      </c>
      <c r="L48" s="46"/>
      <c r="M48" s="13">
        <f>9315-2052</f>
        <v>7263</v>
      </c>
      <c r="N48" s="13">
        <f>17930-5741</f>
        <v>12189</v>
      </c>
      <c r="O48" s="13">
        <f t="shared" si="0"/>
        <v>19452</v>
      </c>
      <c r="P48" s="212"/>
    </row>
    <row r="49" spans="1:16" ht="29.25">
      <c r="A49" s="291" t="s">
        <v>11</v>
      </c>
      <c r="B49" s="140" t="s">
        <v>12</v>
      </c>
      <c r="C49" s="61" t="s">
        <v>396</v>
      </c>
      <c r="D49" s="61"/>
      <c r="E49" s="56"/>
      <c r="F49" s="56" t="s">
        <v>375</v>
      </c>
      <c r="G49" s="56" t="s">
        <v>376</v>
      </c>
      <c r="H49" s="47">
        <v>71878685</v>
      </c>
      <c r="I49" s="385" t="s">
        <v>1630</v>
      </c>
      <c r="J49" s="4" t="s">
        <v>377</v>
      </c>
      <c r="K49" s="63">
        <v>6</v>
      </c>
      <c r="L49" s="46"/>
      <c r="M49" s="13">
        <f>12534-5937</f>
        <v>6597</v>
      </c>
      <c r="N49" s="13">
        <f>24093-10729</f>
        <v>13364</v>
      </c>
      <c r="O49" s="13">
        <f t="shared" si="0"/>
        <v>19961</v>
      </c>
      <c r="P49" s="212"/>
    </row>
    <row r="50" spans="1:16" ht="29.25">
      <c r="A50" s="291" t="s">
        <v>11</v>
      </c>
      <c r="B50" s="140" t="s">
        <v>12</v>
      </c>
      <c r="C50" s="61" t="s">
        <v>397</v>
      </c>
      <c r="D50" s="61"/>
      <c r="E50" s="56"/>
      <c r="F50" s="56" t="s">
        <v>375</v>
      </c>
      <c r="G50" s="56" t="s">
        <v>376</v>
      </c>
      <c r="H50" s="47">
        <v>90101537</v>
      </c>
      <c r="I50" s="385" t="s">
        <v>1631</v>
      </c>
      <c r="J50" s="4" t="s">
        <v>377</v>
      </c>
      <c r="K50" s="63">
        <v>6</v>
      </c>
      <c r="L50" s="46"/>
      <c r="M50" s="13">
        <f>3373-692</f>
        <v>2681</v>
      </c>
      <c r="N50" s="13">
        <f>6824-1345</f>
        <v>5479</v>
      </c>
      <c r="O50" s="13">
        <f t="shared" si="0"/>
        <v>8160</v>
      </c>
      <c r="P50" s="212"/>
    </row>
    <row r="51" spans="1:16" ht="29.25">
      <c r="A51" s="291" t="s">
        <v>11</v>
      </c>
      <c r="B51" s="140" t="s">
        <v>12</v>
      </c>
      <c r="C51" s="61" t="s">
        <v>373</v>
      </c>
      <c r="D51" s="61" t="s">
        <v>209</v>
      </c>
      <c r="E51" s="56"/>
      <c r="F51" s="56" t="s">
        <v>375</v>
      </c>
      <c r="G51" s="56" t="s">
        <v>376</v>
      </c>
      <c r="H51" s="47">
        <v>90107669</v>
      </c>
      <c r="I51" s="396" t="s">
        <v>1632</v>
      </c>
      <c r="J51" s="4" t="s">
        <v>377</v>
      </c>
      <c r="K51" s="63">
        <v>6</v>
      </c>
      <c r="L51" s="46"/>
      <c r="M51" s="13">
        <f>17461-3770</f>
        <v>13691</v>
      </c>
      <c r="N51" s="13">
        <f>31914-6497</f>
        <v>25417</v>
      </c>
      <c r="O51" s="13">
        <f t="shared" si="0"/>
        <v>39108</v>
      </c>
      <c r="P51" s="212"/>
    </row>
    <row r="52" spans="1:16" ht="29.25">
      <c r="A52" s="291" t="s">
        <v>11</v>
      </c>
      <c r="B52" s="140" t="s">
        <v>12</v>
      </c>
      <c r="C52" s="61" t="s">
        <v>398</v>
      </c>
      <c r="D52" s="61"/>
      <c r="E52" s="56"/>
      <c r="F52" s="56" t="s">
        <v>375</v>
      </c>
      <c r="G52" s="56" t="s">
        <v>376</v>
      </c>
      <c r="H52" s="47">
        <v>1000158</v>
      </c>
      <c r="I52" s="385" t="s">
        <v>1633</v>
      </c>
      <c r="J52" s="4" t="s">
        <v>377</v>
      </c>
      <c r="K52" s="63">
        <v>3</v>
      </c>
      <c r="L52" s="46"/>
      <c r="M52" s="13">
        <f>18290-15628</f>
        <v>2662</v>
      </c>
      <c r="N52" s="13">
        <f>36955-31677</f>
        <v>5278</v>
      </c>
      <c r="O52" s="13">
        <f t="shared" si="0"/>
        <v>7940</v>
      </c>
      <c r="P52" s="212"/>
    </row>
    <row r="53" spans="1:16" ht="29.25">
      <c r="A53" s="291" t="s">
        <v>11</v>
      </c>
      <c r="B53" s="140" t="s">
        <v>12</v>
      </c>
      <c r="C53" s="61" t="s">
        <v>399</v>
      </c>
      <c r="D53" s="61"/>
      <c r="E53" s="56"/>
      <c r="F53" s="56" t="s">
        <v>375</v>
      </c>
      <c r="G53" s="56" t="s">
        <v>376</v>
      </c>
      <c r="H53" s="47">
        <v>83294609</v>
      </c>
      <c r="I53" s="385" t="s">
        <v>1634</v>
      </c>
      <c r="J53" s="4" t="s">
        <v>377</v>
      </c>
      <c r="K53" s="63">
        <v>3</v>
      </c>
      <c r="L53" s="46"/>
      <c r="M53" s="13">
        <f>2897-635</f>
        <v>2262</v>
      </c>
      <c r="N53" s="13">
        <f>6065-1233</f>
        <v>4832</v>
      </c>
      <c r="O53" s="13">
        <f t="shared" si="0"/>
        <v>7094</v>
      </c>
      <c r="P53" s="212"/>
    </row>
    <row r="54" spans="1:16" ht="29.25">
      <c r="A54" s="291" t="s">
        <v>11</v>
      </c>
      <c r="B54" s="140" t="s">
        <v>12</v>
      </c>
      <c r="C54" s="61" t="s">
        <v>399</v>
      </c>
      <c r="D54" s="61"/>
      <c r="E54" s="56"/>
      <c r="F54" s="56" t="s">
        <v>375</v>
      </c>
      <c r="G54" s="56" t="s">
        <v>376</v>
      </c>
      <c r="H54" s="47">
        <v>1003226</v>
      </c>
      <c r="I54" s="396" t="s">
        <v>1635</v>
      </c>
      <c r="J54" s="4" t="s">
        <v>377</v>
      </c>
      <c r="K54" s="63">
        <v>3</v>
      </c>
      <c r="L54" s="46"/>
      <c r="M54" s="13">
        <f>9505-7815</f>
        <v>1690</v>
      </c>
      <c r="N54" s="13">
        <f>16260-13670</f>
        <v>2590</v>
      </c>
      <c r="O54" s="13">
        <f t="shared" si="0"/>
        <v>4280</v>
      </c>
      <c r="P54" s="212"/>
    </row>
    <row r="55" spans="1:16" ht="29.25">
      <c r="A55" s="291" t="s">
        <v>11</v>
      </c>
      <c r="B55" s="140" t="s">
        <v>12</v>
      </c>
      <c r="C55" s="61" t="s">
        <v>400</v>
      </c>
      <c r="D55" s="61"/>
      <c r="E55" s="56"/>
      <c r="F55" s="56" t="s">
        <v>375</v>
      </c>
      <c r="G55" s="56" t="s">
        <v>376</v>
      </c>
      <c r="H55" s="47">
        <v>90102092</v>
      </c>
      <c r="I55" s="385" t="s">
        <v>1636</v>
      </c>
      <c r="J55" s="4" t="s">
        <v>377</v>
      </c>
      <c r="K55" s="63">
        <v>12</v>
      </c>
      <c r="L55" s="46"/>
      <c r="M55" s="13">
        <f>7219-1472</f>
        <v>5747</v>
      </c>
      <c r="N55" s="13">
        <f>12558-2562</f>
        <v>9996</v>
      </c>
      <c r="O55" s="13">
        <f t="shared" si="0"/>
        <v>15743</v>
      </c>
      <c r="P55" s="212"/>
    </row>
    <row r="56" spans="1:16" ht="29.25">
      <c r="A56" s="291" t="s">
        <v>11</v>
      </c>
      <c r="B56" s="140" t="s">
        <v>12</v>
      </c>
      <c r="C56" s="61" t="s">
        <v>401</v>
      </c>
      <c r="D56" s="61"/>
      <c r="E56" s="56"/>
      <c r="F56" s="56" t="s">
        <v>375</v>
      </c>
      <c r="G56" s="56" t="s">
        <v>376</v>
      </c>
      <c r="H56" s="47">
        <v>83294594</v>
      </c>
      <c r="I56" s="385" t="s">
        <v>1637</v>
      </c>
      <c r="J56" s="4" t="s">
        <v>377</v>
      </c>
      <c r="K56" s="63">
        <v>3</v>
      </c>
      <c r="L56" s="46"/>
      <c r="M56" s="13">
        <f>2788-687</f>
        <v>2101</v>
      </c>
      <c r="N56" s="13">
        <f>5641-1357</f>
        <v>4284</v>
      </c>
      <c r="O56" s="13">
        <f t="shared" si="0"/>
        <v>6385</v>
      </c>
      <c r="P56" s="212"/>
    </row>
    <row r="57" spans="1:16" ht="29.25">
      <c r="A57" s="291" t="s">
        <v>11</v>
      </c>
      <c r="B57" s="140" t="s">
        <v>12</v>
      </c>
      <c r="C57" s="61" t="s">
        <v>401</v>
      </c>
      <c r="D57" s="61"/>
      <c r="E57" s="56"/>
      <c r="F57" s="56" t="s">
        <v>375</v>
      </c>
      <c r="G57" s="56" t="s">
        <v>376</v>
      </c>
      <c r="H57" s="47">
        <v>83294213</v>
      </c>
      <c r="I57" s="396" t="s">
        <v>1638</v>
      </c>
      <c r="J57" s="4" t="s">
        <v>377</v>
      </c>
      <c r="K57" s="63">
        <v>2</v>
      </c>
      <c r="L57" s="46"/>
      <c r="M57" s="13">
        <f>6321-1612</f>
        <v>4709</v>
      </c>
      <c r="N57" s="13">
        <f>13273-3004</f>
        <v>10269</v>
      </c>
      <c r="O57" s="13">
        <f t="shared" si="0"/>
        <v>14978</v>
      </c>
      <c r="P57" s="212"/>
    </row>
    <row r="58" spans="1:16" ht="29.25">
      <c r="A58" s="291" t="s">
        <v>11</v>
      </c>
      <c r="B58" s="140" t="s">
        <v>12</v>
      </c>
      <c r="C58" s="61" t="s">
        <v>402</v>
      </c>
      <c r="D58" s="61" t="s">
        <v>403</v>
      </c>
      <c r="E58" s="56"/>
      <c r="F58" s="56" t="s">
        <v>375</v>
      </c>
      <c r="G58" s="56" t="s">
        <v>376</v>
      </c>
      <c r="H58" s="47">
        <v>14481590</v>
      </c>
      <c r="I58" s="385" t="s">
        <v>1639</v>
      </c>
      <c r="J58" s="4" t="s">
        <v>377</v>
      </c>
      <c r="K58" s="63">
        <v>2</v>
      </c>
      <c r="L58" s="46"/>
      <c r="M58" s="13">
        <f>26175-24184</f>
        <v>1991</v>
      </c>
      <c r="N58" s="13">
        <f>53454-49029</f>
        <v>4425</v>
      </c>
      <c r="O58" s="13">
        <f t="shared" si="0"/>
        <v>6416</v>
      </c>
      <c r="P58" s="212"/>
    </row>
    <row r="59" spans="1:16" ht="29.25">
      <c r="A59" s="291" t="s">
        <v>11</v>
      </c>
      <c r="B59" s="140" t="s">
        <v>12</v>
      </c>
      <c r="C59" s="61" t="s">
        <v>404</v>
      </c>
      <c r="D59" s="61"/>
      <c r="E59" s="56"/>
      <c r="F59" s="56" t="s">
        <v>375</v>
      </c>
      <c r="G59" s="56" t="s">
        <v>376</v>
      </c>
      <c r="H59" s="47">
        <v>96781</v>
      </c>
      <c r="I59" s="385" t="s">
        <v>1640</v>
      </c>
      <c r="J59" s="4" t="s">
        <v>377</v>
      </c>
      <c r="K59" s="63">
        <v>3</v>
      </c>
      <c r="L59" s="46"/>
      <c r="M59" s="13">
        <f>23388-19662</f>
        <v>3726</v>
      </c>
      <c r="N59" s="13">
        <f>45341-38795</f>
        <v>6546</v>
      </c>
      <c r="O59" s="13">
        <f t="shared" si="0"/>
        <v>10272</v>
      </c>
      <c r="P59" s="212"/>
    </row>
    <row r="60" spans="1:16" ht="29.25">
      <c r="A60" s="291" t="s">
        <v>11</v>
      </c>
      <c r="B60" s="140" t="s">
        <v>12</v>
      </c>
      <c r="C60" s="61" t="s">
        <v>405</v>
      </c>
      <c r="D60" s="61"/>
      <c r="E60" s="56"/>
      <c r="F60" s="56" t="s">
        <v>375</v>
      </c>
      <c r="G60" s="56" t="s">
        <v>376</v>
      </c>
      <c r="H60" s="47">
        <v>14813</v>
      </c>
      <c r="I60" s="396" t="s">
        <v>1641</v>
      </c>
      <c r="J60" s="4" t="s">
        <v>377</v>
      </c>
      <c r="K60" s="63">
        <v>6</v>
      </c>
      <c r="L60" s="46"/>
      <c r="M60" s="13">
        <f>36228-29060</f>
        <v>7168</v>
      </c>
      <c r="N60" s="13">
        <f>69687-53354</f>
        <v>16333</v>
      </c>
      <c r="O60" s="13">
        <f t="shared" si="0"/>
        <v>23501</v>
      </c>
      <c r="P60" s="212"/>
    </row>
    <row r="61" spans="1:16" ht="29.25">
      <c r="A61" s="291" t="s">
        <v>11</v>
      </c>
      <c r="B61" s="140" t="s">
        <v>12</v>
      </c>
      <c r="C61" s="61" t="s">
        <v>406</v>
      </c>
      <c r="D61" s="61"/>
      <c r="E61" s="56"/>
      <c r="F61" s="56" t="s">
        <v>375</v>
      </c>
      <c r="G61" s="56" t="s">
        <v>376</v>
      </c>
      <c r="H61" s="47">
        <v>1547465</v>
      </c>
      <c r="I61" s="385" t="s">
        <v>1642</v>
      </c>
      <c r="J61" s="4" t="s">
        <v>377</v>
      </c>
      <c r="K61" s="63">
        <v>3</v>
      </c>
      <c r="L61" s="46"/>
      <c r="M61" s="13">
        <f>4199-2160</f>
        <v>2039</v>
      </c>
      <c r="N61" s="13">
        <f>7768-3946</f>
        <v>3822</v>
      </c>
      <c r="O61" s="13">
        <f t="shared" si="0"/>
        <v>5861</v>
      </c>
      <c r="P61" s="212"/>
    </row>
    <row r="62" spans="1:16" ht="29.25">
      <c r="A62" s="291" t="s">
        <v>11</v>
      </c>
      <c r="B62" s="140" t="s">
        <v>12</v>
      </c>
      <c r="C62" s="61" t="s">
        <v>396</v>
      </c>
      <c r="D62" s="61"/>
      <c r="E62" s="56"/>
      <c r="F62" s="56" t="s">
        <v>375</v>
      </c>
      <c r="G62" s="56" t="s">
        <v>376</v>
      </c>
      <c r="H62" s="47">
        <v>83294620</v>
      </c>
      <c r="I62" s="385" t="s">
        <v>1643</v>
      </c>
      <c r="J62" s="4" t="s">
        <v>377</v>
      </c>
      <c r="K62" s="63">
        <v>3</v>
      </c>
      <c r="L62" s="46"/>
      <c r="M62" s="13">
        <f>3291-788</f>
        <v>2503</v>
      </c>
      <c r="N62" s="13">
        <f>6525-1427</f>
        <v>5098</v>
      </c>
      <c r="O62" s="13">
        <f t="shared" si="0"/>
        <v>7601</v>
      </c>
      <c r="P62" s="212"/>
    </row>
    <row r="63" spans="1:16" ht="29.25">
      <c r="A63" s="291" t="s">
        <v>11</v>
      </c>
      <c r="B63" s="140" t="s">
        <v>12</v>
      </c>
      <c r="C63" s="61" t="s">
        <v>397</v>
      </c>
      <c r="D63" s="61" t="s">
        <v>407</v>
      </c>
      <c r="E63" s="56">
        <v>2</v>
      </c>
      <c r="F63" s="56" t="s">
        <v>375</v>
      </c>
      <c r="G63" s="56" t="s">
        <v>376</v>
      </c>
      <c r="H63" s="47">
        <v>3372535</v>
      </c>
      <c r="I63" s="396" t="s">
        <v>1644</v>
      </c>
      <c r="J63" s="4" t="s">
        <v>377</v>
      </c>
      <c r="K63" s="63">
        <v>2</v>
      </c>
      <c r="L63" s="46"/>
      <c r="M63" s="13">
        <f>59464-52195</f>
        <v>7269</v>
      </c>
      <c r="N63" s="13">
        <f>19883-4036</f>
        <v>15847</v>
      </c>
      <c r="O63" s="13">
        <f aca="true" t="shared" si="1" ref="O63:O86">SUM(M63:N63)</f>
        <v>23116</v>
      </c>
      <c r="P63" s="212"/>
    </row>
    <row r="64" spans="1:16" ht="29.25">
      <c r="A64" s="291" t="s">
        <v>11</v>
      </c>
      <c r="B64" s="140" t="s">
        <v>12</v>
      </c>
      <c r="C64" s="61" t="s">
        <v>406</v>
      </c>
      <c r="D64" s="61"/>
      <c r="E64" s="56"/>
      <c r="F64" s="56" t="s">
        <v>375</v>
      </c>
      <c r="G64" s="56" t="s">
        <v>376</v>
      </c>
      <c r="H64" s="47">
        <v>36156</v>
      </c>
      <c r="I64" s="385" t="s">
        <v>1645</v>
      </c>
      <c r="J64" s="4" t="s">
        <v>377</v>
      </c>
      <c r="K64" s="63">
        <v>2</v>
      </c>
      <c r="L64" s="46"/>
      <c r="M64" s="13">
        <f>31784-27747</f>
        <v>4037</v>
      </c>
      <c r="N64" s="13">
        <f>55567-48520</f>
        <v>7047</v>
      </c>
      <c r="O64" s="13">
        <f>SUM(M64:N64)</f>
        <v>11084</v>
      </c>
      <c r="P64" s="212"/>
    </row>
    <row r="65" spans="1:16" ht="29.25">
      <c r="A65" s="291" t="s">
        <v>11</v>
      </c>
      <c r="B65" s="140" t="s">
        <v>12</v>
      </c>
      <c r="C65" s="61" t="s">
        <v>376</v>
      </c>
      <c r="D65" s="61" t="s">
        <v>209</v>
      </c>
      <c r="E65" s="56"/>
      <c r="F65" s="56" t="s">
        <v>375</v>
      </c>
      <c r="G65" s="56" t="s">
        <v>376</v>
      </c>
      <c r="H65" s="47">
        <v>70619128</v>
      </c>
      <c r="I65" s="385" t="s">
        <v>1646</v>
      </c>
      <c r="J65" s="4" t="s">
        <v>377</v>
      </c>
      <c r="K65" s="63">
        <v>4.5</v>
      </c>
      <c r="L65" s="46"/>
      <c r="M65" s="13">
        <f>43552-36752</f>
        <v>6800</v>
      </c>
      <c r="N65" s="13">
        <f>83953-69591</f>
        <v>14362</v>
      </c>
      <c r="O65" s="13">
        <f t="shared" si="1"/>
        <v>21162</v>
      </c>
      <c r="P65" s="212"/>
    </row>
    <row r="66" spans="1:16" ht="29.25">
      <c r="A66" s="291" t="s">
        <v>11</v>
      </c>
      <c r="B66" s="140" t="s">
        <v>12</v>
      </c>
      <c r="C66" s="61" t="s">
        <v>404</v>
      </c>
      <c r="D66" s="61"/>
      <c r="E66" s="56"/>
      <c r="F66" s="56" t="s">
        <v>375</v>
      </c>
      <c r="G66" s="56" t="s">
        <v>376</v>
      </c>
      <c r="H66" s="47">
        <v>90100030</v>
      </c>
      <c r="I66" s="396" t="s">
        <v>1647</v>
      </c>
      <c r="J66" s="4" t="s">
        <v>377</v>
      </c>
      <c r="K66" s="63">
        <v>6</v>
      </c>
      <c r="L66" s="46"/>
      <c r="M66" s="13">
        <f>4837-1112</f>
        <v>3725</v>
      </c>
      <c r="N66" s="13">
        <f>9290-1994</f>
        <v>7296</v>
      </c>
      <c r="O66" s="13">
        <f t="shared" si="1"/>
        <v>11021</v>
      </c>
      <c r="P66" s="212"/>
    </row>
    <row r="67" spans="1:16" ht="29.25">
      <c r="A67" s="291" t="s">
        <v>11</v>
      </c>
      <c r="B67" s="140" t="s">
        <v>12</v>
      </c>
      <c r="C67" s="61" t="s">
        <v>386</v>
      </c>
      <c r="D67" s="61" t="s">
        <v>209</v>
      </c>
      <c r="E67" s="56"/>
      <c r="F67" s="56" t="s">
        <v>375</v>
      </c>
      <c r="G67" s="56" t="s">
        <v>376</v>
      </c>
      <c r="H67" s="47">
        <v>90104506</v>
      </c>
      <c r="I67" s="385" t="s">
        <v>1648</v>
      </c>
      <c r="J67" s="4" t="s">
        <v>377</v>
      </c>
      <c r="K67" s="63">
        <v>2</v>
      </c>
      <c r="L67" s="46"/>
      <c r="M67" s="13">
        <f>6379-1330</f>
        <v>5049</v>
      </c>
      <c r="N67" s="13">
        <f>10976-2061</f>
        <v>8915</v>
      </c>
      <c r="O67" s="13">
        <f t="shared" si="1"/>
        <v>13964</v>
      </c>
      <c r="P67" s="212"/>
    </row>
    <row r="68" spans="1:16" ht="29.25">
      <c r="A68" s="291" t="s">
        <v>11</v>
      </c>
      <c r="B68" s="140" t="s">
        <v>12</v>
      </c>
      <c r="C68" s="61" t="s">
        <v>376</v>
      </c>
      <c r="D68" s="61" t="s">
        <v>408</v>
      </c>
      <c r="E68" s="56"/>
      <c r="F68" s="56" t="s">
        <v>375</v>
      </c>
      <c r="G68" s="56" t="s">
        <v>376</v>
      </c>
      <c r="H68" s="47">
        <v>90102882</v>
      </c>
      <c r="I68" s="385" t="s">
        <v>1649</v>
      </c>
      <c r="J68" s="4" t="s">
        <v>377</v>
      </c>
      <c r="K68" s="63">
        <v>6</v>
      </c>
      <c r="L68" s="46"/>
      <c r="M68" s="13">
        <f>4259-908</f>
        <v>3351</v>
      </c>
      <c r="N68" s="13">
        <f>7165-1549</f>
        <v>5616</v>
      </c>
      <c r="O68" s="13">
        <f t="shared" si="1"/>
        <v>8967</v>
      </c>
      <c r="P68" s="212"/>
    </row>
    <row r="69" spans="1:16" ht="29.25">
      <c r="A69" s="291" t="s">
        <v>11</v>
      </c>
      <c r="B69" s="140" t="s">
        <v>12</v>
      </c>
      <c r="C69" s="61" t="s">
        <v>376</v>
      </c>
      <c r="D69" s="61" t="s">
        <v>409</v>
      </c>
      <c r="E69" s="56"/>
      <c r="F69" s="56" t="s">
        <v>375</v>
      </c>
      <c r="G69" s="56" t="s">
        <v>376</v>
      </c>
      <c r="H69" s="47">
        <v>83294577</v>
      </c>
      <c r="I69" s="396" t="s">
        <v>1650</v>
      </c>
      <c r="J69" s="4" t="s">
        <v>377</v>
      </c>
      <c r="K69" s="63">
        <v>3</v>
      </c>
      <c r="L69" s="46"/>
      <c r="M69" s="13">
        <f>812-187</f>
        <v>625</v>
      </c>
      <c r="N69" s="13">
        <f>1713-369</f>
        <v>1344</v>
      </c>
      <c r="O69" s="13">
        <f t="shared" si="1"/>
        <v>1969</v>
      </c>
      <c r="P69" s="212"/>
    </row>
    <row r="70" spans="1:16" ht="29.25">
      <c r="A70" s="291" t="s">
        <v>11</v>
      </c>
      <c r="B70" s="140" t="s">
        <v>12</v>
      </c>
      <c r="C70" s="61" t="s">
        <v>410</v>
      </c>
      <c r="D70" s="61"/>
      <c r="E70" s="56"/>
      <c r="F70" s="56" t="s">
        <v>375</v>
      </c>
      <c r="G70" s="56" t="s">
        <v>376</v>
      </c>
      <c r="H70" s="47">
        <v>83294583</v>
      </c>
      <c r="I70" s="385" t="s">
        <v>1651</v>
      </c>
      <c r="J70" s="4" t="s">
        <v>377</v>
      </c>
      <c r="K70" s="63">
        <v>3</v>
      </c>
      <c r="L70" s="46"/>
      <c r="M70" s="13">
        <f>4031-754</f>
        <v>3277</v>
      </c>
      <c r="N70" s="13">
        <f>8309-1226</f>
        <v>7083</v>
      </c>
      <c r="O70" s="13">
        <f t="shared" si="1"/>
        <v>10360</v>
      </c>
      <c r="P70" s="212"/>
    </row>
    <row r="71" spans="1:16" ht="29.25">
      <c r="A71" s="291" t="s">
        <v>11</v>
      </c>
      <c r="B71" s="140" t="s">
        <v>12</v>
      </c>
      <c r="C71" s="61" t="s">
        <v>402</v>
      </c>
      <c r="D71" s="61"/>
      <c r="E71" s="56"/>
      <c r="F71" s="56" t="s">
        <v>375</v>
      </c>
      <c r="G71" s="56" t="s">
        <v>376</v>
      </c>
      <c r="H71" s="47">
        <v>96943</v>
      </c>
      <c r="I71" s="385" t="s">
        <v>1652</v>
      </c>
      <c r="J71" s="4" t="s">
        <v>377</v>
      </c>
      <c r="K71" s="63">
        <v>3</v>
      </c>
      <c r="L71" s="46"/>
      <c r="M71" s="13">
        <f>9101-7924</f>
        <v>1177</v>
      </c>
      <c r="N71" s="13">
        <f>17670-15241</f>
        <v>2429</v>
      </c>
      <c r="O71" s="13">
        <f t="shared" si="1"/>
        <v>3606</v>
      </c>
      <c r="P71" s="212"/>
    </row>
    <row r="72" spans="1:16" ht="29.25">
      <c r="A72" s="291" t="s">
        <v>11</v>
      </c>
      <c r="B72" s="140" t="s">
        <v>12</v>
      </c>
      <c r="C72" s="61" t="s">
        <v>395</v>
      </c>
      <c r="D72" s="61" t="s">
        <v>61</v>
      </c>
      <c r="E72" s="56"/>
      <c r="F72" s="56" t="s">
        <v>375</v>
      </c>
      <c r="G72" s="56" t="s">
        <v>376</v>
      </c>
      <c r="H72" s="47">
        <v>96782</v>
      </c>
      <c r="I72" s="396" t="s">
        <v>1653</v>
      </c>
      <c r="J72" s="4" t="s">
        <v>377</v>
      </c>
      <c r="K72" s="63">
        <v>3</v>
      </c>
      <c r="L72" s="46"/>
      <c r="M72" s="13">
        <f>6715-5009</f>
        <v>1706</v>
      </c>
      <c r="N72" s="13">
        <f>8644-8128</f>
        <v>516</v>
      </c>
      <c r="O72" s="13">
        <f t="shared" si="1"/>
        <v>2222</v>
      </c>
      <c r="P72" s="212"/>
    </row>
    <row r="73" spans="1:16" ht="29.25">
      <c r="A73" s="291" t="s">
        <v>11</v>
      </c>
      <c r="B73" s="140" t="s">
        <v>12</v>
      </c>
      <c r="C73" s="61" t="s">
        <v>411</v>
      </c>
      <c r="D73" s="61"/>
      <c r="E73" s="56"/>
      <c r="F73" s="56" t="s">
        <v>375</v>
      </c>
      <c r="G73" s="56" t="s">
        <v>376</v>
      </c>
      <c r="H73" s="47">
        <v>83294621</v>
      </c>
      <c r="I73" s="385" t="s">
        <v>1654</v>
      </c>
      <c r="J73" s="4" t="s">
        <v>377</v>
      </c>
      <c r="K73" s="63">
        <v>3</v>
      </c>
      <c r="L73" s="46"/>
      <c r="M73" s="13">
        <f>3499-787</f>
        <v>2712</v>
      </c>
      <c r="N73" s="13">
        <f>6119-1246</f>
        <v>4873</v>
      </c>
      <c r="O73" s="13">
        <f t="shared" si="1"/>
        <v>7585</v>
      </c>
      <c r="P73" s="212"/>
    </row>
    <row r="74" spans="1:16" ht="29.25">
      <c r="A74" s="291" t="s">
        <v>11</v>
      </c>
      <c r="B74" s="140" t="s">
        <v>12</v>
      </c>
      <c r="C74" s="61" t="s">
        <v>386</v>
      </c>
      <c r="D74" s="61"/>
      <c r="E74" s="56"/>
      <c r="F74" s="56" t="s">
        <v>375</v>
      </c>
      <c r="G74" s="56" t="s">
        <v>376</v>
      </c>
      <c r="H74" s="47">
        <v>49672</v>
      </c>
      <c r="I74" s="385" t="s">
        <v>1655</v>
      </c>
      <c r="J74" s="4" t="s">
        <v>377</v>
      </c>
      <c r="K74" s="63">
        <v>3</v>
      </c>
      <c r="L74" s="46"/>
      <c r="M74" s="13">
        <f>90251-76324</f>
        <v>13927</v>
      </c>
      <c r="N74" s="13">
        <f>161224-140836</f>
        <v>20388</v>
      </c>
      <c r="O74" s="13">
        <f t="shared" si="1"/>
        <v>34315</v>
      </c>
      <c r="P74" s="212"/>
    </row>
    <row r="75" spans="1:16" ht="29.25">
      <c r="A75" s="291" t="s">
        <v>11</v>
      </c>
      <c r="B75" s="140" t="s">
        <v>12</v>
      </c>
      <c r="C75" s="61" t="s">
        <v>412</v>
      </c>
      <c r="D75" s="61"/>
      <c r="E75" s="56"/>
      <c r="F75" s="56" t="s">
        <v>375</v>
      </c>
      <c r="G75" s="56" t="s">
        <v>376</v>
      </c>
      <c r="H75" s="47">
        <v>83294574</v>
      </c>
      <c r="I75" s="396" t="s">
        <v>1656</v>
      </c>
      <c r="J75" s="4" t="s">
        <v>377</v>
      </c>
      <c r="K75" s="63">
        <v>4</v>
      </c>
      <c r="L75" s="46"/>
      <c r="M75" s="13">
        <f>998-230</f>
        <v>768</v>
      </c>
      <c r="N75" s="13">
        <f>2119-462</f>
        <v>1657</v>
      </c>
      <c r="O75" s="13">
        <f t="shared" si="1"/>
        <v>2425</v>
      </c>
      <c r="P75" s="212"/>
    </row>
    <row r="76" spans="1:16" ht="29.25">
      <c r="A76" s="291" t="s">
        <v>11</v>
      </c>
      <c r="B76" s="140" t="s">
        <v>12</v>
      </c>
      <c r="C76" s="61" t="s">
        <v>413</v>
      </c>
      <c r="D76" s="61"/>
      <c r="E76" s="56"/>
      <c r="F76" s="56" t="s">
        <v>414</v>
      </c>
      <c r="G76" s="56" t="s">
        <v>415</v>
      </c>
      <c r="H76" s="47">
        <v>90071258</v>
      </c>
      <c r="I76" s="385" t="s">
        <v>1657</v>
      </c>
      <c r="J76" s="4" t="s">
        <v>377</v>
      </c>
      <c r="K76" s="63">
        <v>6</v>
      </c>
      <c r="L76" s="46"/>
      <c r="M76" s="13">
        <f>2762-647</f>
        <v>2115</v>
      </c>
      <c r="N76" s="13">
        <f>5096-1084</f>
        <v>4012</v>
      </c>
      <c r="O76" s="13">
        <f t="shared" si="1"/>
        <v>6127</v>
      </c>
      <c r="P76" s="212"/>
    </row>
    <row r="77" spans="1:16" ht="29.25">
      <c r="A77" s="291" t="s">
        <v>11</v>
      </c>
      <c r="B77" s="140" t="s">
        <v>12</v>
      </c>
      <c r="C77" s="61" t="s">
        <v>404</v>
      </c>
      <c r="D77" s="61"/>
      <c r="E77" s="56"/>
      <c r="F77" s="56" t="s">
        <v>375</v>
      </c>
      <c r="G77" s="56" t="s">
        <v>376</v>
      </c>
      <c r="H77" s="47">
        <v>32665</v>
      </c>
      <c r="I77" s="385" t="s">
        <v>1658</v>
      </c>
      <c r="J77" s="4" t="s">
        <v>377</v>
      </c>
      <c r="K77" s="63">
        <v>2</v>
      </c>
      <c r="L77" s="46"/>
      <c r="M77" s="13">
        <f>18136-15060</f>
        <v>3076</v>
      </c>
      <c r="N77" s="13">
        <f>33451-26825</f>
        <v>6626</v>
      </c>
      <c r="O77" s="13">
        <f t="shared" si="1"/>
        <v>9702</v>
      </c>
      <c r="P77" s="212"/>
    </row>
    <row r="78" spans="1:16" ht="29.25">
      <c r="A78" s="291" t="s">
        <v>11</v>
      </c>
      <c r="B78" s="140" t="s">
        <v>12</v>
      </c>
      <c r="C78" s="61" t="s">
        <v>386</v>
      </c>
      <c r="D78" s="61" t="s">
        <v>416</v>
      </c>
      <c r="E78" s="56"/>
      <c r="F78" s="56" t="s">
        <v>375</v>
      </c>
      <c r="G78" s="56" t="s">
        <v>376</v>
      </c>
      <c r="H78" s="47">
        <v>45828</v>
      </c>
      <c r="I78" s="396" t="s">
        <v>1659</v>
      </c>
      <c r="J78" s="4" t="s">
        <v>377</v>
      </c>
      <c r="K78" s="63">
        <v>1</v>
      </c>
      <c r="L78" s="46"/>
      <c r="M78" s="13">
        <f>15772-11873</f>
        <v>3899</v>
      </c>
      <c r="N78" s="13">
        <f>29150-21809</f>
        <v>7341</v>
      </c>
      <c r="O78" s="13">
        <f t="shared" si="1"/>
        <v>11240</v>
      </c>
      <c r="P78" s="212"/>
    </row>
    <row r="79" spans="1:16" ht="29.25">
      <c r="A79" s="291" t="s">
        <v>11</v>
      </c>
      <c r="B79" s="140" t="s">
        <v>12</v>
      </c>
      <c r="C79" s="61" t="s">
        <v>393</v>
      </c>
      <c r="D79" s="61"/>
      <c r="E79" s="56"/>
      <c r="F79" s="56" t="s">
        <v>375</v>
      </c>
      <c r="G79" s="56" t="s">
        <v>376</v>
      </c>
      <c r="H79" s="47">
        <v>90071447</v>
      </c>
      <c r="I79" s="385" t="s">
        <v>1660</v>
      </c>
      <c r="J79" s="4" t="s">
        <v>377</v>
      </c>
      <c r="K79" s="63">
        <v>1</v>
      </c>
      <c r="L79" s="46"/>
      <c r="M79" s="13">
        <f>2139-628</f>
        <v>1511</v>
      </c>
      <c r="N79" s="13">
        <f>4260-911</f>
        <v>3349</v>
      </c>
      <c r="O79" s="13">
        <f t="shared" si="1"/>
        <v>4860</v>
      </c>
      <c r="P79" s="212"/>
    </row>
    <row r="80" spans="1:16" ht="29.25">
      <c r="A80" s="291" t="s">
        <v>11</v>
      </c>
      <c r="B80" s="140" t="s">
        <v>12</v>
      </c>
      <c r="C80" s="61" t="s">
        <v>404</v>
      </c>
      <c r="D80" s="61"/>
      <c r="E80" s="56"/>
      <c r="F80" s="56" t="s">
        <v>375</v>
      </c>
      <c r="G80" s="56" t="s">
        <v>376</v>
      </c>
      <c r="H80" s="47">
        <v>90073953</v>
      </c>
      <c r="I80" s="385" t="s">
        <v>1661</v>
      </c>
      <c r="J80" s="4" t="s">
        <v>377</v>
      </c>
      <c r="K80" s="63">
        <v>7</v>
      </c>
      <c r="L80" s="46"/>
      <c r="M80" s="13">
        <f>7448-1850</f>
        <v>5598</v>
      </c>
      <c r="N80" s="13">
        <f>13169-2872</f>
        <v>10297</v>
      </c>
      <c r="O80" s="13">
        <f t="shared" si="1"/>
        <v>15895</v>
      </c>
      <c r="P80" s="212"/>
    </row>
    <row r="81" spans="1:16" ht="29.25">
      <c r="A81" s="291" t="s">
        <v>11</v>
      </c>
      <c r="B81" s="140" t="s">
        <v>12</v>
      </c>
      <c r="C81" s="61" t="s">
        <v>406</v>
      </c>
      <c r="D81" s="61"/>
      <c r="E81" s="56"/>
      <c r="F81" s="56" t="s">
        <v>375</v>
      </c>
      <c r="G81" s="56" t="s">
        <v>376</v>
      </c>
      <c r="H81" s="47">
        <v>83294533</v>
      </c>
      <c r="I81" s="396" t="s">
        <v>1662</v>
      </c>
      <c r="J81" s="4" t="s">
        <v>377</v>
      </c>
      <c r="K81" s="63">
        <v>2</v>
      </c>
      <c r="L81" s="46"/>
      <c r="M81" s="13">
        <f>2238-545</f>
        <v>1693</v>
      </c>
      <c r="N81" s="13">
        <f>4205-919</f>
        <v>3286</v>
      </c>
      <c r="O81" s="13">
        <f t="shared" si="1"/>
        <v>4979</v>
      </c>
      <c r="P81" s="212"/>
    </row>
    <row r="82" spans="1:16" ht="29.25">
      <c r="A82" s="291" t="s">
        <v>11</v>
      </c>
      <c r="B82" s="140" t="s">
        <v>12</v>
      </c>
      <c r="C82" s="61" t="s">
        <v>417</v>
      </c>
      <c r="D82" s="61"/>
      <c r="E82" s="56"/>
      <c r="F82" s="56" t="s">
        <v>375</v>
      </c>
      <c r="G82" s="56" t="s">
        <v>376</v>
      </c>
      <c r="H82" s="47">
        <v>83294261</v>
      </c>
      <c r="I82" s="385" t="s">
        <v>1663</v>
      </c>
      <c r="J82" s="4" t="s">
        <v>377</v>
      </c>
      <c r="K82" s="63">
        <v>0.5</v>
      </c>
      <c r="L82" s="46"/>
      <c r="M82" s="13">
        <f>269-61</f>
        <v>208</v>
      </c>
      <c r="N82" s="13">
        <f>554-84</f>
        <v>470</v>
      </c>
      <c r="O82" s="13">
        <f t="shared" si="1"/>
        <v>678</v>
      </c>
      <c r="P82" s="212"/>
    </row>
    <row r="83" spans="1:16" ht="29.25">
      <c r="A83" s="291" t="s">
        <v>11</v>
      </c>
      <c r="B83" s="140" t="s">
        <v>12</v>
      </c>
      <c r="C83" s="61" t="s">
        <v>410</v>
      </c>
      <c r="D83" s="61"/>
      <c r="E83" s="56">
        <v>70</v>
      </c>
      <c r="F83" s="56" t="s">
        <v>375</v>
      </c>
      <c r="G83" s="56" t="s">
        <v>376</v>
      </c>
      <c r="H83" s="47">
        <v>14498201</v>
      </c>
      <c r="I83" s="385" t="s">
        <v>1664</v>
      </c>
      <c r="J83" s="4" t="s">
        <v>377</v>
      </c>
      <c r="K83" s="63">
        <v>1</v>
      </c>
      <c r="L83" s="46"/>
      <c r="M83" s="13">
        <f>14822-12058</f>
        <v>2764</v>
      </c>
      <c r="N83" s="13">
        <f>19464-17715</f>
        <v>1749</v>
      </c>
      <c r="O83" s="13">
        <f t="shared" si="1"/>
        <v>4513</v>
      </c>
      <c r="P83" s="212"/>
    </row>
    <row r="84" spans="1:16" ht="29.25">
      <c r="A84" s="291" t="s">
        <v>11</v>
      </c>
      <c r="B84" s="140" t="s">
        <v>12</v>
      </c>
      <c r="C84" s="61" t="s">
        <v>410</v>
      </c>
      <c r="D84" s="61"/>
      <c r="E84" s="56" t="s">
        <v>418</v>
      </c>
      <c r="F84" s="56" t="s">
        <v>375</v>
      </c>
      <c r="G84" s="56" t="s">
        <v>376</v>
      </c>
      <c r="H84" s="47">
        <v>83294559</v>
      </c>
      <c r="I84" s="396" t="s">
        <v>1665</v>
      </c>
      <c r="J84" s="4" t="s">
        <v>377</v>
      </c>
      <c r="K84" s="63">
        <v>1</v>
      </c>
      <c r="L84" s="46"/>
      <c r="M84" s="13">
        <f>1275-290</f>
        <v>985</v>
      </c>
      <c r="N84" s="13">
        <f>2416-517</f>
        <v>1899</v>
      </c>
      <c r="O84" s="13">
        <f t="shared" si="1"/>
        <v>2884</v>
      </c>
      <c r="P84" s="212"/>
    </row>
    <row r="85" spans="1:16" ht="29.25">
      <c r="A85" s="291" t="s">
        <v>11</v>
      </c>
      <c r="B85" s="140" t="s">
        <v>12</v>
      </c>
      <c r="C85" s="61" t="s">
        <v>376</v>
      </c>
      <c r="D85" s="61" t="s">
        <v>419</v>
      </c>
      <c r="E85" s="56"/>
      <c r="F85" s="56" t="s">
        <v>375</v>
      </c>
      <c r="G85" s="56" t="s">
        <v>376</v>
      </c>
      <c r="H85" s="47">
        <v>83294595</v>
      </c>
      <c r="I85" s="385" t="s">
        <v>1666</v>
      </c>
      <c r="J85" s="4" t="s">
        <v>377</v>
      </c>
      <c r="K85" s="63">
        <v>1</v>
      </c>
      <c r="L85" s="46"/>
      <c r="M85" s="13">
        <f>651-155</f>
        <v>496</v>
      </c>
      <c r="N85" s="13">
        <f>1332-296</f>
        <v>1036</v>
      </c>
      <c r="O85" s="13">
        <f t="shared" si="1"/>
        <v>1532</v>
      </c>
      <c r="P85" s="212"/>
    </row>
    <row r="86" spans="1:16" ht="29.25">
      <c r="A86" s="291" t="s">
        <v>11</v>
      </c>
      <c r="B86" s="140" t="s">
        <v>12</v>
      </c>
      <c r="C86" s="61" t="s">
        <v>411</v>
      </c>
      <c r="D86" s="61"/>
      <c r="E86" s="56"/>
      <c r="F86" s="56" t="s">
        <v>375</v>
      </c>
      <c r="G86" s="56" t="s">
        <v>376</v>
      </c>
      <c r="H86" s="47">
        <v>90095908</v>
      </c>
      <c r="I86" s="385" t="s">
        <v>1667</v>
      </c>
      <c r="J86" s="4" t="s">
        <v>377</v>
      </c>
      <c r="K86" s="63">
        <v>5</v>
      </c>
      <c r="L86" s="46"/>
      <c r="M86" s="13">
        <f>4318-73</f>
        <v>4245</v>
      </c>
      <c r="N86" s="13">
        <f>8752-249</f>
        <v>8503</v>
      </c>
      <c r="O86" s="13">
        <f t="shared" si="1"/>
        <v>12748</v>
      </c>
      <c r="P86" s="212"/>
    </row>
    <row r="87" spans="1:16" ht="29.25">
      <c r="A87" s="291" t="s">
        <v>11</v>
      </c>
      <c r="B87" s="140" t="s">
        <v>12</v>
      </c>
      <c r="C87" s="61" t="s">
        <v>384</v>
      </c>
      <c r="D87" s="61" t="s">
        <v>1668</v>
      </c>
      <c r="E87" s="56"/>
      <c r="F87" s="56" t="s">
        <v>375</v>
      </c>
      <c r="G87" s="56" t="s">
        <v>376</v>
      </c>
      <c r="H87" s="47">
        <v>14225</v>
      </c>
      <c r="I87" s="396" t="s">
        <v>1669</v>
      </c>
      <c r="J87" s="4" t="s">
        <v>377</v>
      </c>
      <c r="K87" s="63">
        <v>2</v>
      </c>
      <c r="L87" s="46"/>
      <c r="M87" s="13">
        <f>3-3</f>
        <v>0</v>
      </c>
      <c r="N87" s="13">
        <f>0.27-0.27</f>
        <v>0</v>
      </c>
      <c r="O87" s="13">
        <f>M87+N87</f>
        <v>0</v>
      </c>
      <c r="P87" s="212"/>
    </row>
    <row r="88" spans="1:16" ht="29.25">
      <c r="A88" s="291" t="s">
        <v>11</v>
      </c>
      <c r="B88" s="140" t="s">
        <v>12</v>
      </c>
      <c r="C88" s="61" t="s">
        <v>404</v>
      </c>
      <c r="D88" s="61" t="s">
        <v>420</v>
      </c>
      <c r="E88" s="56"/>
      <c r="F88" s="56" t="s">
        <v>375</v>
      </c>
      <c r="G88" s="56" t="s">
        <v>376</v>
      </c>
      <c r="H88" s="47">
        <v>9440452</v>
      </c>
      <c r="I88" s="385" t="s">
        <v>1670</v>
      </c>
      <c r="J88" s="4" t="s">
        <v>377</v>
      </c>
      <c r="K88" s="63">
        <v>2</v>
      </c>
      <c r="L88" s="46"/>
      <c r="M88" s="13">
        <f>14449-12038</f>
        <v>2411</v>
      </c>
      <c r="N88" s="13">
        <f>21194-17459</f>
        <v>3735</v>
      </c>
      <c r="O88" s="13">
        <f>SUM(M88:N88)</f>
        <v>6146</v>
      </c>
      <c r="P88" s="212"/>
    </row>
    <row r="89" spans="1:16" ht="29.25">
      <c r="A89" s="291" t="s">
        <v>11</v>
      </c>
      <c r="B89" s="140" t="s">
        <v>12</v>
      </c>
      <c r="C89" s="61" t="s">
        <v>384</v>
      </c>
      <c r="D89" s="61" t="s">
        <v>421</v>
      </c>
      <c r="E89" s="56" t="s">
        <v>422</v>
      </c>
      <c r="F89" s="56" t="s">
        <v>375</v>
      </c>
      <c r="G89" s="56" t="s">
        <v>376</v>
      </c>
      <c r="H89" s="47">
        <v>70513414</v>
      </c>
      <c r="I89" s="385" t="s">
        <v>1671</v>
      </c>
      <c r="J89" s="4" t="s">
        <v>377</v>
      </c>
      <c r="K89" s="63">
        <v>2</v>
      </c>
      <c r="L89" s="46"/>
      <c r="M89" s="13">
        <f>12413-9292</f>
        <v>3121</v>
      </c>
      <c r="N89" s="13">
        <f>23260-16989</f>
        <v>6271</v>
      </c>
      <c r="O89" s="13">
        <f>SUM(M89:N89)</f>
        <v>9392</v>
      </c>
      <c r="P89" s="212"/>
    </row>
    <row r="90" spans="1:16" ht="29.25">
      <c r="A90" s="291" t="s">
        <v>11</v>
      </c>
      <c r="B90" s="140" t="s">
        <v>12</v>
      </c>
      <c r="C90" s="61" t="s">
        <v>398</v>
      </c>
      <c r="D90" s="61" t="s">
        <v>87</v>
      </c>
      <c r="E90" s="56">
        <v>31</v>
      </c>
      <c r="F90" s="56" t="s">
        <v>375</v>
      </c>
      <c r="G90" s="56" t="s">
        <v>376</v>
      </c>
      <c r="H90" s="47">
        <v>124331</v>
      </c>
      <c r="I90" s="396" t="s">
        <v>1672</v>
      </c>
      <c r="J90" s="4" t="s">
        <v>377</v>
      </c>
      <c r="K90" s="63">
        <v>1</v>
      </c>
      <c r="L90" s="46"/>
      <c r="M90" s="13">
        <f>1288-926</f>
        <v>362</v>
      </c>
      <c r="N90" s="13">
        <f>2238-1591</f>
        <v>647</v>
      </c>
      <c r="O90" s="13">
        <f>M90+N90</f>
        <v>1009</v>
      </c>
      <c r="P90" s="212"/>
    </row>
    <row r="91" spans="1:16" ht="29.25">
      <c r="A91" s="291" t="s">
        <v>11</v>
      </c>
      <c r="B91" s="140" t="s">
        <v>12</v>
      </c>
      <c r="C91" s="61" t="s">
        <v>410</v>
      </c>
      <c r="D91" s="61"/>
      <c r="E91" s="56"/>
      <c r="F91" s="56" t="s">
        <v>375</v>
      </c>
      <c r="G91" s="56" t="s">
        <v>376</v>
      </c>
      <c r="H91" s="47">
        <v>47680</v>
      </c>
      <c r="I91" s="385" t="s">
        <v>1673</v>
      </c>
      <c r="J91" s="4" t="s">
        <v>377</v>
      </c>
      <c r="K91" s="63">
        <v>3</v>
      </c>
      <c r="L91" s="46"/>
      <c r="M91" s="13">
        <f>12229-11087</f>
        <v>1142</v>
      </c>
      <c r="N91" s="13">
        <f>10239-7636</f>
        <v>2603</v>
      </c>
      <c r="O91" s="13">
        <f>SUM(M91:N91)</f>
        <v>3745</v>
      </c>
      <c r="P91" s="212"/>
    </row>
    <row r="92" spans="1:16" ht="29.25">
      <c r="A92" s="291" t="s">
        <v>11</v>
      </c>
      <c r="B92" s="140" t="s">
        <v>12</v>
      </c>
      <c r="C92" s="61" t="s">
        <v>373</v>
      </c>
      <c r="D92" s="61" t="s">
        <v>423</v>
      </c>
      <c r="E92" s="56"/>
      <c r="F92" s="56" t="s">
        <v>375</v>
      </c>
      <c r="G92" s="56" t="s">
        <v>376</v>
      </c>
      <c r="H92" s="47">
        <v>43465</v>
      </c>
      <c r="I92" s="385" t="s">
        <v>1674</v>
      </c>
      <c r="J92" s="157" t="s">
        <v>16</v>
      </c>
      <c r="K92" s="63">
        <v>3</v>
      </c>
      <c r="L92" s="46"/>
      <c r="M92" s="13">
        <f>1051-813</f>
        <v>238</v>
      </c>
      <c r="N92" s="13">
        <f>2787-2220</f>
        <v>567</v>
      </c>
      <c r="O92" s="13">
        <f aca="true" t="shared" si="2" ref="O92:O102">SUM(M92:N92)</f>
        <v>805</v>
      </c>
      <c r="P92" s="212"/>
    </row>
    <row r="93" spans="1:16" ht="29.25">
      <c r="A93" s="291" t="s">
        <v>11</v>
      </c>
      <c r="B93" s="140" t="s">
        <v>12</v>
      </c>
      <c r="C93" s="61" t="s">
        <v>373</v>
      </c>
      <c r="D93" s="61" t="s">
        <v>424</v>
      </c>
      <c r="E93" s="56"/>
      <c r="F93" s="56" t="s">
        <v>375</v>
      </c>
      <c r="G93" s="56" t="s">
        <v>376</v>
      </c>
      <c r="H93" s="47">
        <v>44420</v>
      </c>
      <c r="I93" s="396" t="s">
        <v>1675</v>
      </c>
      <c r="J93" s="157" t="s">
        <v>16</v>
      </c>
      <c r="K93" s="63">
        <v>1</v>
      </c>
      <c r="L93" s="46"/>
      <c r="M93" s="13">
        <f>1065-795</f>
        <v>270</v>
      </c>
      <c r="N93" s="13">
        <f>3359-2614</f>
        <v>745</v>
      </c>
      <c r="O93" s="13">
        <f t="shared" si="2"/>
        <v>1015</v>
      </c>
      <c r="P93" s="212"/>
    </row>
    <row r="94" spans="1:16" ht="29.25">
      <c r="A94" s="291" t="s">
        <v>11</v>
      </c>
      <c r="B94" s="140" t="s">
        <v>12</v>
      </c>
      <c r="C94" s="61" t="s">
        <v>425</v>
      </c>
      <c r="D94" s="61"/>
      <c r="E94" s="56"/>
      <c r="F94" s="56" t="s">
        <v>375</v>
      </c>
      <c r="G94" s="56" t="s">
        <v>376</v>
      </c>
      <c r="H94" s="47">
        <v>102310</v>
      </c>
      <c r="I94" s="385" t="s">
        <v>1676</v>
      </c>
      <c r="J94" s="4" t="s">
        <v>377</v>
      </c>
      <c r="K94" s="63">
        <v>3</v>
      </c>
      <c r="L94" s="46"/>
      <c r="M94" s="13">
        <f>4995-2968</f>
        <v>2027</v>
      </c>
      <c r="N94" s="13">
        <f>9456-5244</f>
        <v>4212</v>
      </c>
      <c r="O94" s="13">
        <f t="shared" si="2"/>
        <v>6239</v>
      </c>
      <c r="P94" s="212"/>
    </row>
    <row r="95" spans="1:16" ht="29.25">
      <c r="A95" s="287" t="s">
        <v>11</v>
      </c>
      <c r="B95" s="140" t="s">
        <v>12</v>
      </c>
      <c r="C95" s="61" t="s">
        <v>402</v>
      </c>
      <c r="D95" s="61" t="s">
        <v>426</v>
      </c>
      <c r="E95" s="56"/>
      <c r="F95" s="56" t="s">
        <v>375</v>
      </c>
      <c r="G95" s="56" t="s">
        <v>376</v>
      </c>
      <c r="H95" s="47">
        <v>102311</v>
      </c>
      <c r="I95" s="385" t="s">
        <v>1677</v>
      </c>
      <c r="J95" s="4" t="s">
        <v>377</v>
      </c>
      <c r="K95" s="63">
        <v>2</v>
      </c>
      <c r="L95" s="46"/>
      <c r="M95" s="13">
        <f>7755-5915</f>
        <v>1840</v>
      </c>
      <c r="N95" s="13">
        <f>16378-12316</f>
        <v>4062</v>
      </c>
      <c r="O95" s="14">
        <f t="shared" si="2"/>
        <v>5902</v>
      </c>
      <c r="P95" s="212"/>
    </row>
    <row r="96" spans="1:16" ht="29.25">
      <c r="A96" s="287" t="s">
        <v>11</v>
      </c>
      <c r="B96" s="140" t="s">
        <v>12</v>
      </c>
      <c r="C96" s="61" t="s">
        <v>397</v>
      </c>
      <c r="D96" s="61" t="s">
        <v>1678</v>
      </c>
      <c r="E96" s="56"/>
      <c r="F96" s="56" t="s">
        <v>375</v>
      </c>
      <c r="G96" s="56" t="s">
        <v>376</v>
      </c>
      <c r="H96" s="47">
        <v>122190</v>
      </c>
      <c r="I96" s="385" t="s">
        <v>1680</v>
      </c>
      <c r="J96" s="4" t="s">
        <v>377</v>
      </c>
      <c r="K96" s="63">
        <v>3</v>
      </c>
      <c r="L96" s="46"/>
      <c r="M96" s="13">
        <f>4969-3639</f>
        <v>1330</v>
      </c>
      <c r="N96" s="13">
        <f>9707-7157</f>
        <v>2550</v>
      </c>
      <c r="O96" s="13">
        <f t="shared" si="2"/>
        <v>3880</v>
      </c>
      <c r="P96" s="212"/>
    </row>
    <row r="97" spans="1:16" ht="29.25">
      <c r="A97" s="291" t="s">
        <v>11</v>
      </c>
      <c r="B97" s="140" t="s">
        <v>12</v>
      </c>
      <c r="C97" s="140" t="s">
        <v>399</v>
      </c>
      <c r="D97" s="140"/>
      <c r="E97" s="53"/>
      <c r="F97" s="56" t="s">
        <v>375</v>
      </c>
      <c r="G97" s="56" t="s">
        <v>376</v>
      </c>
      <c r="H97" s="43">
        <v>122194</v>
      </c>
      <c r="I97" s="385" t="s">
        <v>1679</v>
      </c>
      <c r="J97" s="165" t="s">
        <v>377</v>
      </c>
      <c r="K97" s="166">
        <v>3</v>
      </c>
      <c r="L97" s="55"/>
      <c r="M97" s="13">
        <f>7233-5396</f>
        <v>1837</v>
      </c>
      <c r="N97" s="13">
        <f>14110-10518</f>
        <v>3592</v>
      </c>
      <c r="O97" s="13">
        <f t="shared" si="2"/>
        <v>5429</v>
      </c>
      <c r="P97" s="212"/>
    </row>
    <row r="98" spans="1:16" ht="29.25">
      <c r="A98" s="299" t="s">
        <v>11</v>
      </c>
      <c r="B98" s="141" t="s">
        <v>12</v>
      </c>
      <c r="C98" s="382" t="s">
        <v>412</v>
      </c>
      <c r="D98" s="382"/>
      <c r="E98" s="383"/>
      <c r="F98" s="383" t="s">
        <v>375</v>
      </c>
      <c r="G98" s="383" t="s">
        <v>376</v>
      </c>
      <c r="H98" s="407">
        <v>43233</v>
      </c>
      <c r="I98" s="467" t="s">
        <v>1715</v>
      </c>
      <c r="J98" s="272" t="s">
        <v>377</v>
      </c>
      <c r="K98" s="195">
        <v>1</v>
      </c>
      <c r="L98" s="196"/>
      <c r="M98" s="197">
        <f>1275-1016</f>
        <v>259</v>
      </c>
      <c r="N98" s="197">
        <f>1491-1044</f>
        <v>447</v>
      </c>
      <c r="O98" s="13">
        <f t="shared" si="2"/>
        <v>706</v>
      </c>
      <c r="P98" s="212"/>
    </row>
    <row r="99" spans="1:16" ht="29.25">
      <c r="A99" s="299" t="s">
        <v>11</v>
      </c>
      <c r="B99" s="139" t="s">
        <v>12</v>
      </c>
      <c r="C99" s="382" t="s">
        <v>417</v>
      </c>
      <c r="D99" s="382"/>
      <c r="E99" s="383"/>
      <c r="F99" s="383" t="s">
        <v>414</v>
      </c>
      <c r="G99" s="383" t="s">
        <v>415</v>
      </c>
      <c r="H99" s="407">
        <v>41939</v>
      </c>
      <c r="I99" s="467" t="s">
        <v>1714</v>
      </c>
      <c r="J99" s="272" t="s">
        <v>377</v>
      </c>
      <c r="K99" s="195">
        <v>2</v>
      </c>
      <c r="L99" s="196"/>
      <c r="M99" s="197">
        <f>5802-4628</f>
        <v>1174</v>
      </c>
      <c r="N99" s="197">
        <f>8964-7460</f>
        <v>1504</v>
      </c>
      <c r="O99" s="13">
        <f t="shared" si="2"/>
        <v>2678</v>
      </c>
      <c r="P99" s="212"/>
    </row>
    <row r="100" spans="1:16" ht="39" customHeight="1">
      <c r="A100" s="299" t="s">
        <v>11</v>
      </c>
      <c r="B100" s="139" t="s">
        <v>1322</v>
      </c>
      <c r="C100" s="61" t="s">
        <v>395</v>
      </c>
      <c r="D100" s="56" t="s">
        <v>1716</v>
      </c>
      <c r="E100" s="56" t="s">
        <v>1717</v>
      </c>
      <c r="F100" s="47" t="s">
        <v>375</v>
      </c>
      <c r="G100" s="47" t="s">
        <v>376</v>
      </c>
      <c r="H100" s="56">
        <v>120429</v>
      </c>
      <c r="I100" s="385" t="s">
        <v>1788</v>
      </c>
      <c r="J100" s="271" t="s">
        <v>16</v>
      </c>
      <c r="K100" s="63">
        <v>40</v>
      </c>
      <c r="L100" s="301"/>
      <c r="M100" s="13">
        <f>788-301</f>
        <v>487</v>
      </c>
      <c r="N100" s="13">
        <f>3072-1208</f>
        <v>1864</v>
      </c>
      <c r="O100" s="13">
        <f t="shared" si="2"/>
        <v>2351</v>
      </c>
      <c r="P100" s="212"/>
    </row>
    <row r="101" spans="1:16" ht="38.25" customHeight="1">
      <c r="A101" s="299" t="s">
        <v>11</v>
      </c>
      <c r="B101" s="139" t="s">
        <v>1322</v>
      </c>
      <c r="C101" s="61" t="s">
        <v>410</v>
      </c>
      <c r="D101" s="56"/>
      <c r="E101" s="56"/>
      <c r="F101" s="56" t="s">
        <v>375</v>
      </c>
      <c r="G101" s="47" t="s">
        <v>376</v>
      </c>
      <c r="H101" s="56">
        <v>259355</v>
      </c>
      <c r="I101" s="385" t="s">
        <v>1793</v>
      </c>
      <c r="J101" s="4" t="s">
        <v>377</v>
      </c>
      <c r="K101" s="63">
        <v>5</v>
      </c>
      <c r="L101" s="301"/>
      <c r="M101" s="13">
        <f>23505-20966</f>
        <v>2539</v>
      </c>
      <c r="N101" s="13">
        <f>9958-4890</f>
        <v>5068</v>
      </c>
      <c r="O101" s="13">
        <f t="shared" si="2"/>
        <v>7607</v>
      </c>
      <c r="P101" s="212"/>
    </row>
    <row r="102" spans="1:16" ht="37.5" customHeight="1">
      <c r="A102" s="299" t="s">
        <v>11</v>
      </c>
      <c r="B102" s="139" t="s">
        <v>1322</v>
      </c>
      <c r="C102" s="56" t="s">
        <v>404</v>
      </c>
      <c r="D102" s="56" t="s">
        <v>1718</v>
      </c>
      <c r="E102" s="56"/>
      <c r="F102" s="56" t="s">
        <v>375</v>
      </c>
      <c r="G102" s="47" t="s">
        <v>376</v>
      </c>
      <c r="H102" s="56">
        <v>1488939</v>
      </c>
      <c r="I102" s="385" t="s">
        <v>1790</v>
      </c>
      <c r="J102" s="4" t="s">
        <v>377</v>
      </c>
      <c r="K102" s="63">
        <v>2</v>
      </c>
      <c r="L102" s="301"/>
      <c r="M102" s="13">
        <f>3789-2342</f>
        <v>1447</v>
      </c>
      <c r="N102" s="13">
        <f>7352-4400</f>
        <v>2952</v>
      </c>
      <c r="O102" s="13">
        <f t="shared" si="2"/>
        <v>4399</v>
      </c>
      <c r="P102" s="212"/>
    </row>
    <row r="103" spans="1:16" ht="39" customHeight="1">
      <c r="A103" s="299" t="s">
        <v>11</v>
      </c>
      <c r="B103" s="139" t="s">
        <v>1322</v>
      </c>
      <c r="C103" s="56" t="s">
        <v>406</v>
      </c>
      <c r="D103" s="56" t="s">
        <v>1719</v>
      </c>
      <c r="E103" s="56"/>
      <c r="F103" s="56" t="s">
        <v>375</v>
      </c>
      <c r="G103" s="47" t="s">
        <v>376</v>
      </c>
      <c r="H103" s="56">
        <v>1488942</v>
      </c>
      <c r="I103" s="385" t="s">
        <v>1789</v>
      </c>
      <c r="J103" s="4" t="s">
        <v>377</v>
      </c>
      <c r="K103" s="63">
        <v>1</v>
      </c>
      <c r="L103" s="301"/>
      <c r="M103" s="13">
        <f>990-592</f>
        <v>398</v>
      </c>
      <c r="N103" s="13">
        <f>1815-1053</f>
        <v>762</v>
      </c>
      <c r="O103" s="13">
        <f aca="true" t="shared" si="3" ref="O103:O111">SUM(M103:N103)</f>
        <v>1160</v>
      </c>
      <c r="P103" s="212"/>
    </row>
    <row r="104" spans="1:16" ht="35.25" customHeight="1">
      <c r="A104" s="299" t="s">
        <v>11</v>
      </c>
      <c r="B104" s="139" t="s">
        <v>1322</v>
      </c>
      <c r="C104" s="56" t="s">
        <v>406</v>
      </c>
      <c r="D104" s="56" t="s">
        <v>1002</v>
      </c>
      <c r="E104" s="56"/>
      <c r="F104" s="56" t="s">
        <v>375</v>
      </c>
      <c r="G104" s="47" t="s">
        <v>376</v>
      </c>
      <c r="H104" s="56">
        <v>1488940</v>
      </c>
      <c r="I104" s="385" t="s">
        <v>1791</v>
      </c>
      <c r="J104" s="4" t="s">
        <v>377</v>
      </c>
      <c r="K104" s="63">
        <v>1</v>
      </c>
      <c r="L104" s="301"/>
      <c r="M104" s="13">
        <f>1284-751</f>
        <v>533</v>
      </c>
      <c r="N104" s="13">
        <f>2269-1433</f>
        <v>836</v>
      </c>
      <c r="O104" s="13">
        <f t="shared" si="3"/>
        <v>1369</v>
      </c>
      <c r="P104" s="212"/>
    </row>
    <row r="105" spans="1:16" ht="37.5" customHeight="1">
      <c r="A105" s="299" t="s">
        <v>11</v>
      </c>
      <c r="B105" s="139" t="s">
        <v>1322</v>
      </c>
      <c r="C105" s="61" t="s">
        <v>395</v>
      </c>
      <c r="D105" s="62" t="s">
        <v>1720</v>
      </c>
      <c r="E105" s="47"/>
      <c r="F105" s="56" t="s">
        <v>375</v>
      </c>
      <c r="G105" s="47" t="s">
        <v>376</v>
      </c>
      <c r="H105" s="47">
        <v>1488941</v>
      </c>
      <c r="I105" s="385" t="s">
        <v>1792</v>
      </c>
      <c r="J105" s="4" t="s">
        <v>377</v>
      </c>
      <c r="K105" s="63">
        <v>1</v>
      </c>
      <c r="L105" s="184"/>
      <c r="M105" s="302">
        <f>2746-1336</f>
        <v>1410</v>
      </c>
      <c r="N105" s="302">
        <f>4402-1942</f>
        <v>2460</v>
      </c>
      <c r="O105" s="302">
        <f t="shared" si="3"/>
        <v>3870</v>
      </c>
      <c r="P105" s="212"/>
    </row>
    <row r="106" spans="1:16" ht="36" customHeight="1">
      <c r="A106" s="299" t="s">
        <v>11</v>
      </c>
      <c r="B106" s="139" t="s">
        <v>1322</v>
      </c>
      <c r="C106" s="205" t="s">
        <v>410</v>
      </c>
      <c r="D106" s="62" t="s">
        <v>1721</v>
      </c>
      <c r="E106" s="47"/>
      <c r="F106" s="56" t="s">
        <v>375</v>
      </c>
      <c r="G106" s="47" t="s">
        <v>376</v>
      </c>
      <c r="H106" s="47">
        <v>334157</v>
      </c>
      <c r="I106" s="385" t="s">
        <v>1794</v>
      </c>
      <c r="J106" s="4" t="s">
        <v>377</v>
      </c>
      <c r="K106" s="49">
        <v>3</v>
      </c>
      <c r="L106" s="184"/>
      <c r="M106" s="302">
        <f>3327-2396</f>
        <v>931</v>
      </c>
      <c r="N106" s="302">
        <f>4489-2669</f>
        <v>1820</v>
      </c>
      <c r="O106" s="302">
        <f t="shared" si="3"/>
        <v>2751</v>
      </c>
      <c r="P106" s="212"/>
    </row>
    <row r="107" spans="1:16" ht="36" customHeight="1">
      <c r="A107" s="300" t="s">
        <v>11</v>
      </c>
      <c r="B107" s="139" t="s">
        <v>1322</v>
      </c>
      <c r="C107" s="61" t="s">
        <v>1795</v>
      </c>
      <c r="D107" s="56" t="s">
        <v>1796</v>
      </c>
      <c r="E107" s="56"/>
      <c r="F107" s="47" t="s">
        <v>375</v>
      </c>
      <c r="G107" s="47" t="s">
        <v>376</v>
      </c>
      <c r="H107" s="56">
        <v>83294178</v>
      </c>
      <c r="I107" s="385" t="s">
        <v>1839</v>
      </c>
      <c r="J107" s="74" t="s">
        <v>377</v>
      </c>
      <c r="K107" s="63">
        <v>3</v>
      </c>
      <c r="L107" s="301"/>
      <c r="M107" s="13">
        <f>104*12</f>
        <v>1248</v>
      </c>
      <c r="N107" s="13">
        <f>291*12</f>
        <v>3492</v>
      </c>
      <c r="O107" s="468">
        <f t="shared" si="3"/>
        <v>4740</v>
      </c>
      <c r="P107" s="212"/>
    </row>
    <row r="108" spans="1:16" ht="36" customHeight="1">
      <c r="A108" s="300" t="s">
        <v>11</v>
      </c>
      <c r="B108" s="139" t="s">
        <v>1322</v>
      </c>
      <c r="C108" s="61" t="s">
        <v>311</v>
      </c>
      <c r="D108" s="56" t="s">
        <v>1478</v>
      </c>
      <c r="E108" s="56" t="s">
        <v>1797</v>
      </c>
      <c r="F108" s="56" t="s">
        <v>375</v>
      </c>
      <c r="G108" s="47" t="s">
        <v>376</v>
      </c>
      <c r="H108" s="56">
        <v>83293825</v>
      </c>
      <c r="I108" s="385" t="s">
        <v>1838</v>
      </c>
      <c r="J108" s="74" t="s">
        <v>377</v>
      </c>
      <c r="K108" s="63">
        <v>2</v>
      </c>
      <c r="L108" s="301"/>
      <c r="M108" s="13">
        <f>73*12</f>
        <v>876</v>
      </c>
      <c r="N108" s="13">
        <f>230*12</f>
        <v>2760</v>
      </c>
      <c r="O108" s="468">
        <f t="shared" si="3"/>
        <v>3636</v>
      </c>
      <c r="P108" s="212"/>
    </row>
    <row r="109" spans="1:16" ht="36" customHeight="1">
      <c r="A109" s="300" t="s">
        <v>11</v>
      </c>
      <c r="B109" s="139" t="s">
        <v>1322</v>
      </c>
      <c r="C109" s="56" t="s">
        <v>373</v>
      </c>
      <c r="D109" s="56" t="s">
        <v>268</v>
      </c>
      <c r="E109" s="56"/>
      <c r="F109" s="56" t="s">
        <v>375</v>
      </c>
      <c r="G109" s="47" t="s">
        <v>376</v>
      </c>
      <c r="H109" s="56">
        <v>90071540</v>
      </c>
      <c r="I109" s="385" t="s">
        <v>1840</v>
      </c>
      <c r="J109" s="74" t="s">
        <v>377</v>
      </c>
      <c r="K109" s="63">
        <v>2</v>
      </c>
      <c r="L109" s="301"/>
      <c r="M109" s="13">
        <f>117*12</f>
        <v>1404</v>
      </c>
      <c r="N109" s="13">
        <f>329*12</f>
        <v>3948</v>
      </c>
      <c r="O109" s="468">
        <f t="shared" si="3"/>
        <v>5352</v>
      </c>
      <c r="P109" s="212"/>
    </row>
    <row r="110" spans="1:16" ht="36" customHeight="1">
      <c r="A110" s="300" t="s">
        <v>11</v>
      </c>
      <c r="B110" s="139" t="s">
        <v>1322</v>
      </c>
      <c r="C110" s="61" t="s">
        <v>386</v>
      </c>
      <c r="D110" s="56" t="s">
        <v>1514</v>
      </c>
      <c r="E110" s="56" t="s">
        <v>1798</v>
      </c>
      <c r="F110" s="56" t="s">
        <v>375</v>
      </c>
      <c r="G110" s="47" t="s">
        <v>376</v>
      </c>
      <c r="H110" s="56">
        <v>90107487</v>
      </c>
      <c r="I110" s="385" t="s">
        <v>1837</v>
      </c>
      <c r="J110" s="74" t="s">
        <v>377</v>
      </c>
      <c r="K110" s="63">
        <v>5</v>
      </c>
      <c r="L110" s="301"/>
      <c r="M110" s="13">
        <f>166*12</f>
        <v>1992</v>
      </c>
      <c r="N110" s="13">
        <f>479*12</f>
        <v>5748</v>
      </c>
      <c r="O110" s="468">
        <f t="shared" si="3"/>
        <v>7740</v>
      </c>
      <c r="P110" s="212"/>
    </row>
    <row r="111" spans="1:16" ht="36" customHeight="1" thickBot="1">
      <c r="A111" s="300" t="s">
        <v>11</v>
      </c>
      <c r="B111" s="139" t="s">
        <v>1322</v>
      </c>
      <c r="C111" s="56" t="s">
        <v>384</v>
      </c>
      <c r="D111" s="56" t="s">
        <v>1835</v>
      </c>
      <c r="E111" s="56"/>
      <c r="F111" s="56" t="s">
        <v>375</v>
      </c>
      <c r="G111" s="47" t="s">
        <v>376</v>
      </c>
      <c r="H111" s="56">
        <v>90300032</v>
      </c>
      <c r="I111" s="385" t="s">
        <v>1836</v>
      </c>
      <c r="J111" s="74" t="s">
        <v>377</v>
      </c>
      <c r="K111" s="63">
        <v>5</v>
      </c>
      <c r="L111" s="301"/>
      <c r="M111" s="13">
        <f>61*12</f>
        <v>732</v>
      </c>
      <c r="N111" s="13">
        <f>186*12</f>
        <v>2232</v>
      </c>
      <c r="O111" s="468">
        <f t="shared" si="3"/>
        <v>2964</v>
      </c>
      <c r="P111" s="212"/>
    </row>
    <row r="112" spans="2:15" ht="20.25" customHeight="1">
      <c r="B112" s="580" t="s">
        <v>155</v>
      </c>
      <c r="C112" s="298" t="s">
        <v>427</v>
      </c>
      <c r="D112" s="35"/>
      <c r="E112" s="69"/>
      <c r="H112" s="75" t="s">
        <v>1998</v>
      </c>
      <c r="I112" s="581" t="s">
        <v>427</v>
      </c>
      <c r="M112" s="2"/>
      <c r="N112" s="54" t="s">
        <v>156</v>
      </c>
      <c r="O112" s="338">
        <f>SUM(O18:O111)</f>
        <v>1073986</v>
      </c>
    </row>
    <row r="113" spans="2:14" ht="15">
      <c r="B113" s="154"/>
      <c r="C113" s="77" t="s">
        <v>2002</v>
      </c>
      <c r="D113" s="39"/>
      <c r="E113" s="69"/>
      <c r="H113" s="304"/>
      <c r="I113" s="582" t="s">
        <v>2002</v>
      </c>
      <c r="L113" s="2"/>
      <c r="M113" s="2"/>
      <c r="N113" s="2"/>
    </row>
    <row r="114" spans="2:14" ht="15.75" thickBot="1">
      <c r="B114" s="154"/>
      <c r="C114" s="77" t="s">
        <v>428</v>
      </c>
      <c r="D114" s="39"/>
      <c r="E114" s="69"/>
      <c r="H114" s="320"/>
      <c r="I114" s="583" t="s">
        <v>428</v>
      </c>
      <c r="M114" s="2"/>
      <c r="N114" s="2"/>
    </row>
    <row r="115" spans="2:14" ht="15">
      <c r="B115" s="584" t="s">
        <v>1689</v>
      </c>
      <c r="C115" s="588">
        <v>8222160292</v>
      </c>
      <c r="D115" s="39"/>
      <c r="E115" s="69"/>
      <c r="M115" s="2"/>
      <c r="N115" s="2"/>
    </row>
    <row r="116" spans="2:14" ht="15.75" thickBot="1">
      <c r="B116" s="424" t="s">
        <v>1693</v>
      </c>
      <c r="C116" s="78" t="s">
        <v>1713</v>
      </c>
      <c r="D116" s="42"/>
      <c r="E116" s="69"/>
      <c r="M116" s="2"/>
      <c r="N116" s="2"/>
    </row>
    <row r="117" spans="2:14" ht="15">
      <c r="B117" s="69"/>
      <c r="C117" s="77"/>
      <c r="D117" s="69"/>
      <c r="M117" s="2"/>
      <c r="N117" s="2"/>
    </row>
    <row r="118" spans="5:18" ht="14.25">
      <c r="E118" s="31"/>
      <c r="F118" s="31"/>
      <c r="G118" s="31"/>
      <c r="H118" s="31"/>
      <c r="I118" s="31"/>
      <c r="J118" s="88"/>
      <c r="K118" s="236"/>
      <c r="L118" s="236"/>
      <c r="M118" s="236"/>
      <c r="N118" s="236"/>
      <c r="O118" s="236"/>
      <c r="P118" s="20"/>
      <c r="Q118" s="20"/>
      <c r="R118" s="20"/>
    </row>
    <row r="119" spans="2:18" ht="15.75" thickBot="1">
      <c r="B119" s="69"/>
      <c r="C119" s="77"/>
      <c r="D119" s="77"/>
      <c r="E119" s="31"/>
      <c r="F119" s="31"/>
      <c r="G119" s="31"/>
      <c r="H119" s="31"/>
      <c r="I119" s="31"/>
      <c r="J119" s="88"/>
      <c r="K119" s="236"/>
      <c r="L119" s="236"/>
      <c r="M119" s="236"/>
      <c r="N119" s="236"/>
      <c r="O119" s="236"/>
      <c r="P119" s="20"/>
      <c r="Q119" s="20"/>
      <c r="R119" s="20"/>
    </row>
    <row r="120" spans="4:18" ht="46.5" customHeight="1">
      <c r="D120" s="31"/>
      <c r="E120" s="31"/>
      <c r="F120" s="171"/>
      <c r="G120" s="171"/>
      <c r="I120" s="171"/>
      <c r="J120" s="31"/>
      <c r="K120" s="705" t="s">
        <v>157</v>
      </c>
      <c r="L120" s="702" t="s">
        <v>1034</v>
      </c>
      <c r="M120" s="703"/>
      <c r="N120" s="704"/>
      <c r="O120" s="713" t="s">
        <v>158</v>
      </c>
      <c r="P120" s="20"/>
      <c r="Q120" s="20"/>
      <c r="R120" s="20"/>
    </row>
    <row r="121" spans="4:18" ht="20.25" customHeight="1" thickBot="1">
      <c r="D121" s="31"/>
      <c r="E121" s="31"/>
      <c r="F121" s="171"/>
      <c r="G121" s="234"/>
      <c r="I121" s="234"/>
      <c r="J121" s="31"/>
      <c r="K121" s="706"/>
      <c r="L121" s="130" t="s">
        <v>159</v>
      </c>
      <c r="M121" s="130" t="s">
        <v>1035</v>
      </c>
      <c r="N121" s="130" t="s">
        <v>1036</v>
      </c>
      <c r="O121" s="714"/>
      <c r="P121" s="20"/>
      <c r="Q121" s="20"/>
      <c r="R121" s="20"/>
    </row>
    <row r="122" spans="4:18" ht="14.25">
      <c r="D122" s="31"/>
      <c r="E122" s="31"/>
      <c r="F122" s="31"/>
      <c r="G122" s="156"/>
      <c r="I122" s="156"/>
      <c r="J122" s="31"/>
      <c r="K122" s="56" t="s">
        <v>16</v>
      </c>
      <c r="L122" s="46"/>
      <c r="M122" s="13">
        <f>M92+M93+M100</f>
        <v>995</v>
      </c>
      <c r="N122" s="13">
        <f>N92+N93+N100</f>
        <v>3176</v>
      </c>
      <c r="O122" s="13">
        <v>3</v>
      </c>
      <c r="P122" s="20"/>
      <c r="Q122" s="20"/>
      <c r="R122" s="20"/>
    </row>
    <row r="123" spans="4:18" ht="15" thickBot="1">
      <c r="D123" s="31"/>
      <c r="E123" s="31"/>
      <c r="F123" s="31"/>
      <c r="G123" s="156"/>
      <c r="I123" s="156"/>
      <c r="J123" s="31"/>
      <c r="K123" s="56" t="s">
        <v>377</v>
      </c>
      <c r="L123" s="58"/>
      <c r="M123" s="14">
        <f>SUM(M18:M91,M94:M99,M101:M111)</f>
        <v>374193</v>
      </c>
      <c r="N123" s="14">
        <f>SUM(N18:N91,N94:N99,N101:N111)</f>
        <v>695622</v>
      </c>
      <c r="O123" s="14">
        <v>91</v>
      </c>
      <c r="P123" s="20"/>
      <c r="Q123" s="20"/>
      <c r="R123" s="20"/>
    </row>
    <row r="124" spans="4:15" ht="15" thickBot="1">
      <c r="D124" s="31"/>
      <c r="E124" s="31"/>
      <c r="F124" s="149"/>
      <c r="G124" s="156"/>
      <c r="I124" s="156"/>
      <c r="J124" s="31"/>
      <c r="K124" s="348" t="s">
        <v>160</v>
      </c>
      <c r="L124" s="46"/>
      <c r="M124" s="18">
        <f>SUM(M122:M123)</f>
        <v>375188</v>
      </c>
      <c r="N124" s="15">
        <f>SUM(N122:N123)</f>
        <v>698798</v>
      </c>
      <c r="O124" s="337">
        <f>SUM(O122:O123)</f>
        <v>94</v>
      </c>
    </row>
    <row r="125" spans="4:15" ht="18.75" thickBot="1">
      <c r="D125" s="31"/>
      <c r="E125" s="31"/>
      <c r="F125" s="31"/>
      <c r="G125" s="236"/>
      <c r="I125" s="156"/>
      <c r="J125" s="31"/>
      <c r="K125"/>
      <c r="L125" s="20" t="s">
        <v>161</v>
      </c>
      <c r="M125" s="327">
        <f>SUM(M124:N124)</f>
        <v>1073986</v>
      </c>
      <c r="N125" s="2"/>
      <c r="O125" s="2"/>
    </row>
    <row r="126" spans="4:15" ht="14.25">
      <c r="D126" s="31"/>
      <c r="E126" s="31"/>
      <c r="F126" s="31"/>
      <c r="G126" s="31"/>
      <c r="I126" s="31"/>
      <c r="J126" s="88"/>
      <c r="K126" s="88"/>
      <c r="L126" s="31"/>
      <c r="M126" s="31"/>
      <c r="N126" s="31"/>
      <c r="O126" s="31"/>
    </row>
    <row r="127" spans="4:15" ht="14.25">
      <c r="D127" s="31"/>
      <c r="E127" s="31"/>
      <c r="F127" s="31"/>
      <c r="G127" s="31"/>
      <c r="H127" s="31"/>
      <c r="I127" s="31"/>
      <c r="J127" s="88"/>
      <c r="K127" s="88"/>
      <c r="L127" s="31"/>
      <c r="M127" s="31"/>
      <c r="N127" s="31"/>
      <c r="O127" s="31"/>
    </row>
  </sheetData>
  <sheetProtection/>
  <mergeCells count="19">
    <mergeCell ref="B5:I5"/>
    <mergeCell ref="E15:E17"/>
    <mergeCell ref="F15:F17"/>
    <mergeCell ref="K15:K17"/>
    <mergeCell ref="L15:O15"/>
    <mergeCell ref="L16:O16"/>
    <mergeCell ref="G15:G17"/>
    <mergeCell ref="H15:H17"/>
    <mergeCell ref="I15:I17"/>
    <mergeCell ref="B1:J1"/>
    <mergeCell ref="K120:K121"/>
    <mergeCell ref="L120:N120"/>
    <mergeCell ref="O120:O121"/>
    <mergeCell ref="A15:A17"/>
    <mergeCell ref="B15:B17"/>
    <mergeCell ref="C15:C17"/>
    <mergeCell ref="D15:D17"/>
    <mergeCell ref="J15:J17"/>
    <mergeCell ref="B3:I3"/>
  </mergeCells>
  <printOptions/>
  <pageMargins left="0.7" right="0.7" top="0.75" bottom="0.75" header="0.3" footer="0.3"/>
  <pageSetup orientation="portrait" paperSize="9" r:id="rId1"/>
  <ignoredErrors>
    <ignoredError sqref="O87 O90" formula="1"/>
    <ignoredError sqref="E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127"/>
  <sheetViews>
    <sheetView zoomScale="80" zoomScaleNormal="80" zoomScalePageLayoutView="0" workbookViewId="0" topLeftCell="A106">
      <selection activeCell="G121" sqref="G121"/>
    </sheetView>
  </sheetViews>
  <sheetFormatPr defaultColWidth="8.796875" defaultRowHeight="14.25"/>
  <cols>
    <col min="1" max="1" width="11.19921875" style="0" customWidth="1"/>
    <col min="2" max="2" width="17.09765625" style="121" customWidth="1"/>
    <col min="3" max="3" width="16.59765625" style="121" customWidth="1"/>
    <col min="4" max="4" width="14.8984375" style="121" customWidth="1"/>
    <col min="6" max="6" width="10.19921875" style="0" customWidth="1"/>
    <col min="7" max="7" width="13.59765625" style="0" customWidth="1"/>
    <col min="8" max="8" width="26.59765625" style="0" customWidth="1"/>
    <col min="9" max="9" width="19.19921875" style="0" customWidth="1"/>
    <col min="10" max="10" width="13.09765625" style="1" customWidth="1"/>
    <col min="11" max="11" width="12.5" style="0" customWidth="1"/>
    <col min="12" max="12" width="15.19921875" style="0" customWidth="1"/>
    <col min="13" max="13" width="15.8984375" style="0" customWidth="1"/>
    <col min="14" max="14" width="17.5" style="0" customWidth="1"/>
    <col min="15" max="15" width="15.19921875" style="0" customWidth="1"/>
    <col min="16" max="16" width="13.3984375" style="0" customWidth="1"/>
    <col min="17" max="17" width="13.59765625" style="0" customWidth="1"/>
    <col min="18" max="18" width="13.8984375" style="0" customWidth="1"/>
    <col min="19" max="19" width="16.5" style="0" customWidth="1"/>
    <col min="20" max="20" width="22.59765625" style="0" customWidth="1"/>
    <col min="21" max="21" width="23.69921875" style="0" customWidth="1"/>
  </cols>
  <sheetData>
    <row r="1" spans="2:15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  <c r="L1" s="2"/>
      <c r="M1" s="2"/>
      <c r="N1" s="2"/>
      <c r="O1" s="2"/>
    </row>
    <row r="2" spans="2:15" ht="15">
      <c r="B2" s="222"/>
      <c r="C2" s="222"/>
      <c r="D2" s="222"/>
      <c r="E2" s="222"/>
      <c r="F2" s="222"/>
      <c r="G2" s="222"/>
      <c r="H2" s="222"/>
      <c r="I2" s="223"/>
      <c r="J2" s="224"/>
      <c r="L2" s="2"/>
      <c r="M2" s="2"/>
      <c r="N2" s="2"/>
      <c r="O2" s="2"/>
    </row>
    <row r="3" spans="2:15" ht="24.75" customHeight="1">
      <c r="B3" s="726" t="s">
        <v>1054</v>
      </c>
      <c r="C3" s="727"/>
      <c r="D3" s="727"/>
      <c r="E3" s="727"/>
      <c r="F3" s="727"/>
      <c r="G3" s="727"/>
      <c r="H3" s="727"/>
      <c r="I3" s="727"/>
      <c r="J3" s="224"/>
      <c r="L3" s="2"/>
      <c r="M3" s="2"/>
      <c r="N3" s="2"/>
      <c r="O3" s="2"/>
    </row>
    <row r="4" spans="2:15" ht="15">
      <c r="B4" s="223"/>
      <c r="C4" s="223"/>
      <c r="D4" s="223"/>
      <c r="E4" s="223"/>
      <c r="F4" s="223"/>
      <c r="G4" s="223"/>
      <c r="H4" s="223"/>
      <c r="I4" s="223"/>
      <c r="J4" s="224"/>
      <c r="L4" s="2"/>
      <c r="M4" s="2"/>
      <c r="N4" s="2"/>
      <c r="O4" s="2"/>
    </row>
    <row r="5" spans="2:15" ht="15">
      <c r="B5" s="679" t="s">
        <v>1029</v>
      </c>
      <c r="C5" s="679"/>
      <c r="D5" s="679"/>
      <c r="E5" s="679"/>
      <c r="F5" s="679"/>
      <c r="G5" s="679"/>
      <c r="H5" s="679"/>
      <c r="I5" s="679"/>
      <c r="J5" s="224"/>
      <c r="L5" s="2"/>
      <c r="M5" s="2"/>
      <c r="N5" s="2"/>
      <c r="O5" s="2"/>
    </row>
    <row r="6" spans="2:15" ht="15">
      <c r="B6" s="223"/>
      <c r="C6" s="223"/>
      <c r="D6" s="223"/>
      <c r="E6" s="223"/>
      <c r="F6" s="223"/>
      <c r="G6" s="223"/>
      <c r="H6" s="223"/>
      <c r="I6" s="223"/>
      <c r="J6" s="224"/>
      <c r="L6" s="2"/>
      <c r="M6" s="2"/>
      <c r="N6" s="2"/>
      <c r="O6" s="2"/>
    </row>
    <row r="7" spans="2:15" ht="15.75">
      <c r="B7" s="225" t="s">
        <v>967</v>
      </c>
      <c r="C7" s="222"/>
      <c r="D7" s="223"/>
      <c r="E7" s="223"/>
      <c r="F7" s="223"/>
      <c r="G7" s="222"/>
      <c r="H7" s="222"/>
      <c r="I7" s="223"/>
      <c r="J7" s="224"/>
      <c r="L7" s="2"/>
      <c r="M7" s="2"/>
      <c r="N7" s="2"/>
      <c r="O7" s="2"/>
    </row>
    <row r="8" spans="2:15" ht="15">
      <c r="B8" s="528" t="s">
        <v>1986</v>
      </c>
      <c r="C8" s="222"/>
      <c r="D8" s="223"/>
      <c r="E8" s="223"/>
      <c r="F8" s="223"/>
      <c r="G8" s="222"/>
      <c r="H8" s="222"/>
      <c r="I8" s="223"/>
      <c r="J8" s="224"/>
      <c r="L8" s="2"/>
      <c r="M8" s="2"/>
      <c r="N8" s="2"/>
      <c r="O8" s="2"/>
    </row>
    <row r="9" spans="2:15" ht="15.75">
      <c r="B9" s="226" t="s">
        <v>1828</v>
      </c>
      <c r="C9" s="222"/>
      <c r="D9" s="227"/>
      <c r="E9" s="223"/>
      <c r="F9" s="223"/>
      <c r="G9" s="222"/>
      <c r="H9" s="222"/>
      <c r="I9" s="223"/>
      <c r="J9" s="224"/>
      <c r="L9" s="2"/>
      <c r="M9" s="2"/>
      <c r="N9" s="2"/>
      <c r="O9" s="2"/>
    </row>
    <row r="10" spans="2:15" ht="15.75">
      <c r="B10" s="226" t="s">
        <v>1681</v>
      </c>
      <c r="C10" s="222"/>
      <c r="D10" s="227"/>
      <c r="E10" s="223"/>
      <c r="F10" s="223"/>
      <c r="G10" s="222"/>
      <c r="H10" s="222"/>
      <c r="I10" s="223"/>
      <c r="J10" s="224"/>
      <c r="L10" s="2"/>
      <c r="M10" s="2"/>
      <c r="N10" s="2"/>
      <c r="O10" s="2"/>
    </row>
    <row r="11" spans="2:15" ht="15">
      <c r="B11" s="222" t="s">
        <v>1047</v>
      </c>
      <c r="C11" s="222"/>
      <c r="D11" s="222"/>
      <c r="E11" s="222"/>
      <c r="F11" s="222"/>
      <c r="G11" s="222"/>
      <c r="H11" s="222"/>
      <c r="I11" s="223"/>
      <c r="J11" s="224"/>
      <c r="L11" s="2"/>
      <c r="M11" s="2"/>
      <c r="N11" s="2"/>
      <c r="O11" s="2"/>
    </row>
    <row r="12" spans="2:15" ht="15.75">
      <c r="B12" s="228" t="s">
        <v>1030</v>
      </c>
      <c r="C12" s="225" t="s">
        <v>1031</v>
      </c>
      <c r="D12" s="227"/>
      <c r="E12" s="227"/>
      <c r="F12" s="227"/>
      <c r="G12" s="227"/>
      <c r="H12" s="227"/>
      <c r="I12" s="230"/>
      <c r="J12" s="224"/>
      <c r="L12" s="2"/>
      <c r="M12" s="2"/>
      <c r="N12" s="2"/>
      <c r="O12" s="2"/>
    </row>
    <row r="13" spans="2:15" ht="15.75">
      <c r="B13" s="228" t="s">
        <v>1032</v>
      </c>
      <c r="C13" s="225" t="s">
        <v>1033</v>
      </c>
      <c r="D13" s="227"/>
      <c r="E13" s="227"/>
      <c r="F13" s="227"/>
      <c r="G13" s="227"/>
      <c r="H13" s="227"/>
      <c r="I13" s="230"/>
      <c r="J13" s="224"/>
      <c r="L13" s="2"/>
      <c r="M13" s="2"/>
      <c r="N13" s="2"/>
      <c r="O13" s="2"/>
    </row>
    <row r="14" spans="1:15" ht="15" thickBot="1">
      <c r="A14" s="31"/>
      <c r="B14" s="150"/>
      <c r="C14" s="149"/>
      <c r="D14" s="149"/>
      <c r="E14" s="31"/>
      <c r="F14" s="31"/>
      <c r="G14" s="31"/>
      <c r="H14" s="31"/>
      <c r="I14" s="31"/>
      <c r="L14" s="2"/>
      <c r="M14" s="2"/>
      <c r="N14" s="2"/>
      <c r="O14" s="2"/>
    </row>
    <row r="15" spans="1:15" ht="51" customHeight="1">
      <c r="A15" s="718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729" t="s">
        <v>992</v>
      </c>
      <c r="L15" s="684" t="s">
        <v>1039</v>
      </c>
      <c r="M15" s="684"/>
      <c r="N15" s="684"/>
      <c r="O15" s="685"/>
    </row>
    <row r="16" spans="1:15" ht="46.5" customHeight="1">
      <c r="A16" s="719"/>
      <c r="B16" s="677"/>
      <c r="C16" s="681"/>
      <c r="D16" s="681"/>
      <c r="E16" s="687"/>
      <c r="F16" s="687"/>
      <c r="G16" s="681"/>
      <c r="H16" s="687"/>
      <c r="I16" s="687"/>
      <c r="J16" s="687"/>
      <c r="K16" s="730"/>
      <c r="L16" s="690" t="s">
        <v>1040</v>
      </c>
      <c r="M16" s="690"/>
      <c r="N16" s="690"/>
      <c r="O16" s="691"/>
    </row>
    <row r="17" spans="1:15" ht="32.25" customHeight="1" thickBot="1">
      <c r="A17" s="720"/>
      <c r="B17" s="678"/>
      <c r="C17" s="682"/>
      <c r="D17" s="682"/>
      <c r="E17" s="688"/>
      <c r="F17" s="688"/>
      <c r="G17" s="682"/>
      <c r="H17" s="688"/>
      <c r="I17" s="688"/>
      <c r="J17" s="688"/>
      <c r="K17" s="731"/>
      <c r="L17" s="137" t="s">
        <v>1041</v>
      </c>
      <c r="M17" s="137" t="s">
        <v>1035</v>
      </c>
      <c r="N17" s="137" t="s">
        <v>1036</v>
      </c>
      <c r="O17" s="138" t="s">
        <v>10</v>
      </c>
    </row>
    <row r="18" spans="1:15" ht="18">
      <c r="A18" s="278" t="s">
        <v>11</v>
      </c>
      <c r="B18" s="61" t="s">
        <v>429</v>
      </c>
      <c r="C18" s="61" t="s">
        <v>430</v>
      </c>
      <c r="D18" s="61" t="s">
        <v>431</v>
      </c>
      <c r="E18" s="79"/>
      <c r="F18" s="80" t="s">
        <v>432</v>
      </c>
      <c r="G18" s="56" t="s">
        <v>430</v>
      </c>
      <c r="H18" s="385" t="s">
        <v>433</v>
      </c>
      <c r="I18" s="47">
        <v>83246614</v>
      </c>
      <c r="J18" s="4" t="s">
        <v>16</v>
      </c>
      <c r="K18" s="288">
        <v>4</v>
      </c>
      <c r="L18" s="46"/>
      <c r="M18" s="82">
        <f>3993-1760</f>
        <v>2233</v>
      </c>
      <c r="N18" s="82">
        <f>14067-5378</f>
        <v>8689</v>
      </c>
      <c r="O18" s="204">
        <f aca="true" t="shared" si="0" ref="O18:O79">M18+N18</f>
        <v>10922</v>
      </c>
    </row>
    <row r="19" spans="1:15" ht="18">
      <c r="A19" s="278" t="s">
        <v>11</v>
      </c>
      <c r="B19" s="61" t="s">
        <v>429</v>
      </c>
      <c r="C19" s="61" t="s">
        <v>434</v>
      </c>
      <c r="D19" s="61"/>
      <c r="E19" s="56"/>
      <c r="F19" s="80" t="s">
        <v>432</v>
      </c>
      <c r="G19" s="56" t="s">
        <v>430</v>
      </c>
      <c r="H19" s="385" t="s">
        <v>435</v>
      </c>
      <c r="I19" s="47">
        <v>83246634</v>
      </c>
      <c r="J19" s="4" t="s">
        <v>16</v>
      </c>
      <c r="K19" s="288">
        <v>2.4</v>
      </c>
      <c r="L19" s="46"/>
      <c r="M19" s="83">
        <f>2063-932</f>
        <v>1131</v>
      </c>
      <c r="N19" s="83">
        <f>7162-2796</f>
        <v>4366</v>
      </c>
      <c r="O19" s="204">
        <f t="shared" si="0"/>
        <v>5497</v>
      </c>
    </row>
    <row r="20" spans="1:15" ht="18">
      <c r="A20" s="278" t="s">
        <v>11</v>
      </c>
      <c r="B20" s="61" t="s">
        <v>429</v>
      </c>
      <c r="C20" s="61" t="s">
        <v>430</v>
      </c>
      <c r="D20" s="61" t="s">
        <v>436</v>
      </c>
      <c r="E20" s="56"/>
      <c r="F20" s="80" t="s">
        <v>432</v>
      </c>
      <c r="G20" s="56" t="s">
        <v>430</v>
      </c>
      <c r="H20" s="385" t="s">
        <v>437</v>
      </c>
      <c r="I20" s="47">
        <v>70903527</v>
      </c>
      <c r="J20" s="4" t="s">
        <v>16</v>
      </c>
      <c r="K20" s="288">
        <v>4.1</v>
      </c>
      <c r="L20" s="46"/>
      <c r="M20" s="83">
        <f>9084-7318</f>
        <v>1766</v>
      </c>
      <c r="N20" s="83">
        <f>37177-30075</f>
        <v>7102</v>
      </c>
      <c r="O20" s="204">
        <f t="shared" si="0"/>
        <v>8868</v>
      </c>
    </row>
    <row r="21" spans="1:15" ht="18">
      <c r="A21" s="278" t="s">
        <v>11</v>
      </c>
      <c r="B21" s="61" t="s">
        <v>429</v>
      </c>
      <c r="C21" s="61" t="s">
        <v>430</v>
      </c>
      <c r="D21" s="61" t="s">
        <v>94</v>
      </c>
      <c r="E21" s="56"/>
      <c r="F21" s="80" t="s">
        <v>432</v>
      </c>
      <c r="G21" s="56" t="s">
        <v>430</v>
      </c>
      <c r="H21" s="385" t="s">
        <v>438</v>
      </c>
      <c r="I21" s="47">
        <v>40452</v>
      </c>
      <c r="J21" s="74" t="s">
        <v>16</v>
      </c>
      <c r="K21" s="384">
        <v>4.1</v>
      </c>
      <c r="L21" s="46"/>
      <c r="M21" s="83">
        <f>14545-12034</f>
        <v>2511</v>
      </c>
      <c r="N21" s="83">
        <f>60339-50129</f>
        <v>10210</v>
      </c>
      <c r="O21" s="204">
        <f t="shared" si="0"/>
        <v>12721</v>
      </c>
    </row>
    <row r="22" spans="1:15" ht="18">
      <c r="A22" s="278" t="s">
        <v>11</v>
      </c>
      <c r="B22" s="61" t="s">
        <v>429</v>
      </c>
      <c r="C22" s="61" t="s">
        <v>430</v>
      </c>
      <c r="D22" s="61" t="s">
        <v>199</v>
      </c>
      <c r="E22" s="56"/>
      <c r="F22" s="80" t="s">
        <v>432</v>
      </c>
      <c r="G22" s="56" t="s">
        <v>430</v>
      </c>
      <c r="H22" s="385" t="s">
        <v>439</v>
      </c>
      <c r="I22" s="47">
        <v>127390</v>
      </c>
      <c r="J22" s="74" t="s">
        <v>16</v>
      </c>
      <c r="K22" s="384">
        <v>3.3</v>
      </c>
      <c r="L22" s="46"/>
      <c r="M22" s="83">
        <f>5441-3026</f>
        <v>2415</v>
      </c>
      <c r="N22" s="83">
        <f>21728-10745</f>
        <v>10983</v>
      </c>
      <c r="O22" s="204">
        <f t="shared" si="0"/>
        <v>13398</v>
      </c>
    </row>
    <row r="23" spans="1:15" ht="18">
      <c r="A23" s="278" t="s">
        <v>11</v>
      </c>
      <c r="B23" s="61" t="s">
        <v>429</v>
      </c>
      <c r="C23" s="61" t="s">
        <v>430</v>
      </c>
      <c r="D23" s="61" t="s">
        <v>199</v>
      </c>
      <c r="E23" s="56"/>
      <c r="F23" s="80" t="s">
        <v>432</v>
      </c>
      <c r="G23" s="56" t="s">
        <v>430</v>
      </c>
      <c r="H23" s="385" t="s">
        <v>440</v>
      </c>
      <c r="I23" s="47">
        <v>1401628</v>
      </c>
      <c r="J23" s="74" t="s">
        <v>16</v>
      </c>
      <c r="K23" s="384">
        <v>1</v>
      </c>
      <c r="L23" s="46"/>
      <c r="M23" s="83">
        <f>324-1</f>
        <v>323</v>
      </c>
      <c r="N23" s="83">
        <f>1353-31</f>
        <v>1322</v>
      </c>
      <c r="O23" s="204">
        <f t="shared" si="0"/>
        <v>1645</v>
      </c>
    </row>
    <row r="24" spans="1:15" ht="18">
      <c r="A24" s="278" t="s">
        <v>11</v>
      </c>
      <c r="B24" s="61" t="s">
        <v>429</v>
      </c>
      <c r="C24" s="61" t="s">
        <v>430</v>
      </c>
      <c r="D24" s="61" t="s">
        <v>205</v>
      </c>
      <c r="E24" s="56"/>
      <c r="F24" s="80" t="s">
        <v>432</v>
      </c>
      <c r="G24" s="56" t="s">
        <v>430</v>
      </c>
      <c r="H24" s="385" t="s">
        <v>441</v>
      </c>
      <c r="I24" s="47">
        <v>1440386</v>
      </c>
      <c r="J24" s="74" t="s">
        <v>16</v>
      </c>
      <c r="K24" s="384">
        <v>0.9</v>
      </c>
      <c r="L24" s="46"/>
      <c r="M24" s="83">
        <f>2118-1049</f>
        <v>1069</v>
      </c>
      <c r="N24" s="83">
        <f>8899-4296</f>
        <v>4603</v>
      </c>
      <c r="O24" s="204">
        <f t="shared" si="0"/>
        <v>5672</v>
      </c>
    </row>
    <row r="25" spans="1:15" ht="18">
      <c r="A25" s="278" t="s">
        <v>11</v>
      </c>
      <c r="B25" s="61" t="s">
        <v>429</v>
      </c>
      <c r="C25" s="61" t="s">
        <v>430</v>
      </c>
      <c r="D25" s="61" t="s">
        <v>442</v>
      </c>
      <c r="E25" s="56"/>
      <c r="F25" s="80" t="s">
        <v>432</v>
      </c>
      <c r="G25" s="56" t="s">
        <v>430</v>
      </c>
      <c r="H25" s="385" t="s">
        <v>443</v>
      </c>
      <c r="I25" s="47">
        <v>83246635</v>
      </c>
      <c r="J25" s="74" t="s">
        <v>16</v>
      </c>
      <c r="K25" s="384">
        <v>1.6</v>
      </c>
      <c r="L25" s="46"/>
      <c r="M25" s="83">
        <f>1688-740</f>
        <v>948</v>
      </c>
      <c r="N25" s="83">
        <f>5995-2373</f>
        <v>3622</v>
      </c>
      <c r="O25" s="204">
        <f t="shared" si="0"/>
        <v>4570</v>
      </c>
    </row>
    <row r="26" spans="1:15" ht="29.25">
      <c r="A26" s="278" t="s">
        <v>11</v>
      </c>
      <c r="B26" s="61" t="s">
        <v>429</v>
      </c>
      <c r="C26" s="61" t="s">
        <v>430</v>
      </c>
      <c r="D26" s="61" t="s">
        <v>444</v>
      </c>
      <c r="E26" s="56"/>
      <c r="F26" s="80" t="s">
        <v>432</v>
      </c>
      <c r="G26" s="56" t="s">
        <v>430</v>
      </c>
      <c r="H26" s="385" t="s">
        <v>445</v>
      </c>
      <c r="I26" s="47">
        <v>83246693</v>
      </c>
      <c r="J26" s="74" t="s">
        <v>16</v>
      </c>
      <c r="K26" s="384">
        <v>3</v>
      </c>
      <c r="L26" s="46"/>
      <c r="M26" s="83">
        <f>2668-1214</f>
        <v>1454</v>
      </c>
      <c r="N26" s="83">
        <f>9330-3673</f>
        <v>5657</v>
      </c>
      <c r="O26" s="204">
        <f t="shared" si="0"/>
        <v>7111</v>
      </c>
    </row>
    <row r="27" spans="1:15" ht="18">
      <c r="A27" s="278" t="s">
        <v>11</v>
      </c>
      <c r="B27" s="61" t="s">
        <v>429</v>
      </c>
      <c r="C27" s="61" t="s">
        <v>430</v>
      </c>
      <c r="D27" s="61" t="s">
        <v>446</v>
      </c>
      <c r="E27" s="56"/>
      <c r="F27" s="80" t="s">
        <v>432</v>
      </c>
      <c r="G27" s="56" t="s">
        <v>430</v>
      </c>
      <c r="H27" s="385" t="s">
        <v>447</v>
      </c>
      <c r="I27" s="47">
        <v>70985064</v>
      </c>
      <c r="J27" s="74" t="s">
        <v>16</v>
      </c>
      <c r="K27" s="384">
        <v>2.5</v>
      </c>
      <c r="L27" s="46"/>
      <c r="M27" s="83">
        <f>12133-9995</f>
        <v>2138</v>
      </c>
      <c r="N27" s="83">
        <f>86226-77422</f>
        <v>8804</v>
      </c>
      <c r="O27" s="204">
        <f t="shared" si="0"/>
        <v>10942</v>
      </c>
    </row>
    <row r="28" spans="1:15" ht="18">
      <c r="A28" s="278" t="s">
        <v>11</v>
      </c>
      <c r="B28" s="61" t="s">
        <v>429</v>
      </c>
      <c r="C28" s="61" t="s">
        <v>448</v>
      </c>
      <c r="D28" s="61"/>
      <c r="E28" s="56"/>
      <c r="F28" s="80" t="s">
        <v>432</v>
      </c>
      <c r="G28" s="56" t="s">
        <v>430</v>
      </c>
      <c r="H28" s="385" t="s">
        <v>449</v>
      </c>
      <c r="I28" s="47">
        <v>83246715</v>
      </c>
      <c r="J28" s="74" t="s">
        <v>16</v>
      </c>
      <c r="K28" s="384">
        <v>2.2</v>
      </c>
      <c r="L28" s="46"/>
      <c r="M28" s="83">
        <f>4761-2182</f>
        <v>2579</v>
      </c>
      <c r="N28" s="83">
        <f>20269-7532</f>
        <v>12737</v>
      </c>
      <c r="O28" s="204">
        <f t="shared" si="0"/>
        <v>15316</v>
      </c>
    </row>
    <row r="29" spans="1:15" ht="18">
      <c r="A29" s="278" t="s">
        <v>11</v>
      </c>
      <c r="B29" s="61" t="s">
        <v>429</v>
      </c>
      <c r="C29" s="61" t="s">
        <v>450</v>
      </c>
      <c r="D29" s="61"/>
      <c r="E29" s="56"/>
      <c r="F29" s="80" t="s">
        <v>432</v>
      </c>
      <c r="G29" s="56" t="s">
        <v>430</v>
      </c>
      <c r="H29" s="385" t="s">
        <v>451</v>
      </c>
      <c r="I29" s="47">
        <v>83246687</v>
      </c>
      <c r="J29" s="74" t="s">
        <v>16</v>
      </c>
      <c r="K29" s="384">
        <v>2</v>
      </c>
      <c r="L29" s="46"/>
      <c r="M29" s="83">
        <f>2779-1412</f>
        <v>1367</v>
      </c>
      <c r="N29" s="83">
        <f>10419-3730</f>
        <v>6689</v>
      </c>
      <c r="O29" s="204">
        <f t="shared" si="0"/>
        <v>8056</v>
      </c>
    </row>
    <row r="30" spans="1:15" ht="18">
      <c r="A30" s="278" t="s">
        <v>11</v>
      </c>
      <c r="B30" s="61" t="s">
        <v>429</v>
      </c>
      <c r="C30" s="61" t="s">
        <v>452</v>
      </c>
      <c r="D30" s="61"/>
      <c r="E30" s="56"/>
      <c r="F30" s="80" t="s">
        <v>432</v>
      </c>
      <c r="G30" s="56" t="s">
        <v>430</v>
      </c>
      <c r="H30" s="385" t="s">
        <v>453</v>
      </c>
      <c r="I30" s="47">
        <v>83246629</v>
      </c>
      <c r="J30" s="74" t="s">
        <v>16</v>
      </c>
      <c r="K30" s="384">
        <v>1</v>
      </c>
      <c r="L30" s="46"/>
      <c r="M30" s="83">
        <f>1927-754</f>
        <v>1173</v>
      </c>
      <c r="N30" s="83">
        <f>6954-2374</f>
        <v>4580</v>
      </c>
      <c r="O30" s="204">
        <f t="shared" si="0"/>
        <v>5753</v>
      </c>
    </row>
    <row r="31" spans="1:15" ht="18">
      <c r="A31" s="278" t="s">
        <v>11</v>
      </c>
      <c r="B31" s="61" t="s">
        <v>429</v>
      </c>
      <c r="C31" s="61" t="s">
        <v>454</v>
      </c>
      <c r="D31" s="61" t="s">
        <v>117</v>
      </c>
      <c r="E31" s="56"/>
      <c r="F31" s="80" t="s">
        <v>432</v>
      </c>
      <c r="G31" s="56" t="s">
        <v>430</v>
      </c>
      <c r="H31" s="385" t="s">
        <v>455</v>
      </c>
      <c r="I31" s="47">
        <v>70903520</v>
      </c>
      <c r="J31" s="74" t="s">
        <v>16</v>
      </c>
      <c r="K31" s="384">
        <v>5</v>
      </c>
      <c r="L31" s="46"/>
      <c r="M31" s="83">
        <f>10302-8366</f>
        <v>1936</v>
      </c>
      <c r="N31" s="83">
        <f>51838-40927</f>
        <v>10911</v>
      </c>
      <c r="O31" s="204">
        <f t="shared" si="0"/>
        <v>12847</v>
      </c>
    </row>
    <row r="32" spans="1:15" ht="18">
      <c r="A32" s="278" t="s">
        <v>11</v>
      </c>
      <c r="B32" s="61" t="s">
        <v>429</v>
      </c>
      <c r="C32" s="61" t="s">
        <v>454</v>
      </c>
      <c r="D32" s="61"/>
      <c r="E32" s="56"/>
      <c r="F32" s="80" t="s">
        <v>432</v>
      </c>
      <c r="G32" s="56" t="s">
        <v>430</v>
      </c>
      <c r="H32" s="385" t="s">
        <v>456</v>
      </c>
      <c r="I32" s="47">
        <v>70618905</v>
      </c>
      <c r="J32" s="74" t="s">
        <v>16</v>
      </c>
      <c r="K32" s="384">
        <v>3.5</v>
      </c>
      <c r="L32" s="46"/>
      <c r="M32" s="83">
        <f>14458-12178</f>
        <v>2280</v>
      </c>
      <c r="N32" s="83">
        <f>54104-43561</f>
        <v>10543</v>
      </c>
      <c r="O32" s="204">
        <f t="shared" si="0"/>
        <v>12823</v>
      </c>
    </row>
    <row r="33" spans="1:15" ht="18">
      <c r="A33" s="278" t="s">
        <v>11</v>
      </c>
      <c r="B33" s="61" t="s">
        <v>429</v>
      </c>
      <c r="C33" s="61" t="s">
        <v>454</v>
      </c>
      <c r="D33" s="61" t="s">
        <v>457</v>
      </c>
      <c r="E33" s="56"/>
      <c r="F33" s="80" t="s">
        <v>432</v>
      </c>
      <c r="G33" s="56" t="s">
        <v>430</v>
      </c>
      <c r="H33" s="385" t="s">
        <v>458</v>
      </c>
      <c r="I33" s="47">
        <v>83246708</v>
      </c>
      <c r="J33" s="74" t="s">
        <v>16</v>
      </c>
      <c r="K33" s="384">
        <v>1.3</v>
      </c>
      <c r="L33" s="46"/>
      <c r="M33" s="82">
        <f>2132-978</f>
        <v>1154</v>
      </c>
      <c r="N33" s="82">
        <f>7269-2886</f>
        <v>4383</v>
      </c>
      <c r="O33" s="204">
        <f t="shared" si="0"/>
        <v>5537</v>
      </c>
    </row>
    <row r="34" spans="1:15" ht="29.25">
      <c r="A34" s="278" t="s">
        <v>11</v>
      </c>
      <c r="B34" s="61" t="s">
        <v>429</v>
      </c>
      <c r="C34" s="61" t="s">
        <v>1702</v>
      </c>
      <c r="D34" s="61"/>
      <c r="E34" s="56"/>
      <c r="F34" s="80" t="s">
        <v>432</v>
      </c>
      <c r="G34" s="56" t="s">
        <v>430</v>
      </c>
      <c r="H34" s="385" t="s">
        <v>459</v>
      </c>
      <c r="I34" s="47">
        <v>83246681</v>
      </c>
      <c r="J34" s="74" t="s">
        <v>16</v>
      </c>
      <c r="K34" s="384">
        <v>0.30000000000000004</v>
      </c>
      <c r="L34" s="46"/>
      <c r="M34" s="83">
        <f>1258-580</f>
        <v>678</v>
      </c>
      <c r="N34" s="83">
        <f>4405-1762</f>
        <v>2643</v>
      </c>
      <c r="O34" s="204">
        <f t="shared" si="0"/>
        <v>3321</v>
      </c>
    </row>
    <row r="35" spans="1:15" ht="29.25">
      <c r="A35" s="278" t="s">
        <v>11</v>
      </c>
      <c r="B35" s="61" t="s">
        <v>429</v>
      </c>
      <c r="C35" s="61" t="s">
        <v>1702</v>
      </c>
      <c r="D35" s="61"/>
      <c r="E35" s="56"/>
      <c r="F35" s="80" t="s">
        <v>432</v>
      </c>
      <c r="G35" s="56" t="s">
        <v>430</v>
      </c>
      <c r="H35" s="385" t="s">
        <v>460</v>
      </c>
      <c r="I35" s="47">
        <v>83246679</v>
      </c>
      <c r="J35" s="74" t="s">
        <v>16</v>
      </c>
      <c r="K35" s="384">
        <v>0.4</v>
      </c>
      <c r="L35" s="46"/>
      <c r="M35" s="83">
        <f>717-326</f>
        <v>391</v>
      </c>
      <c r="N35" s="83">
        <f>2520-1029</f>
        <v>1491</v>
      </c>
      <c r="O35" s="204">
        <f t="shared" si="0"/>
        <v>1882</v>
      </c>
    </row>
    <row r="36" spans="1:15" ht="29.25">
      <c r="A36" s="278" t="s">
        <v>11</v>
      </c>
      <c r="B36" s="61" t="s">
        <v>429</v>
      </c>
      <c r="C36" s="61" t="s">
        <v>1702</v>
      </c>
      <c r="D36" s="61"/>
      <c r="E36" s="56"/>
      <c r="F36" s="80" t="s">
        <v>432</v>
      </c>
      <c r="G36" s="56" t="s">
        <v>430</v>
      </c>
      <c r="H36" s="385" t="s">
        <v>461</v>
      </c>
      <c r="I36" s="47">
        <v>83246542</v>
      </c>
      <c r="J36" s="74" t="s">
        <v>16</v>
      </c>
      <c r="K36" s="384">
        <v>1</v>
      </c>
      <c r="L36" s="46"/>
      <c r="M36" s="83">
        <f>1656-737</f>
        <v>919</v>
      </c>
      <c r="N36" s="83">
        <f>6007-2335</f>
        <v>3672</v>
      </c>
      <c r="O36" s="204">
        <f t="shared" si="0"/>
        <v>4591</v>
      </c>
    </row>
    <row r="37" spans="1:15" ht="33" customHeight="1">
      <c r="A37" s="278" t="s">
        <v>11</v>
      </c>
      <c r="B37" s="61" t="s">
        <v>429</v>
      </c>
      <c r="C37" s="61" t="s">
        <v>1703</v>
      </c>
      <c r="D37" s="61"/>
      <c r="E37" s="56"/>
      <c r="F37" s="80" t="s">
        <v>432</v>
      </c>
      <c r="G37" s="56" t="s">
        <v>430</v>
      </c>
      <c r="H37" s="385" t="s">
        <v>462</v>
      </c>
      <c r="I37" s="47">
        <v>83246652</v>
      </c>
      <c r="J37" s="74" t="s">
        <v>16</v>
      </c>
      <c r="K37" s="384">
        <v>3</v>
      </c>
      <c r="L37" s="46"/>
      <c r="M37" s="83">
        <f>1700-737</f>
        <v>963</v>
      </c>
      <c r="N37" s="83">
        <f>5713-2168</f>
        <v>3545</v>
      </c>
      <c r="O37" s="204">
        <f t="shared" si="0"/>
        <v>4508</v>
      </c>
    </row>
    <row r="38" spans="1:15" ht="29.25">
      <c r="A38" s="278" t="s">
        <v>11</v>
      </c>
      <c r="B38" s="61" t="s">
        <v>429</v>
      </c>
      <c r="C38" s="61" t="s">
        <v>1703</v>
      </c>
      <c r="D38" s="61"/>
      <c r="E38" s="56"/>
      <c r="F38" s="80" t="s">
        <v>432</v>
      </c>
      <c r="G38" s="56" t="s">
        <v>430</v>
      </c>
      <c r="H38" s="385" t="s">
        <v>463</v>
      </c>
      <c r="I38" s="47">
        <v>43734</v>
      </c>
      <c r="J38" s="74" t="s">
        <v>16</v>
      </c>
      <c r="K38" s="384">
        <v>1.7000000000000002</v>
      </c>
      <c r="L38" s="46"/>
      <c r="M38" s="83">
        <f>8655-7146</f>
        <v>1509</v>
      </c>
      <c r="N38" s="83">
        <f>26076-21143</f>
        <v>4933</v>
      </c>
      <c r="O38" s="204">
        <f t="shared" si="0"/>
        <v>6442</v>
      </c>
    </row>
    <row r="39" spans="1:15" ht="29.25">
      <c r="A39" s="278" t="s">
        <v>11</v>
      </c>
      <c r="B39" s="61" t="s">
        <v>429</v>
      </c>
      <c r="C39" s="61" t="s">
        <v>1703</v>
      </c>
      <c r="D39" s="61"/>
      <c r="E39" s="56"/>
      <c r="F39" s="80" t="s">
        <v>432</v>
      </c>
      <c r="G39" s="56" t="s">
        <v>430</v>
      </c>
      <c r="H39" s="385" t="s">
        <v>464</v>
      </c>
      <c r="I39" s="47">
        <v>83246648</v>
      </c>
      <c r="J39" s="74" t="s">
        <v>16</v>
      </c>
      <c r="K39" s="384">
        <v>2.2</v>
      </c>
      <c r="L39" s="46"/>
      <c r="M39" s="83">
        <f>3168-1481</f>
        <v>1687</v>
      </c>
      <c r="N39" s="83">
        <f>11154-4496</f>
        <v>6658</v>
      </c>
      <c r="O39" s="204">
        <f t="shared" si="0"/>
        <v>8345</v>
      </c>
    </row>
    <row r="40" spans="1:15" ht="18">
      <c r="A40" s="278" t="s">
        <v>11</v>
      </c>
      <c r="B40" s="61" t="s">
        <v>429</v>
      </c>
      <c r="C40" s="61" t="s">
        <v>465</v>
      </c>
      <c r="D40" s="61"/>
      <c r="E40" s="56"/>
      <c r="F40" s="80" t="s">
        <v>432</v>
      </c>
      <c r="G40" s="56" t="s">
        <v>430</v>
      </c>
      <c r="H40" s="385" t="s">
        <v>466</v>
      </c>
      <c r="I40" s="47">
        <v>83246673</v>
      </c>
      <c r="J40" s="74" t="s">
        <v>16</v>
      </c>
      <c r="K40" s="384">
        <v>1</v>
      </c>
      <c r="L40" s="46"/>
      <c r="M40" s="83">
        <f>1680-800</f>
        <v>880</v>
      </c>
      <c r="N40" s="83">
        <f>6298-2557</f>
        <v>3741</v>
      </c>
      <c r="O40" s="204">
        <f t="shared" si="0"/>
        <v>4621</v>
      </c>
    </row>
    <row r="41" spans="1:15" ht="18">
      <c r="A41" s="278" t="s">
        <v>11</v>
      </c>
      <c r="B41" s="61" t="s">
        <v>429</v>
      </c>
      <c r="C41" s="61" t="s">
        <v>465</v>
      </c>
      <c r="D41" s="61"/>
      <c r="E41" s="56"/>
      <c r="F41" s="80" t="s">
        <v>432</v>
      </c>
      <c r="G41" s="56" t="s">
        <v>430</v>
      </c>
      <c r="H41" s="385" t="s">
        <v>467</v>
      </c>
      <c r="I41" s="47">
        <v>83246651</v>
      </c>
      <c r="J41" s="74" t="s">
        <v>16</v>
      </c>
      <c r="K41" s="384">
        <v>0.6000000000000001</v>
      </c>
      <c r="L41" s="46"/>
      <c r="M41" s="83">
        <f>997-469</f>
        <v>528</v>
      </c>
      <c r="N41" s="83">
        <f>3559-1446</f>
        <v>2113</v>
      </c>
      <c r="O41" s="204">
        <f t="shared" si="0"/>
        <v>2641</v>
      </c>
    </row>
    <row r="42" spans="1:15" ht="18">
      <c r="A42" s="278" t="s">
        <v>11</v>
      </c>
      <c r="B42" s="61" t="s">
        <v>429</v>
      </c>
      <c r="C42" s="61" t="s">
        <v>465</v>
      </c>
      <c r="D42" s="61"/>
      <c r="E42" s="56"/>
      <c r="F42" s="80" t="s">
        <v>432</v>
      </c>
      <c r="G42" s="56" t="s">
        <v>430</v>
      </c>
      <c r="H42" s="385" t="s">
        <v>468</v>
      </c>
      <c r="I42" s="47">
        <v>43290</v>
      </c>
      <c r="J42" s="74" t="s">
        <v>16</v>
      </c>
      <c r="K42" s="384">
        <v>0.8</v>
      </c>
      <c r="L42" s="46"/>
      <c r="M42" s="83">
        <f>3646-2923</f>
        <v>723</v>
      </c>
      <c r="N42" s="83">
        <f>12295-9636</f>
        <v>2659</v>
      </c>
      <c r="O42" s="204">
        <f t="shared" si="0"/>
        <v>3382</v>
      </c>
    </row>
    <row r="43" spans="1:15" ht="18">
      <c r="A43" s="278" t="s">
        <v>11</v>
      </c>
      <c r="B43" s="61" t="s">
        <v>429</v>
      </c>
      <c r="C43" s="61" t="s">
        <v>465</v>
      </c>
      <c r="D43" s="61" t="s">
        <v>318</v>
      </c>
      <c r="E43" s="56"/>
      <c r="F43" s="80" t="s">
        <v>432</v>
      </c>
      <c r="G43" s="56" t="s">
        <v>430</v>
      </c>
      <c r="H43" s="385" t="s">
        <v>469</v>
      </c>
      <c r="I43" s="47">
        <v>1387588</v>
      </c>
      <c r="J43" s="74" t="s">
        <v>16</v>
      </c>
      <c r="K43" s="384">
        <v>0.7</v>
      </c>
      <c r="L43" s="46"/>
      <c r="M43" s="82">
        <f>3860-3248</f>
        <v>612</v>
      </c>
      <c r="N43" s="82">
        <f>9127-6214</f>
        <v>2913</v>
      </c>
      <c r="O43" s="204">
        <f t="shared" si="0"/>
        <v>3525</v>
      </c>
    </row>
    <row r="44" spans="1:15" ht="18">
      <c r="A44" s="278" t="s">
        <v>11</v>
      </c>
      <c r="B44" s="61" t="s">
        <v>429</v>
      </c>
      <c r="C44" s="61" t="s">
        <v>470</v>
      </c>
      <c r="D44" s="61"/>
      <c r="E44" s="56"/>
      <c r="F44" s="80" t="s">
        <v>432</v>
      </c>
      <c r="G44" s="56" t="s">
        <v>430</v>
      </c>
      <c r="H44" s="385" t="s">
        <v>471</v>
      </c>
      <c r="I44" s="47">
        <v>83246756</v>
      </c>
      <c r="J44" s="74" t="s">
        <v>16</v>
      </c>
      <c r="K44" s="384">
        <v>0.1</v>
      </c>
      <c r="L44" s="46"/>
      <c r="M44" s="83">
        <f>138-66</f>
        <v>72</v>
      </c>
      <c r="N44" s="83">
        <f>519-218</f>
        <v>301</v>
      </c>
      <c r="O44" s="204">
        <f t="shared" si="0"/>
        <v>373</v>
      </c>
    </row>
    <row r="45" spans="1:15" ht="18">
      <c r="A45" s="278" t="s">
        <v>11</v>
      </c>
      <c r="B45" s="61" t="s">
        <v>429</v>
      </c>
      <c r="C45" s="61" t="s">
        <v>470</v>
      </c>
      <c r="D45" s="61"/>
      <c r="E45" s="56"/>
      <c r="F45" s="80" t="s">
        <v>432</v>
      </c>
      <c r="G45" s="56" t="s">
        <v>430</v>
      </c>
      <c r="H45" s="385" t="s">
        <v>472</v>
      </c>
      <c r="I45" s="47">
        <v>83246889</v>
      </c>
      <c r="J45" s="74" t="s">
        <v>16</v>
      </c>
      <c r="K45" s="384">
        <v>0.1</v>
      </c>
      <c r="L45" s="46"/>
      <c r="M45" s="83">
        <f>250-119</f>
        <v>131</v>
      </c>
      <c r="N45" s="83">
        <f>848-379</f>
        <v>469</v>
      </c>
      <c r="O45" s="204">
        <f t="shared" si="0"/>
        <v>600</v>
      </c>
    </row>
    <row r="46" spans="1:15" ht="18">
      <c r="A46" s="278" t="s">
        <v>11</v>
      </c>
      <c r="B46" s="61" t="s">
        <v>429</v>
      </c>
      <c r="C46" s="61" t="s">
        <v>430</v>
      </c>
      <c r="D46" s="61" t="s">
        <v>473</v>
      </c>
      <c r="E46" s="56"/>
      <c r="F46" s="80" t="s">
        <v>432</v>
      </c>
      <c r="G46" s="56" t="s">
        <v>430</v>
      </c>
      <c r="H46" s="385" t="s">
        <v>474</v>
      </c>
      <c r="I46" s="47">
        <v>83246650</v>
      </c>
      <c r="J46" s="74" t="s">
        <v>16</v>
      </c>
      <c r="K46" s="384">
        <v>3</v>
      </c>
      <c r="L46" s="46"/>
      <c r="M46" s="83">
        <f>3927-1714</f>
        <v>2213</v>
      </c>
      <c r="N46" s="83">
        <f>13993-5300</f>
        <v>8693</v>
      </c>
      <c r="O46" s="204">
        <f t="shared" si="0"/>
        <v>10906</v>
      </c>
    </row>
    <row r="47" spans="1:15" ht="18">
      <c r="A47" s="278" t="s">
        <v>11</v>
      </c>
      <c r="B47" s="61" t="s">
        <v>429</v>
      </c>
      <c r="C47" s="61" t="s">
        <v>1707</v>
      </c>
      <c r="D47" s="61"/>
      <c r="E47" s="56"/>
      <c r="F47" s="80" t="s">
        <v>432</v>
      </c>
      <c r="G47" s="56" t="s">
        <v>430</v>
      </c>
      <c r="H47" s="385" t="s">
        <v>475</v>
      </c>
      <c r="I47" s="47">
        <v>83246615</v>
      </c>
      <c r="J47" s="74" t="s">
        <v>16</v>
      </c>
      <c r="K47" s="384">
        <v>0.6000000000000001</v>
      </c>
      <c r="L47" s="46"/>
      <c r="M47" s="83">
        <f>943-440</f>
        <v>503</v>
      </c>
      <c r="N47" s="83">
        <f>3295-1353</f>
        <v>1942</v>
      </c>
      <c r="O47" s="204">
        <f t="shared" si="0"/>
        <v>2445</v>
      </c>
    </row>
    <row r="48" spans="1:15" ht="18">
      <c r="A48" s="278" t="s">
        <v>11</v>
      </c>
      <c r="B48" s="61" t="s">
        <v>429</v>
      </c>
      <c r="C48" s="61" t="s">
        <v>476</v>
      </c>
      <c r="D48" s="61"/>
      <c r="E48" s="56"/>
      <c r="F48" s="80" t="s">
        <v>432</v>
      </c>
      <c r="G48" s="56" t="s">
        <v>430</v>
      </c>
      <c r="H48" s="385" t="s">
        <v>477</v>
      </c>
      <c r="I48" s="47">
        <v>70903522</v>
      </c>
      <c r="J48" s="74" t="s">
        <v>16</v>
      </c>
      <c r="K48" s="384">
        <v>3.9</v>
      </c>
      <c r="L48" s="46"/>
      <c r="M48" s="83">
        <f>12114-9723</f>
        <v>2391</v>
      </c>
      <c r="N48" s="83">
        <f>52983-42457</f>
        <v>10526</v>
      </c>
      <c r="O48" s="204">
        <f t="shared" si="0"/>
        <v>12917</v>
      </c>
    </row>
    <row r="49" spans="1:15" ht="18">
      <c r="A49" s="278" t="s">
        <v>11</v>
      </c>
      <c r="B49" s="61" t="s">
        <v>429</v>
      </c>
      <c r="C49" s="27" t="s">
        <v>430</v>
      </c>
      <c r="D49" s="61" t="s">
        <v>473</v>
      </c>
      <c r="E49" s="56"/>
      <c r="F49" s="80" t="s">
        <v>432</v>
      </c>
      <c r="G49" s="56" t="s">
        <v>430</v>
      </c>
      <c r="H49" s="385" t="s">
        <v>478</v>
      </c>
      <c r="I49" s="47">
        <v>83246691</v>
      </c>
      <c r="J49" s="74" t="s">
        <v>16</v>
      </c>
      <c r="K49" s="384">
        <v>3.6</v>
      </c>
      <c r="L49" s="46"/>
      <c r="M49" s="83">
        <f>6321-2851</f>
        <v>3470</v>
      </c>
      <c r="N49" s="83">
        <f>22786-8997</f>
        <v>13789</v>
      </c>
      <c r="O49" s="204">
        <f t="shared" si="0"/>
        <v>17259</v>
      </c>
    </row>
    <row r="50" spans="1:15" ht="18">
      <c r="A50" s="278" t="s">
        <v>11</v>
      </c>
      <c r="B50" s="61" t="s">
        <v>429</v>
      </c>
      <c r="C50" s="61" t="s">
        <v>452</v>
      </c>
      <c r="D50" s="61"/>
      <c r="E50" s="56"/>
      <c r="F50" s="80" t="s">
        <v>432</v>
      </c>
      <c r="G50" s="56" t="s">
        <v>430</v>
      </c>
      <c r="H50" s="385" t="s">
        <v>479</v>
      </c>
      <c r="I50" s="47">
        <v>83246613</v>
      </c>
      <c r="J50" s="74" t="s">
        <v>16</v>
      </c>
      <c r="K50" s="384">
        <v>1</v>
      </c>
      <c r="L50" s="46"/>
      <c r="M50" s="83">
        <f>953-430</f>
        <v>523</v>
      </c>
      <c r="N50" s="83">
        <f>3393-1328</f>
        <v>2065</v>
      </c>
      <c r="O50" s="204">
        <f t="shared" si="0"/>
        <v>2588</v>
      </c>
    </row>
    <row r="51" spans="1:15" ht="18">
      <c r="A51" s="278" t="s">
        <v>11</v>
      </c>
      <c r="B51" s="61" t="s">
        <v>429</v>
      </c>
      <c r="C51" s="61" t="s">
        <v>452</v>
      </c>
      <c r="D51" s="61"/>
      <c r="E51" s="56"/>
      <c r="F51" s="80" t="s">
        <v>432</v>
      </c>
      <c r="G51" s="56" t="s">
        <v>430</v>
      </c>
      <c r="H51" s="385" t="s">
        <v>480</v>
      </c>
      <c r="I51" s="47">
        <v>83246680</v>
      </c>
      <c r="J51" s="74" t="s">
        <v>16</v>
      </c>
      <c r="K51" s="384">
        <v>3</v>
      </c>
      <c r="L51" s="46"/>
      <c r="M51" s="83">
        <f>3275-1283</f>
        <v>1992</v>
      </c>
      <c r="N51" s="83">
        <f>11278-3839</f>
        <v>7439</v>
      </c>
      <c r="O51" s="204">
        <f t="shared" si="0"/>
        <v>9431</v>
      </c>
    </row>
    <row r="52" spans="1:15" ht="29.25">
      <c r="A52" s="278" t="s">
        <v>11</v>
      </c>
      <c r="B52" s="61" t="s">
        <v>429</v>
      </c>
      <c r="C52" s="61" t="s">
        <v>452</v>
      </c>
      <c r="D52" s="61" t="s">
        <v>1317</v>
      </c>
      <c r="E52" s="56"/>
      <c r="F52" s="80" t="s">
        <v>432</v>
      </c>
      <c r="G52" s="56" t="s">
        <v>430</v>
      </c>
      <c r="H52" s="385" t="s">
        <v>481</v>
      </c>
      <c r="I52" s="47">
        <v>70903544</v>
      </c>
      <c r="J52" s="74" t="s">
        <v>16</v>
      </c>
      <c r="K52" s="384">
        <v>5</v>
      </c>
      <c r="L52" s="46"/>
      <c r="M52" s="83">
        <f>12518-9686</f>
        <v>2832</v>
      </c>
      <c r="N52" s="83">
        <f>56963-43690</f>
        <v>13273</v>
      </c>
      <c r="O52" s="204">
        <f t="shared" si="0"/>
        <v>16105</v>
      </c>
    </row>
    <row r="53" spans="1:15" ht="18">
      <c r="A53" s="278" t="s">
        <v>11</v>
      </c>
      <c r="B53" s="61" t="s">
        <v>429</v>
      </c>
      <c r="C53" s="61" t="s">
        <v>452</v>
      </c>
      <c r="D53" s="61"/>
      <c r="E53" s="56"/>
      <c r="F53" s="80" t="s">
        <v>432</v>
      </c>
      <c r="G53" s="56" t="s">
        <v>430</v>
      </c>
      <c r="H53" s="385" t="s">
        <v>482</v>
      </c>
      <c r="I53" s="47">
        <v>70903619</v>
      </c>
      <c r="J53" s="74" t="s">
        <v>16</v>
      </c>
      <c r="K53" s="384">
        <v>2.4</v>
      </c>
      <c r="L53" s="46"/>
      <c r="M53" s="83">
        <f>9324-7768</f>
        <v>1556</v>
      </c>
      <c r="N53" s="83">
        <f>44483-36494</f>
        <v>7989</v>
      </c>
      <c r="O53" s="204">
        <f t="shared" si="0"/>
        <v>9545</v>
      </c>
    </row>
    <row r="54" spans="1:15" ht="18">
      <c r="A54" s="278" t="s">
        <v>11</v>
      </c>
      <c r="B54" s="61" t="s">
        <v>429</v>
      </c>
      <c r="C54" s="61" t="s">
        <v>483</v>
      </c>
      <c r="D54" s="61"/>
      <c r="E54" s="56"/>
      <c r="F54" s="80" t="s">
        <v>432</v>
      </c>
      <c r="G54" s="56" t="s">
        <v>430</v>
      </c>
      <c r="H54" s="385" t="s">
        <v>484</v>
      </c>
      <c r="I54" s="47">
        <v>83246740</v>
      </c>
      <c r="J54" s="74" t="s">
        <v>16</v>
      </c>
      <c r="K54" s="384">
        <v>1.7000000000000002</v>
      </c>
      <c r="L54" s="46"/>
      <c r="M54" s="83">
        <f>1413-658</f>
        <v>755</v>
      </c>
      <c r="N54" s="83">
        <f>5312-2191</f>
        <v>3121</v>
      </c>
      <c r="O54" s="204">
        <f t="shared" si="0"/>
        <v>3876</v>
      </c>
    </row>
    <row r="55" spans="1:15" ht="18">
      <c r="A55" s="278" t="s">
        <v>11</v>
      </c>
      <c r="B55" s="61" t="s">
        <v>429</v>
      </c>
      <c r="C55" s="61" t="s">
        <v>485</v>
      </c>
      <c r="D55" s="61"/>
      <c r="E55" s="56"/>
      <c r="F55" s="80" t="s">
        <v>432</v>
      </c>
      <c r="G55" s="56" t="s">
        <v>430</v>
      </c>
      <c r="H55" s="385" t="s">
        <v>486</v>
      </c>
      <c r="I55" s="47">
        <v>83246766</v>
      </c>
      <c r="J55" s="74" t="s">
        <v>16</v>
      </c>
      <c r="K55" s="384">
        <v>2.3</v>
      </c>
      <c r="L55" s="46"/>
      <c r="M55" s="83">
        <f>3671-1694</f>
        <v>1977</v>
      </c>
      <c r="N55" s="83">
        <f>12987-5504</f>
        <v>7483</v>
      </c>
      <c r="O55" s="204">
        <f t="shared" si="0"/>
        <v>9460</v>
      </c>
    </row>
    <row r="56" spans="1:15" ht="18">
      <c r="A56" s="278" t="s">
        <v>11</v>
      </c>
      <c r="B56" s="61" t="s">
        <v>429</v>
      </c>
      <c r="C56" s="61" t="s">
        <v>485</v>
      </c>
      <c r="D56" s="61"/>
      <c r="E56" s="56"/>
      <c r="F56" s="80" t="s">
        <v>432</v>
      </c>
      <c r="G56" s="56" t="s">
        <v>430</v>
      </c>
      <c r="H56" s="385" t="s">
        <v>487</v>
      </c>
      <c r="I56" s="47">
        <v>83247332</v>
      </c>
      <c r="J56" s="74" t="s">
        <v>16</v>
      </c>
      <c r="K56" s="384">
        <v>1.9</v>
      </c>
      <c r="L56" s="46"/>
      <c r="M56" s="83">
        <f>2847-1363</f>
        <v>1484</v>
      </c>
      <c r="N56" s="83">
        <f>10315-4474</f>
        <v>5841</v>
      </c>
      <c r="O56" s="204">
        <f t="shared" si="0"/>
        <v>7325</v>
      </c>
    </row>
    <row r="57" spans="1:15" ht="17.25" customHeight="1">
      <c r="A57" s="278" t="s">
        <v>11</v>
      </c>
      <c r="B57" s="61" t="s">
        <v>429</v>
      </c>
      <c r="C57" s="61" t="s">
        <v>1708</v>
      </c>
      <c r="D57" s="61"/>
      <c r="E57" s="56"/>
      <c r="F57" s="80" t="s">
        <v>432</v>
      </c>
      <c r="G57" s="56" t="s">
        <v>430</v>
      </c>
      <c r="H57" s="385" t="s">
        <v>488</v>
      </c>
      <c r="I57" s="47">
        <v>83246755</v>
      </c>
      <c r="J57" s="74" t="s">
        <v>16</v>
      </c>
      <c r="K57" s="384">
        <v>1.3</v>
      </c>
      <c r="L57" s="46"/>
      <c r="M57" s="83">
        <f>2052-1001</f>
        <v>1051</v>
      </c>
      <c r="N57" s="83">
        <f>7587-3290</f>
        <v>4297</v>
      </c>
      <c r="O57" s="204">
        <f t="shared" si="0"/>
        <v>5348</v>
      </c>
    </row>
    <row r="58" spans="1:15" ht="18">
      <c r="A58" s="278" t="s">
        <v>11</v>
      </c>
      <c r="B58" s="61" t="s">
        <v>429</v>
      </c>
      <c r="C58" s="61" t="s">
        <v>489</v>
      </c>
      <c r="D58" s="61"/>
      <c r="E58" s="56"/>
      <c r="F58" s="80" t="s">
        <v>432</v>
      </c>
      <c r="G58" s="56" t="s">
        <v>430</v>
      </c>
      <c r="H58" s="385" t="s">
        <v>490</v>
      </c>
      <c r="I58" s="47">
        <v>43135</v>
      </c>
      <c r="J58" s="74" t="s">
        <v>16</v>
      </c>
      <c r="K58" s="384">
        <v>2.1</v>
      </c>
      <c r="L58" s="46"/>
      <c r="M58" s="83">
        <f>6507-5298</f>
        <v>1209</v>
      </c>
      <c r="N58" s="83">
        <f>20849-16663</f>
        <v>4186</v>
      </c>
      <c r="O58" s="204">
        <f t="shared" si="0"/>
        <v>5395</v>
      </c>
    </row>
    <row r="59" spans="1:15" ht="18">
      <c r="A59" s="278" t="s">
        <v>11</v>
      </c>
      <c r="B59" s="61" t="s">
        <v>429</v>
      </c>
      <c r="C59" s="61" t="s">
        <v>491</v>
      </c>
      <c r="D59" s="61"/>
      <c r="E59" s="56"/>
      <c r="F59" s="80" t="s">
        <v>432</v>
      </c>
      <c r="G59" s="56" t="s">
        <v>430</v>
      </c>
      <c r="H59" s="385" t="s">
        <v>492</v>
      </c>
      <c r="I59" s="47">
        <v>43141</v>
      </c>
      <c r="J59" s="74" t="s">
        <v>16</v>
      </c>
      <c r="K59" s="384">
        <v>0.5</v>
      </c>
      <c r="L59" s="46"/>
      <c r="M59" s="83">
        <f>1530-1255</f>
        <v>275</v>
      </c>
      <c r="N59" s="83">
        <f>6570-5199</f>
        <v>1371</v>
      </c>
      <c r="O59" s="204">
        <f t="shared" si="0"/>
        <v>1646</v>
      </c>
    </row>
    <row r="60" spans="1:15" ht="18">
      <c r="A60" s="278" t="s">
        <v>11</v>
      </c>
      <c r="B60" s="61" t="s">
        <v>429</v>
      </c>
      <c r="C60" s="61" t="s">
        <v>491</v>
      </c>
      <c r="D60" s="61"/>
      <c r="E60" s="56"/>
      <c r="F60" s="80" t="s">
        <v>432</v>
      </c>
      <c r="G60" s="56" t="s">
        <v>430</v>
      </c>
      <c r="H60" s="385" t="s">
        <v>493</v>
      </c>
      <c r="I60" s="47">
        <v>83111497</v>
      </c>
      <c r="J60" s="74" t="s">
        <v>16</v>
      </c>
      <c r="K60" s="384">
        <v>2.3</v>
      </c>
      <c r="L60" s="46"/>
      <c r="M60" s="83">
        <f>2302-1093</f>
        <v>1209</v>
      </c>
      <c r="N60" s="83">
        <f>8132-3564</f>
        <v>4568</v>
      </c>
      <c r="O60" s="204">
        <f t="shared" si="0"/>
        <v>5777</v>
      </c>
    </row>
    <row r="61" spans="1:15" ht="31.5" customHeight="1">
      <c r="A61" s="278" t="s">
        <v>11</v>
      </c>
      <c r="B61" s="61" t="s">
        <v>429</v>
      </c>
      <c r="C61" s="61" t="s">
        <v>1702</v>
      </c>
      <c r="D61" s="61"/>
      <c r="E61" s="56"/>
      <c r="F61" s="80" t="s">
        <v>432</v>
      </c>
      <c r="G61" s="56" t="s">
        <v>430</v>
      </c>
      <c r="H61" s="385" t="s">
        <v>494</v>
      </c>
      <c r="I61" s="47">
        <v>1000189</v>
      </c>
      <c r="J61" s="74" t="s">
        <v>16</v>
      </c>
      <c r="K61" s="384">
        <v>1.1</v>
      </c>
      <c r="L61" s="46"/>
      <c r="M61" s="83">
        <f>3095-2615</f>
        <v>480</v>
      </c>
      <c r="N61" s="83">
        <f>12395-10595</f>
        <v>1800</v>
      </c>
      <c r="O61" s="204">
        <f t="shared" si="0"/>
        <v>2280</v>
      </c>
    </row>
    <row r="62" spans="1:15" ht="18">
      <c r="A62" s="278" t="s">
        <v>11</v>
      </c>
      <c r="B62" s="61" t="s">
        <v>429</v>
      </c>
      <c r="C62" s="61" t="s">
        <v>495</v>
      </c>
      <c r="D62" s="61"/>
      <c r="E62" s="56"/>
      <c r="F62" s="80" t="s">
        <v>432</v>
      </c>
      <c r="G62" s="56" t="s">
        <v>430</v>
      </c>
      <c r="H62" s="385" t="s">
        <v>496</v>
      </c>
      <c r="I62" s="47">
        <v>1440402</v>
      </c>
      <c r="J62" s="74" t="s">
        <v>16</v>
      </c>
      <c r="K62" s="384">
        <v>0.8</v>
      </c>
      <c r="L62" s="46"/>
      <c r="M62" s="83">
        <f>359-180</f>
        <v>179</v>
      </c>
      <c r="N62" s="83">
        <f>1439-709</f>
        <v>730</v>
      </c>
      <c r="O62" s="204">
        <f t="shared" si="0"/>
        <v>909</v>
      </c>
    </row>
    <row r="63" spans="1:15" ht="18">
      <c r="A63" s="278" t="s">
        <v>11</v>
      </c>
      <c r="B63" s="61" t="s">
        <v>429</v>
      </c>
      <c r="C63" s="61" t="s">
        <v>495</v>
      </c>
      <c r="D63" s="61"/>
      <c r="E63" s="56"/>
      <c r="F63" s="80" t="s">
        <v>432</v>
      </c>
      <c r="G63" s="56" t="s">
        <v>430</v>
      </c>
      <c r="H63" s="385" t="s">
        <v>497</v>
      </c>
      <c r="I63" s="47">
        <v>83111609</v>
      </c>
      <c r="J63" s="74" t="s">
        <v>16</v>
      </c>
      <c r="K63" s="384">
        <v>1.1</v>
      </c>
      <c r="L63" s="46"/>
      <c r="M63" s="83">
        <f>2159-1065</f>
        <v>1094</v>
      </c>
      <c r="N63" s="83">
        <f>8064-3661</f>
        <v>4403</v>
      </c>
      <c r="O63" s="204">
        <f t="shared" si="0"/>
        <v>5497</v>
      </c>
    </row>
    <row r="64" spans="1:15" ht="18">
      <c r="A64" s="278" t="s">
        <v>11</v>
      </c>
      <c r="B64" s="61" t="s">
        <v>429</v>
      </c>
      <c r="C64" s="61" t="s">
        <v>495</v>
      </c>
      <c r="D64" s="61"/>
      <c r="E64" s="56"/>
      <c r="F64" s="80" t="s">
        <v>432</v>
      </c>
      <c r="G64" s="56" t="s">
        <v>430</v>
      </c>
      <c r="H64" s="385" t="s">
        <v>498</v>
      </c>
      <c r="I64" s="47">
        <v>83291715</v>
      </c>
      <c r="J64" s="74" t="s">
        <v>16</v>
      </c>
      <c r="K64" s="384">
        <v>3</v>
      </c>
      <c r="L64" s="46"/>
      <c r="M64" s="83">
        <f>81*14</f>
        <v>1134</v>
      </c>
      <c r="N64" s="83">
        <f>254*13</f>
        <v>3302</v>
      </c>
      <c r="O64" s="204">
        <f t="shared" si="0"/>
        <v>4436</v>
      </c>
    </row>
    <row r="65" spans="1:15" ht="18">
      <c r="A65" s="278" t="s">
        <v>11</v>
      </c>
      <c r="B65" s="61" t="s">
        <v>429</v>
      </c>
      <c r="C65" s="61" t="s">
        <v>495</v>
      </c>
      <c r="D65" s="61"/>
      <c r="E65" s="56"/>
      <c r="F65" s="80" t="s">
        <v>432</v>
      </c>
      <c r="G65" s="56" t="s">
        <v>430</v>
      </c>
      <c r="H65" s="385" t="s">
        <v>499</v>
      </c>
      <c r="I65" s="47">
        <v>1440388</v>
      </c>
      <c r="J65" s="74" t="s">
        <v>16</v>
      </c>
      <c r="K65" s="384">
        <v>1.1</v>
      </c>
      <c r="L65" s="46"/>
      <c r="M65" s="83">
        <f>865-434</f>
        <v>431</v>
      </c>
      <c r="N65" s="83">
        <f>3755-1836</f>
        <v>1919</v>
      </c>
      <c r="O65" s="204">
        <f t="shared" si="0"/>
        <v>2350</v>
      </c>
    </row>
    <row r="66" spans="1:15" ht="29.25">
      <c r="A66" s="278" t="s">
        <v>11</v>
      </c>
      <c r="B66" s="61" t="s">
        <v>429</v>
      </c>
      <c r="C66" s="61" t="s">
        <v>430</v>
      </c>
      <c r="D66" s="61" t="s">
        <v>500</v>
      </c>
      <c r="E66" s="56"/>
      <c r="F66" s="80" t="s">
        <v>432</v>
      </c>
      <c r="G66" s="56" t="s">
        <v>430</v>
      </c>
      <c r="H66" s="385" t="s">
        <v>501</v>
      </c>
      <c r="I66" s="47">
        <v>1494926</v>
      </c>
      <c r="J66" s="74" t="s">
        <v>16</v>
      </c>
      <c r="K66" s="384">
        <v>1.4</v>
      </c>
      <c r="L66" s="46"/>
      <c r="M66" s="83">
        <f>8812-7141</f>
        <v>1671</v>
      </c>
      <c r="N66" s="83">
        <f>26003-20459</f>
        <v>5544</v>
      </c>
      <c r="O66" s="204">
        <f t="shared" si="0"/>
        <v>7215</v>
      </c>
    </row>
    <row r="67" spans="1:15" ht="29.25">
      <c r="A67" s="278" t="s">
        <v>11</v>
      </c>
      <c r="B67" s="61" t="s">
        <v>429</v>
      </c>
      <c r="C67" s="61" t="s">
        <v>430</v>
      </c>
      <c r="D67" s="61" t="s">
        <v>1699</v>
      </c>
      <c r="E67" s="56"/>
      <c r="F67" s="80" t="s">
        <v>432</v>
      </c>
      <c r="G67" s="56" t="s">
        <v>430</v>
      </c>
      <c r="H67" s="385" t="s">
        <v>502</v>
      </c>
      <c r="I67" s="47">
        <v>1440398</v>
      </c>
      <c r="J67" s="74" t="s">
        <v>16</v>
      </c>
      <c r="K67" s="384">
        <v>1.6</v>
      </c>
      <c r="L67" s="46"/>
      <c r="M67" s="83">
        <f>2457-1211</f>
        <v>1246</v>
      </c>
      <c r="N67" s="83">
        <f>10405-4938</f>
        <v>5467</v>
      </c>
      <c r="O67" s="204">
        <f t="shared" si="0"/>
        <v>6713</v>
      </c>
    </row>
    <row r="68" spans="1:16" ht="18">
      <c r="A68" s="278" t="s">
        <v>11</v>
      </c>
      <c r="B68" s="61" t="s">
        <v>429</v>
      </c>
      <c r="C68" s="151" t="s">
        <v>448</v>
      </c>
      <c r="D68" s="61"/>
      <c r="E68" s="56"/>
      <c r="F68" s="80" t="s">
        <v>432</v>
      </c>
      <c r="G68" s="56" t="s">
        <v>430</v>
      </c>
      <c r="H68" s="385" t="s">
        <v>503</v>
      </c>
      <c r="I68" s="47">
        <v>70851278</v>
      </c>
      <c r="J68" s="74" t="s">
        <v>16</v>
      </c>
      <c r="K68" s="384">
        <v>6.7</v>
      </c>
      <c r="L68" s="46"/>
      <c r="M68" s="83">
        <f>11170-9072</f>
        <v>2098</v>
      </c>
      <c r="N68" s="83">
        <f>53696-42359</f>
        <v>11337</v>
      </c>
      <c r="O68" s="204">
        <f t="shared" si="0"/>
        <v>13435</v>
      </c>
      <c r="P68" s="2"/>
    </row>
    <row r="69" spans="1:15" ht="18">
      <c r="A69" s="278" t="s">
        <v>11</v>
      </c>
      <c r="B69" s="61" t="s">
        <v>429</v>
      </c>
      <c r="C69" s="151" t="s">
        <v>470</v>
      </c>
      <c r="D69" s="61" t="s">
        <v>504</v>
      </c>
      <c r="E69" s="56"/>
      <c r="F69" s="80" t="s">
        <v>432</v>
      </c>
      <c r="G69" s="56" t="s">
        <v>430</v>
      </c>
      <c r="H69" s="385" t="s">
        <v>505</v>
      </c>
      <c r="I69" s="47">
        <v>1001178</v>
      </c>
      <c r="J69" s="74" t="s">
        <v>16</v>
      </c>
      <c r="K69" s="384">
        <v>0.4</v>
      </c>
      <c r="L69" s="46"/>
      <c r="M69" s="82">
        <f>2078-1517</f>
        <v>561</v>
      </c>
      <c r="N69" s="82">
        <f>7976-6020</f>
        <v>1956</v>
      </c>
      <c r="O69" s="204">
        <f t="shared" si="0"/>
        <v>2517</v>
      </c>
    </row>
    <row r="70" spans="1:15" ht="18">
      <c r="A70" s="278" t="s">
        <v>11</v>
      </c>
      <c r="B70" s="152" t="s">
        <v>429</v>
      </c>
      <c r="C70" s="61" t="s">
        <v>506</v>
      </c>
      <c r="D70" s="61"/>
      <c r="E70" s="56"/>
      <c r="F70" s="80" t="s">
        <v>432</v>
      </c>
      <c r="G70" s="56" t="s">
        <v>430</v>
      </c>
      <c r="H70" s="385" t="s">
        <v>507</v>
      </c>
      <c r="I70" s="47">
        <v>83246678</v>
      </c>
      <c r="J70" s="48" t="s">
        <v>16</v>
      </c>
      <c r="K70" s="384">
        <v>0.3</v>
      </c>
      <c r="L70" s="46"/>
      <c r="M70" s="84">
        <f>553-248</f>
        <v>305</v>
      </c>
      <c r="N70" s="82">
        <f>2035-803</f>
        <v>1232</v>
      </c>
      <c r="O70" s="204">
        <f t="shared" si="0"/>
        <v>1537</v>
      </c>
    </row>
    <row r="71" spans="1:15" ht="18">
      <c r="A71" s="278" t="s">
        <v>11</v>
      </c>
      <c r="B71" s="152" t="s">
        <v>429</v>
      </c>
      <c r="C71" s="61" t="s">
        <v>430</v>
      </c>
      <c r="D71" s="61" t="s">
        <v>199</v>
      </c>
      <c r="E71" s="56"/>
      <c r="F71" s="80" t="s">
        <v>432</v>
      </c>
      <c r="G71" s="56" t="s">
        <v>430</v>
      </c>
      <c r="H71" s="385" t="s">
        <v>508</v>
      </c>
      <c r="I71" s="47">
        <v>83246647</v>
      </c>
      <c r="J71" s="74" t="s">
        <v>16</v>
      </c>
      <c r="K71" s="384">
        <v>2.2</v>
      </c>
      <c r="L71" s="46"/>
      <c r="M71" s="82">
        <f>954-439</f>
        <v>515</v>
      </c>
      <c r="N71" s="82">
        <f>3389-1367</f>
        <v>2022</v>
      </c>
      <c r="O71" s="204">
        <f t="shared" si="0"/>
        <v>2537</v>
      </c>
    </row>
    <row r="72" spans="1:15" ht="43.5">
      <c r="A72" s="278" t="s">
        <v>11</v>
      </c>
      <c r="B72" s="152" t="s">
        <v>429</v>
      </c>
      <c r="C72" s="61" t="s">
        <v>1696</v>
      </c>
      <c r="D72" s="153"/>
      <c r="E72" s="56"/>
      <c r="F72" s="80" t="s">
        <v>432</v>
      </c>
      <c r="G72" s="56" t="s">
        <v>430</v>
      </c>
      <c r="H72" s="385" t="s">
        <v>509</v>
      </c>
      <c r="I72" s="47">
        <v>19944608</v>
      </c>
      <c r="J72" s="159" t="s">
        <v>152</v>
      </c>
      <c r="K72" s="384">
        <v>2</v>
      </c>
      <c r="L72" s="30">
        <f>34410-30486</f>
        <v>3924</v>
      </c>
      <c r="M72" s="285"/>
      <c r="N72" s="286"/>
      <c r="O72" s="204">
        <f>L72</f>
        <v>3924</v>
      </c>
    </row>
    <row r="73" spans="1:15" ht="43.5">
      <c r="A73" s="278" t="s">
        <v>11</v>
      </c>
      <c r="B73" s="152" t="s">
        <v>429</v>
      </c>
      <c r="C73" s="61" t="s">
        <v>1696</v>
      </c>
      <c r="D73" s="153"/>
      <c r="E73" s="56"/>
      <c r="F73" s="80" t="s">
        <v>432</v>
      </c>
      <c r="G73" s="56" t="s">
        <v>430</v>
      </c>
      <c r="H73" s="385" t="s">
        <v>510</v>
      </c>
      <c r="I73" s="47">
        <v>25370111</v>
      </c>
      <c r="J73" s="159" t="s">
        <v>152</v>
      </c>
      <c r="K73" s="384">
        <v>3.2</v>
      </c>
      <c r="L73" s="30">
        <f>22899-17510</f>
        <v>5389</v>
      </c>
      <c r="M73" s="285"/>
      <c r="N73" s="286"/>
      <c r="O73" s="204">
        <f>L73</f>
        <v>5389</v>
      </c>
    </row>
    <row r="74" spans="1:15" ht="18">
      <c r="A74" s="278" t="s">
        <v>11</v>
      </c>
      <c r="B74" s="152" t="s">
        <v>429</v>
      </c>
      <c r="C74" s="61" t="s">
        <v>511</v>
      </c>
      <c r="D74" s="61"/>
      <c r="E74" s="56"/>
      <c r="F74" s="80" t="s">
        <v>432</v>
      </c>
      <c r="G74" s="56" t="s">
        <v>430</v>
      </c>
      <c r="H74" s="385" t="s">
        <v>512</v>
      </c>
      <c r="I74" s="47">
        <v>83247335</v>
      </c>
      <c r="J74" s="74" t="s">
        <v>16</v>
      </c>
      <c r="K74" s="384">
        <v>2</v>
      </c>
      <c r="L74" s="46"/>
      <c r="M74" s="84">
        <f>762-386</f>
        <v>376</v>
      </c>
      <c r="N74" s="82">
        <f>2632-1219</f>
        <v>1413</v>
      </c>
      <c r="O74" s="204">
        <f t="shared" si="0"/>
        <v>1789</v>
      </c>
    </row>
    <row r="75" spans="1:15" ht="18">
      <c r="A75" s="278" t="s">
        <v>11</v>
      </c>
      <c r="B75" s="152" t="s">
        <v>429</v>
      </c>
      <c r="C75" s="61" t="s">
        <v>448</v>
      </c>
      <c r="D75" s="61" t="s">
        <v>169</v>
      </c>
      <c r="E75" s="56"/>
      <c r="F75" s="80" t="s">
        <v>432</v>
      </c>
      <c r="G75" s="56" t="s">
        <v>430</v>
      </c>
      <c r="H75" s="385" t="s">
        <v>513</v>
      </c>
      <c r="I75" s="47">
        <v>83246700</v>
      </c>
      <c r="J75" s="48" t="s">
        <v>16</v>
      </c>
      <c r="K75" s="384">
        <v>5</v>
      </c>
      <c r="L75" s="46"/>
      <c r="M75" s="84">
        <f>1931-609</f>
        <v>1322</v>
      </c>
      <c r="N75" s="82">
        <f>7008-1929</f>
        <v>5079</v>
      </c>
      <c r="O75" s="204">
        <f t="shared" si="0"/>
        <v>6401</v>
      </c>
    </row>
    <row r="76" spans="1:15" ht="18">
      <c r="A76" s="278" t="s">
        <v>11</v>
      </c>
      <c r="B76" s="152" t="s">
        <v>429</v>
      </c>
      <c r="C76" s="61" t="s">
        <v>430</v>
      </c>
      <c r="D76" s="61" t="s">
        <v>431</v>
      </c>
      <c r="E76" s="56"/>
      <c r="F76" s="80" t="s">
        <v>432</v>
      </c>
      <c r="G76" s="56" t="s">
        <v>430</v>
      </c>
      <c r="H76" s="385" t="s">
        <v>514</v>
      </c>
      <c r="I76" s="47">
        <v>83246707</v>
      </c>
      <c r="J76" s="4" t="s">
        <v>16</v>
      </c>
      <c r="K76" s="288">
        <v>0.6</v>
      </c>
      <c r="L76" s="46"/>
      <c r="M76" s="82">
        <f>298-130</f>
        <v>168</v>
      </c>
      <c r="N76" s="82">
        <f>1100-398</f>
        <v>702</v>
      </c>
      <c r="O76" s="204">
        <f t="shared" si="0"/>
        <v>870</v>
      </c>
    </row>
    <row r="77" spans="1:15" ht="18">
      <c r="A77" s="278" t="s">
        <v>11</v>
      </c>
      <c r="B77" s="152" t="s">
        <v>429</v>
      </c>
      <c r="C77" s="61" t="s">
        <v>430</v>
      </c>
      <c r="D77" s="61" t="s">
        <v>1776</v>
      </c>
      <c r="E77" s="56"/>
      <c r="F77" s="80" t="s">
        <v>432</v>
      </c>
      <c r="G77" s="56" t="s">
        <v>430</v>
      </c>
      <c r="H77" s="385" t="s">
        <v>515</v>
      </c>
      <c r="I77" s="47">
        <v>83246703</v>
      </c>
      <c r="J77" s="4" t="s">
        <v>16</v>
      </c>
      <c r="K77" s="288">
        <v>2.5</v>
      </c>
      <c r="L77" s="46"/>
      <c r="M77" s="82">
        <f>848-288</f>
        <v>560</v>
      </c>
      <c r="N77" s="82">
        <f>2901-911</f>
        <v>1990</v>
      </c>
      <c r="O77" s="204">
        <f t="shared" si="0"/>
        <v>2550</v>
      </c>
    </row>
    <row r="78" spans="1:15" ht="18">
      <c r="A78" s="278" t="s">
        <v>11</v>
      </c>
      <c r="B78" s="152" t="s">
        <v>429</v>
      </c>
      <c r="C78" s="61" t="s">
        <v>476</v>
      </c>
      <c r="D78" s="61" t="s">
        <v>217</v>
      </c>
      <c r="E78" s="56"/>
      <c r="F78" s="80" t="s">
        <v>432</v>
      </c>
      <c r="G78" s="56" t="s">
        <v>430</v>
      </c>
      <c r="H78" s="385" t="s">
        <v>516</v>
      </c>
      <c r="I78" s="47">
        <v>83246633</v>
      </c>
      <c r="J78" s="4" t="s">
        <v>16</v>
      </c>
      <c r="K78" s="288">
        <v>0.2</v>
      </c>
      <c r="L78" s="46"/>
      <c r="M78" s="82">
        <f>250-125</f>
        <v>125</v>
      </c>
      <c r="N78" s="82">
        <f>859-378</f>
        <v>481</v>
      </c>
      <c r="O78" s="204">
        <f t="shared" si="0"/>
        <v>606</v>
      </c>
    </row>
    <row r="79" spans="1:15" ht="18">
      <c r="A79" s="278" t="s">
        <v>11</v>
      </c>
      <c r="B79" s="152" t="s">
        <v>429</v>
      </c>
      <c r="C79" s="61" t="s">
        <v>476</v>
      </c>
      <c r="D79" s="61" t="s">
        <v>517</v>
      </c>
      <c r="E79" s="56"/>
      <c r="F79" s="80" t="s">
        <v>432</v>
      </c>
      <c r="G79" s="56" t="s">
        <v>430</v>
      </c>
      <c r="H79" s="385" t="s">
        <v>518</v>
      </c>
      <c r="I79" s="47">
        <v>83246697</v>
      </c>
      <c r="J79" s="4" t="s">
        <v>16</v>
      </c>
      <c r="K79" s="288">
        <v>0.5</v>
      </c>
      <c r="L79" s="46"/>
      <c r="M79" s="82">
        <f>551-265</f>
        <v>286</v>
      </c>
      <c r="N79" s="82">
        <f>2094-890</f>
        <v>1204</v>
      </c>
      <c r="O79" s="204">
        <f t="shared" si="0"/>
        <v>1490</v>
      </c>
    </row>
    <row r="80" spans="1:15" ht="18">
      <c r="A80" s="278" t="s">
        <v>11</v>
      </c>
      <c r="B80" s="152" t="s">
        <v>429</v>
      </c>
      <c r="C80" s="61" t="s">
        <v>430</v>
      </c>
      <c r="D80" s="61" t="s">
        <v>504</v>
      </c>
      <c r="E80" s="56"/>
      <c r="F80" s="80" t="s">
        <v>432</v>
      </c>
      <c r="G80" s="56" t="s">
        <v>430</v>
      </c>
      <c r="H80" s="385" t="s">
        <v>519</v>
      </c>
      <c r="I80" s="47">
        <v>83246553</v>
      </c>
      <c r="J80" s="4" t="s">
        <v>16</v>
      </c>
      <c r="K80" s="288">
        <v>1.3</v>
      </c>
      <c r="L80" s="46"/>
      <c r="M80" s="82">
        <f>2297-1020</f>
        <v>1277</v>
      </c>
      <c r="N80" s="82">
        <f>7965-3081</f>
        <v>4884</v>
      </c>
      <c r="O80" s="204">
        <f>M80+N80</f>
        <v>6161</v>
      </c>
    </row>
    <row r="81" spans="1:15" ht="18">
      <c r="A81" s="278" t="s">
        <v>11</v>
      </c>
      <c r="B81" s="152" t="s">
        <v>429</v>
      </c>
      <c r="C81" s="61" t="s">
        <v>476</v>
      </c>
      <c r="D81" s="61" t="s">
        <v>520</v>
      </c>
      <c r="E81" s="56"/>
      <c r="F81" s="80" t="s">
        <v>432</v>
      </c>
      <c r="G81" s="56" t="s">
        <v>430</v>
      </c>
      <c r="H81" s="385" t="s">
        <v>521</v>
      </c>
      <c r="I81" s="47">
        <v>83246724</v>
      </c>
      <c r="J81" s="4" t="s">
        <v>16</v>
      </c>
      <c r="K81" s="288">
        <v>0.4</v>
      </c>
      <c r="L81" s="46"/>
      <c r="M81" s="82">
        <f>528-246</f>
        <v>282</v>
      </c>
      <c r="N81" s="82">
        <f>1869-742</f>
        <v>1127</v>
      </c>
      <c r="O81" s="204">
        <f>M81+N81</f>
        <v>1409</v>
      </c>
    </row>
    <row r="82" spans="1:15" ht="18">
      <c r="A82" s="278" t="s">
        <v>11</v>
      </c>
      <c r="B82" s="152" t="s">
        <v>429</v>
      </c>
      <c r="C82" s="61" t="s">
        <v>430</v>
      </c>
      <c r="D82" s="61" t="s">
        <v>209</v>
      </c>
      <c r="E82" s="56" t="s">
        <v>1709</v>
      </c>
      <c r="F82" s="80" t="s">
        <v>432</v>
      </c>
      <c r="G82" s="56" t="s">
        <v>430</v>
      </c>
      <c r="H82" s="385" t="s">
        <v>522</v>
      </c>
      <c r="I82" s="47">
        <v>70959456</v>
      </c>
      <c r="J82" s="74" t="s">
        <v>16</v>
      </c>
      <c r="K82" s="288">
        <v>16</v>
      </c>
      <c r="L82" s="46"/>
      <c r="M82" s="82">
        <f>23095-18431</f>
        <v>4664</v>
      </c>
      <c r="N82" s="82">
        <f>101993-78503</f>
        <v>23490</v>
      </c>
      <c r="O82" s="204">
        <f>M82+N82</f>
        <v>28154</v>
      </c>
    </row>
    <row r="83" spans="1:15" ht="18">
      <c r="A83" s="278" t="s">
        <v>11</v>
      </c>
      <c r="B83" s="152" t="s">
        <v>429</v>
      </c>
      <c r="C83" s="61" t="s">
        <v>430</v>
      </c>
      <c r="D83" s="61" t="s">
        <v>209</v>
      </c>
      <c r="E83" s="56" t="s">
        <v>1710</v>
      </c>
      <c r="F83" s="80" t="s">
        <v>432</v>
      </c>
      <c r="G83" s="56" t="s">
        <v>430</v>
      </c>
      <c r="H83" s="385" t="s">
        <v>523</v>
      </c>
      <c r="I83" s="47">
        <v>70925611</v>
      </c>
      <c r="J83" s="74" t="s">
        <v>16</v>
      </c>
      <c r="K83" s="288">
        <v>20</v>
      </c>
      <c r="L83" s="46"/>
      <c r="M83" s="82">
        <f>58738-47720</f>
        <v>11018</v>
      </c>
      <c r="N83" s="82">
        <f>254301-200037</f>
        <v>54264</v>
      </c>
      <c r="O83" s="204">
        <f>M83+N83</f>
        <v>65282</v>
      </c>
    </row>
    <row r="84" spans="1:15" ht="18">
      <c r="A84" s="278" t="s">
        <v>11</v>
      </c>
      <c r="B84" s="152" t="s">
        <v>429</v>
      </c>
      <c r="C84" s="61" t="s">
        <v>476</v>
      </c>
      <c r="D84" s="61" t="s">
        <v>43</v>
      </c>
      <c r="E84" s="56"/>
      <c r="F84" s="80" t="s">
        <v>432</v>
      </c>
      <c r="G84" s="56" t="s">
        <v>430</v>
      </c>
      <c r="H84" s="385" t="s">
        <v>524</v>
      </c>
      <c r="I84" s="47">
        <v>83294388</v>
      </c>
      <c r="J84" s="271" t="s">
        <v>377</v>
      </c>
      <c r="K84" s="288">
        <v>1</v>
      </c>
      <c r="L84" s="46"/>
      <c r="M84" s="82">
        <f>1149-905</f>
        <v>244</v>
      </c>
      <c r="N84" s="82">
        <f>1821-1362</f>
        <v>459</v>
      </c>
      <c r="O84" s="204">
        <f>M84+N84</f>
        <v>703</v>
      </c>
    </row>
    <row r="85" spans="1:15" ht="18">
      <c r="A85" s="278" t="s">
        <v>11</v>
      </c>
      <c r="B85" s="152" t="s">
        <v>429</v>
      </c>
      <c r="C85" s="61" t="s">
        <v>430</v>
      </c>
      <c r="D85" s="61" t="s">
        <v>525</v>
      </c>
      <c r="E85" s="56"/>
      <c r="F85" s="80" t="s">
        <v>432</v>
      </c>
      <c r="G85" s="56" t="s">
        <v>430</v>
      </c>
      <c r="H85" s="385" t="s">
        <v>526</v>
      </c>
      <c r="I85" s="47">
        <v>31338</v>
      </c>
      <c r="J85" s="159" t="s">
        <v>152</v>
      </c>
      <c r="K85" s="288">
        <v>0.3</v>
      </c>
      <c r="L85" s="82">
        <f>9829-7728</f>
        <v>2101</v>
      </c>
      <c r="M85" s="46"/>
      <c r="N85" s="46"/>
      <c r="O85" s="204">
        <f>L85</f>
        <v>2101</v>
      </c>
    </row>
    <row r="86" spans="1:15" ht="18">
      <c r="A86" s="278" t="s">
        <v>11</v>
      </c>
      <c r="B86" s="186" t="s">
        <v>12</v>
      </c>
      <c r="C86" s="199" t="s">
        <v>430</v>
      </c>
      <c r="D86" s="186" t="s">
        <v>1466</v>
      </c>
      <c r="E86" s="200"/>
      <c r="F86" s="188" t="s">
        <v>432</v>
      </c>
      <c r="G86" s="53" t="s">
        <v>430</v>
      </c>
      <c r="H86" s="385" t="s">
        <v>1697</v>
      </c>
      <c r="I86" s="243">
        <v>1402871</v>
      </c>
      <c r="J86" s="273" t="s">
        <v>377</v>
      </c>
      <c r="K86" s="289">
        <v>2</v>
      </c>
      <c r="L86" s="201"/>
      <c r="M86" s="202">
        <f>1134-757</f>
        <v>377</v>
      </c>
      <c r="N86" s="202">
        <f>2421-1586</f>
        <v>835</v>
      </c>
      <c r="O86" s="204">
        <f>M86+N86</f>
        <v>1212</v>
      </c>
    </row>
    <row r="87" spans="1:15" ht="18">
      <c r="A87" s="278" t="s">
        <v>11</v>
      </c>
      <c r="B87" s="186" t="s">
        <v>12</v>
      </c>
      <c r="C87" s="199" t="s">
        <v>448</v>
      </c>
      <c r="D87" s="186" t="s">
        <v>387</v>
      </c>
      <c r="E87" s="62"/>
      <c r="F87" s="80" t="s">
        <v>432</v>
      </c>
      <c r="G87" s="56" t="s">
        <v>430</v>
      </c>
      <c r="H87" s="385" t="s">
        <v>1706</v>
      </c>
      <c r="I87" s="73">
        <v>118484</v>
      </c>
      <c r="J87" s="4" t="s">
        <v>16</v>
      </c>
      <c r="K87" s="290">
        <v>0.3</v>
      </c>
      <c r="L87" s="203"/>
      <c r="M87" s="204">
        <f>642-424</f>
        <v>218</v>
      </c>
      <c r="N87" s="204">
        <f>2558-1653</f>
        <v>905</v>
      </c>
      <c r="O87" s="204">
        <f>M87+N87</f>
        <v>1123</v>
      </c>
    </row>
    <row r="88" spans="1:15" ht="18">
      <c r="A88" s="278" t="s">
        <v>11</v>
      </c>
      <c r="B88" s="186" t="s">
        <v>12</v>
      </c>
      <c r="C88" s="199" t="s">
        <v>470</v>
      </c>
      <c r="D88" s="186"/>
      <c r="E88" s="62"/>
      <c r="F88" s="80" t="s">
        <v>432</v>
      </c>
      <c r="G88" s="56" t="s">
        <v>430</v>
      </c>
      <c r="H88" s="385" t="s">
        <v>1705</v>
      </c>
      <c r="I88" s="73">
        <v>83246725</v>
      </c>
      <c r="J88" s="4" t="s">
        <v>16</v>
      </c>
      <c r="K88" s="290">
        <v>0.5</v>
      </c>
      <c r="L88" s="203"/>
      <c r="M88" s="204">
        <f>781-333</f>
        <v>448</v>
      </c>
      <c r="N88" s="204">
        <f>2739-1055</f>
        <v>1684</v>
      </c>
      <c r="O88" s="204">
        <f>M88+N88</f>
        <v>2132</v>
      </c>
    </row>
    <row r="89" spans="1:15" ht="18">
      <c r="A89" s="278" t="s">
        <v>11</v>
      </c>
      <c r="B89" s="186" t="s">
        <v>12</v>
      </c>
      <c r="C89" s="199" t="s">
        <v>454</v>
      </c>
      <c r="D89" s="186" t="s">
        <v>301</v>
      </c>
      <c r="E89" s="62"/>
      <c r="F89" s="80" t="s">
        <v>432</v>
      </c>
      <c r="G89" s="56" t="s">
        <v>430</v>
      </c>
      <c r="H89" s="385" t="s">
        <v>1701</v>
      </c>
      <c r="I89" s="73">
        <v>127306</v>
      </c>
      <c r="J89" s="210" t="s">
        <v>152</v>
      </c>
      <c r="K89" s="290">
        <v>1.2</v>
      </c>
      <c r="L89" s="204">
        <f>9285-6789</f>
        <v>2496</v>
      </c>
      <c r="M89" s="203"/>
      <c r="N89" s="203"/>
      <c r="O89" s="204">
        <f>L89</f>
        <v>2496</v>
      </c>
    </row>
    <row r="90" spans="1:15" ht="29.25">
      <c r="A90" s="278" t="s">
        <v>11</v>
      </c>
      <c r="B90" s="186" t="s">
        <v>12</v>
      </c>
      <c r="C90" s="199" t="s">
        <v>465</v>
      </c>
      <c r="D90" s="186" t="s">
        <v>1782</v>
      </c>
      <c r="E90" s="62"/>
      <c r="F90" s="80" t="s">
        <v>432</v>
      </c>
      <c r="G90" s="56" t="s">
        <v>430</v>
      </c>
      <c r="H90" s="385" t="s">
        <v>1704</v>
      </c>
      <c r="I90" s="73">
        <v>39004</v>
      </c>
      <c r="J90" s="210" t="s">
        <v>152</v>
      </c>
      <c r="K90" s="290">
        <v>2</v>
      </c>
      <c r="L90" s="204">
        <f>14523-12380</f>
        <v>2143</v>
      </c>
      <c r="M90" s="203"/>
      <c r="N90" s="203"/>
      <c r="O90" s="204">
        <f>L90</f>
        <v>2143</v>
      </c>
    </row>
    <row r="91" spans="1:15" ht="18">
      <c r="A91" s="278" t="s">
        <v>11</v>
      </c>
      <c r="B91" s="186" t="s">
        <v>12</v>
      </c>
      <c r="C91" s="199" t="s">
        <v>430</v>
      </c>
      <c r="D91" s="186" t="s">
        <v>365</v>
      </c>
      <c r="E91" s="62"/>
      <c r="F91" s="80" t="s">
        <v>432</v>
      </c>
      <c r="G91" s="56" t="s">
        <v>430</v>
      </c>
      <c r="H91" s="385" t="s">
        <v>1700</v>
      </c>
      <c r="I91" s="73">
        <v>127106</v>
      </c>
      <c r="J91" s="210" t="s">
        <v>152</v>
      </c>
      <c r="K91" s="290">
        <v>0.5</v>
      </c>
      <c r="L91" s="204">
        <f>6545-4505</f>
        <v>2040</v>
      </c>
      <c r="M91" s="203"/>
      <c r="N91" s="203"/>
      <c r="O91" s="204">
        <f>L91</f>
        <v>2040</v>
      </c>
    </row>
    <row r="92" spans="1:15" ht="29.25">
      <c r="A92" s="278" t="s">
        <v>11</v>
      </c>
      <c r="B92" s="186" t="s">
        <v>1092</v>
      </c>
      <c r="C92" s="199" t="s">
        <v>452</v>
      </c>
      <c r="D92" s="186" t="s">
        <v>94</v>
      </c>
      <c r="E92" s="62" t="s">
        <v>1094</v>
      </c>
      <c r="F92" s="80" t="s">
        <v>432</v>
      </c>
      <c r="G92" s="56" t="s">
        <v>430</v>
      </c>
      <c r="H92" s="385" t="s">
        <v>1698</v>
      </c>
      <c r="I92" s="73">
        <v>317344</v>
      </c>
      <c r="J92" s="274" t="s">
        <v>152</v>
      </c>
      <c r="K92" s="290">
        <v>11</v>
      </c>
      <c r="L92" s="204">
        <f>9148-5175</f>
        <v>3973</v>
      </c>
      <c r="M92" s="203"/>
      <c r="N92" s="203"/>
      <c r="O92" s="204">
        <f>L92</f>
        <v>3973</v>
      </c>
    </row>
    <row r="93" spans="1:15" ht="58.5" customHeight="1">
      <c r="A93" s="277" t="s">
        <v>11</v>
      </c>
      <c r="B93" s="187" t="s">
        <v>1322</v>
      </c>
      <c r="C93" s="283" t="s">
        <v>430</v>
      </c>
      <c r="D93" s="186" t="s">
        <v>365</v>
      </c>
      <c r="E93" s="210"/>
      <c r="F93" s="56" t="s">
        <v>432</v>
      </c>
      <c r="G93" s="56" t="s">
        <v>430</v>
      </c>
      <c r="H93" s="385" t="s">
        <v>1772</v>
      </c>
      <c r="I93" s="56">
        <v>1499912</v>
      </c>
      <c r="J93" s="4" t="s">
        <v>16</v>
      </c>
      <c r="K93" s="245">
        <v>1</v>
      </c>
      <c r="L93" s="46"/>
      <c r="M93" s="13">
        <f>2202-1298</f>
        <v>904</v>
      </c>
      <c r="N93" s="13">
        <f>8855-5178</f>
        <v>3677</v>
      </c>
      <c r="O93" s="13">
        <f>M93+N93</f>
        <v>4581</v>
      </c>
    </row>
    <row r="94" spans="1:15" ht="29.25">
      <c r="A94" s="277" t="s">
        <v>11</v>
      </c>
      <c r="B94" s="187" t="s">
        <v>1322</v>
      </c>
      <c r="C94" s="283" t="s">
        <v>430</v>
      </c>
      <c r="D94" s="186" t="s">
        <v>1773</v>
      </c>
      <c r="E94" s="210"/>
      <c r="F94" s="56" t="s">
        <v>432</v>
      </c>
      <c r="G94" s="56" t="s">
        <v>430</v>
      </c>
      <c r="H94" s="385" t="s">
        <v>1774</v>
      </c>
      <c r="I94" s="56">
        <v>1441472</v>
      </c>
      <c r="J94" s="158" t="s">
        <v>152</v>
      </c>
      <c r="K94" s="245">
        <v>3</v>
      </c>
      <c r="L94" s="204">
        <f>11579-4559</f>
        <v>7020</v>
      </c>
      <c r="M94" s="203"/>
      <c r="N94" s="203"/>
      <c r="O94" s="13">
        <f aca="true" t="shared" si="1" ref="O94:O99">L94</f>
        <v>7020</v>
      </c>
    </row>
    <row r="95" spans="1:15" ht="18">
      <c r="A95" s="277" t="s">
        <v>11</v>
      </c>
      <c r="B95" s="187" t="s">
        <v>1322</v>
      </c>
      <c r="C95" s="283" t="s">
        <v>430</v>
      </c>
      <c r="D95" s="186" t="s">
        <v>1716</v>
      </c>
      <c r="E95" s="210"/>
      <c r="F95" s="56" t="s">
        <v>432</v>
      </c>
      <c r="G95" s="56" t="s">
        <v>430</v>
      </c>
      <c r="H95" s="385" t="s">
        <v>1775</v>
      </c>
      <c r="I95" s="56">
        <v>1394960</v>
      </c>
      <c r="J95" s="158" t="s">
        <v>152</v>
      </c>
      <c r="K95" s="245">
        <v>4</v>
      </c>
      <c r="L95" s="204">
        <f>20266-8088</f>
        <v>12178</v>
      </c>
      <c r="M95" s="203"/>
      <c r="N95" s="203"/>
      <c r="O95" s="13">
        <f t="shared" si="1"/>
        <v>12178</v>
      </c>
    </row>
    <row r="96" spans="1:15" ht="18">
      <c r="A96" s="277" t="s">
        <v>11</v>
      </c>
      <c r="B96" s="187" t="s">
        <v>1322</v>
      </c>
      <c r="C96" s="283" t="s">
        <v>1707</v>
      </c>
      <c r="D96" s="186" t="s">
        <v>1776</v>
      </c>
      <c r="E96" s="210"/>
      <c r="F96" s="56" t="s">
        <v>432</v>
      </c>
      <c r="G96" s="56" t="s">
        <v>430</v>
      </c>
      <c r="H96" s="385" t="s">
        <v>1777</v>
      </c>
      <c r="I96" s="56">
        <v>1494762</v>
      </c>
      <c r="J96" s="158" t="s">
        <v>152</v>
      </c>
      <c r="K96" s="245">
        <v>3</v>
      </c>
      <c r="L96" s="204">
        <f>2418-988</f>
        <v>1430</v>
      </c>
      <c r="M96" s="203"/>
      <c r="N96" s="203"/>
      <c r="O96" s="13">
        <f t="shared" si="1"/>
        <v>1430</v>
      </c>
    </row>
    <row r="97" spans="1:15" ht="18">
      <c r="A97" s="277" t="s">
        <v>11</v>
      </c>
      <c r="B97" s="187" t="s">
        <v>1322</v>
      </c>
      <c r="C97" s="283" t="s">
        <v>434</v>
      </c>
      <c r="D97" s="186"/>
      <c r="E97" s="210"/>
      <c r="F97" s="56" t="s">
        <v>432</v>
      </c>
      <c r="G97" s="56" t="s">
        <v>430</v>
      </c>
      <c r="H97" s="387" t="s">
        <v>1778</v>
      </c>
      <c r="I97" s="56">
        <v>1482711</v>
      </c>
      <c r="J97" s="158" t="s">
        <v>152</v>
      </c>
      <c r="K97" s="245">
        <v>1.1</v>
      </c>
      <c r="L97" s="204">
        <f>6409-3114</f>
        <v>3295</v>
      </c>
      <c r="M97" s="203"/>
      <c r="N97" s="203"/>
      <c r="O97" s="13">
        <f t="shared" si="1"/>
        <v>3295</v>
      </c>
    </row>
    <row r="98" spans="1:15" ht="18">
      <c r="A98" s="277" t="s">
        <v>11</v>
      </c>
      <c r="B98" s="187" t="s">
        <v>1322</v>
      </c>
      <c r="C98" s="283" t="s">
        <v>454</v>
      </c>
      <c r="D98" s="186" t="s">
        <v>1779</v>
      </c>
      <c r="E98" s="210"/>
      <c r="F98" s="56" t="s">
        <v>432</v>
      </c>
      <c r="G98" s="56" t="s">
        <v>430</v>
      </c>
      <c r="H98" s="385" t="s">
        <v>1780</v>
      </c>
      <c r="I98" s="56">
        <v>1440753</v>
      </c>
      <c r="J98" s="158" t="s">
        <v>152</v>
      </c>
      <c r="K98" s="245">
        <v>3</v>
      </c>
      <c r="L98" s="204">
        <f>6487-2530</f>
        <v>3957</v>
      </c>
      <c r="M98" s="203"/>
      <c r="N98" s="203"/>
      <c r="O98" s="13">
        <f t="shared" si="1"/>
        <v>3957</v>
      </c>
    </row>
    <row r="99" spans="1:15" ht="32.25" customHeight="1" thickBot="1">
      <c r="A99" s="277" t="s">
        <v>11</v>
      </c>
      <c r="B99" s="187" t="s">
        <v>1322</v>
      </c>
      <c r="C99" s="187" t="s">
        <v>1702</v>
      </c>
      <c r="D99" s="187" t="s">
        <v>1848</v>
      </c>
      <c r="E99" s="211"/>
      <c r="F99" s="53" t="s">
        <v>164</v>
      </c>
      <c r="G99" s="140" t="s">
        <v>163</v>
      </c>
      <c r="H99" s="385" t="s">
        <v>1781</v>
      </c>
      <c r="I99" s="53">
        <v>1503130</v>
      </c>
      <c r="J99" s="193" t="s">
        <v>152</v>
      </c>
      <c r="K99" s="270">
        <v>2</v>
      </c>
      <c r="L99" s="54">
        <f>3591-2051</f>
        <v>1540</v>
      </c>
      <c r="M99" s="55"/>
      <c r="N99" s="55"/>
      <c r="O99" s="54">
        <f t="shared" si="1"/>
        <v>1540</v>
      </c>
    </row>
    <row r="100" spans="2:15" ht="15">
      <c r="B100" s="585" t="s">
        <v>155</v>
      </c>
      <c r="C100" s="298" t="s">
        <v>527</v>
      </c>
      <c r="D100" s="581"/>
      <c r="H100" s="586" t="s">
        <v>1998</v>
      </c>
      <c r="I100" s="35" t="s">
        <v>527</v>
      </c>
      <c r="L100" s="2"/>
      <c r="M100" s="2"/>
      <c r="N100" s="13" t="s">
        <v>156</v>
      </c>
      <c r="O100" s="284">
        <f>SUM(O18:O99)</f>
        <v>531307</v>
      </c>
    </row>
    <row r="101" spans="2:15" ht="15">
      <c r="B101" s="587"/>
      <c r="C101" s="77" t="s">
        <v>528</v>
      </c>
      <c r="D101" s="582"/>
      <c r="H101" s="304"/>
      <c r="I101" s="39" t="s">
        <v>528</v>
      </c>
      <c r="L101" s="2"/>
      <c r="M101" s="2"/>
      <c r="N101" s="2"/>
      <c r="O101" s="2"/>
    </row>
    <row r="102" spans="2:15" ht="15.75" thickBot="1">
      <c r="B102" s="587"/>
      <c r="C102" s="77" t="s">
        <v>529</v>
      </c>
      <c r="D102" s="582"/>
      <c r="H102" s="320"/>
      <c r="I102" s="42" t="s">
        <v>529</v>
      </c>
      <c r="L102" s="2"/>
      <c r="M102" s="2"/>
      <c r="N102" s="2"/>
      <c r="O102" s="2"/>
    </row>
    <row r="103" spans="2:4" ht="15">
      <c r="B103" s="587" t="s">
        <v>1689</v>
      </c>
      <c r="C103" s="588">
        <v>8222146636</v>
      </c>
      <c r="D103" s="582"/>
    </row>
    <row r="104" spans="2:4" ht="15.75" thickBot="1">
      <c r="B104" s="589" t="s">
        <v>1693</v>
      </c>
      <c r="C104" s="78" t="s">
        <v>1711</v>
      </c>
      <c r="D104" s="583"/>
    </row>
    <row r="105" spans="2:13" ht="15.75" thickBot="1">
      <c r="B105" s="281"/>
      <c r="C105" s="69"/>
      <c r="D105" s="69"/>
      <c r="E105" s="85"/>
      <c r="J105" s="478"/>
      <c r="L105" s="59"/>
      <c r="M105" s="2"/>
    </row>
    <row r="106" spans="1:21" ht="48" customHeight="1">
      <c r="A106" s="718" t="s">
        <v>0</v>
      </c>
      <c r="B106" s="686" t="s">
        <v>1</v>
      </c>
      <c r="C106" s="686" t="s">
        <v>2</v>
      </c>
      <c r="D106" s="686" t="s">
        <v>3</v>
      </c>
      <c r="E106" s="686" t="s">
        <v>4</v>
      </c>
      <c r="F106" s="686" t="s">
        <v>5</v>
      </c>
      <c r="G106" s="686" t="s">
        <v>6</v>
      </c>
      <c r="H106" s="686" t="s">
        <v>8</v>
      </c>
      <c r="I106" s="686" t="s">
        <v>753</v>
      </c>
      <c r="J106" s="686" t="s">
        <v>157</v>
      </c>
      <c r="K106" s="721" t="s">
        <v>9</v>
      </c>
      <c r="L106" s="724" t="s">
        <v>1043</v>
      </c>
      <c r="M106" s="724"/>
      <c r="N106" s="724"/>
      <c r="O106" s="724"/>
      <c r="P106" s="724" t="s">
        <v>1044</v>
      </c>
      <c r="Q106" s="724"/>
      <c r="R106" s="724"/>
      <c r="S106" s="724"/>
      <c r="T106" s="695" t="s">
        <v>1849</v>
      </c>
      <c r="U106" s="733" t="s">
        <v>1321</v>
      </c>
    </row>
    <row r="107" spans="1:21" ht="48" customHeight="1">
      <c r="A107" s="719"/>
      <c r="B107" s="687"/>
      <c r="C107" s="687"/>
      <c r="D107" s="687"/>
      <c r="E107" s="687"/>
      <c r="F107" s="687"/>
      <c r="G107" s="687"/>
      <c r="H107" s="687"/>
      <c r="I107" s="687"/>
      <c r="J107" s="687"/>
      <c r="K107" s="722"/>
      <c r="L107" s="690" t="s">
        <v>1041</v>
      </c>
      <c r="M107" s="690" t="s">
        <v>1035</v>
      </c>
      <c r="N107" s="690" t="s">
        <v>1036</v>
      </c>
      <c r="O107" s="690" t="s">
        <v>1046</v>
      </c>
      <c r="P107" s="690" t="s">
        <v>1041</v>
      </c>
      <c r="Q107" s="690" t="s">
        <v>1035</v>
      </c>
      <c r="R107" s="690" t="s">
        <v>1036</v>
      </c>
      <c r="S107" s="690" t="s">
        <v>1046</v>
      </c>
      <c r="T107" s="696"/>
      <c r="U107" s="734"/>
    </row>
    <row r="108" spans="1:21" ht="14.25">
      <c r="A108" s="719"/>
      <c r="B108" s="687"/>
      <c r="C108" s="687"/>
      <c r="D108" s="687"/>
      <c r="E108" s="687"/>
      <c r="F108" s="687"/>
      <c r="G108" s="687"/>
      <c r="H108" s="687"/>
      <c r="I108" s="687"/>
      <c r="J108" s="687"/>
      <c r="K108" s="722"/>
      <c r="L108" s="690"/>
      <c r="M108" s="690"/>
      <c r="N108" s="690"/>
      <c r="O108" s="690"/>
      <c r="P108" s="690"/>
      <c r="Q108" s="690"/>
      <c r="R108" s="690"/>
      <c r="S108" s="690"/>
      <c r="T108" s="732"/>
      <c r="U108" s="735"/>
    </row>
    <row r="109" spans="1:21" ht="46.5" customHeight="1">
      <c r="A109" s="278" t="s">
        <v>754</v>
      </c>
      <c r="B109" s="479" t="s">
        <v>12</v>
      </c>
      <c r="C109" s="479" t="s">
        <v>448</v>
      </c>
      <c r="D109" s="479" t="s">
        <v>1850</v>
      </c>
      <c r="E109" s="479"/>
      <c r="F109" s="480" t="s">
        <v>432</v>
      </c>
      <c r="G109" s="480" t="s">
        <v>430</v>
      </c>
      <c r="H109" s="385">
        <v>53353164</v>
      </c>
      <c r="I109" s="56">
        <v>1404292</v>
      </c>
      <c r="J109" s="158" t="s">
        <v>152</v>
      </c>
      <c r="K109" s="401">
        <v>2</v>
      </c>
      <c r="L109" s="103">
        <v>4000</v>
      </c>
      <c r="M109" s="46"/>
      <c r="N109" s="46"/>
      <c r="O109" s="13">
        <f>L109</f>
        <v>4000</v>
      </c>
      <c r="P109" s="103">
        <v>4000</v>
      </c>
      <c r="Q109" s="46"/>
      <c r="R109" s="46"/>
      <c r="S109" s="13">
        <f>P109</f>
        <v>4000</v>
      </c>
      <c r="T109" s="140" t="s">
        <v>1962</v>
      </c>
      <c r="U109" s="53" t="s">
        <v>1961</v>
      </c>
    </row>
    <row r="110" spans="1:21" ht="44.25" customHeight="1">
      <c r="A110" s="278" t="s">
        <v>754</v>
      </c>
      <c r="B110" s="479" t="s">
        <v>12</v>
      </c>
      <c r="C110" s="479" t="s">
        <v>430</v>
      </c>
      <c r="D110" s="479" t="s">
        <v>365</v>
      </c>
      <c r="E110" s="479"/>
      <c r="F110" s="480" t="s">
        <v>432</v>
      </c>
      <c r="G110" s="480" t="s">
        <v>430</v>
      </c>
      <c r="H110" s="385">
        <v>53356254</v>
      </c>
      <c r="I110" s="56">
        <v>1394961</v>
      </c>
      <c r="J110" s="4" t="s">
        <v>16</v>
      </c>
      <c r="K110" s="401">
        <v>3</v>
      </c>
      <c r="L110" s="46"/>
      <c r="M110" s="103">
        <v>3000</v>
      </c>
      <c r="N110" s="103">
        <v>4000</v>
      </c>
      <c r="O110" s="13">
        <f>M110+N110</f>
        <v>7000</v>
      </c>
      <c r="P110" s="46"/>
      <c r="Q110" s="103">
        <v>3000</v>
      </c>
      <c r="R110" s="103">
        <v>4000</v>
      </c>
      <c r="S110" s="13">
        <f>Q110+R110</f>
        <v>7000</v>
      </c>
      <c r="T110" s="140" t="s">
        <v>1962</v>
      </c>
      <c r="U110" s="53" t="s">
        <v>1961</v>
      </c>
    </row>
    <row r="111" spans="1:21" ht="47.25" customHeight="1">
      <c r="A111" s="278" t="s">
        <v>754</v>
      </c>
      <c r="B111" s="479" t="s">
        <v>12</v>
      </c>
      <c r="C111" s="479" t="s">
        <v>452</v>
      </c>
      <c r="D111" s="479" t="s">
        <v>363</v>
      </c>
      <c r="E111" s="479"/>
      <c r="F111" s="480" t="s">
        <v>432</v>
      </c>
      <c r="G111" s="480" t="s">
        <v>430</v>
      </c>
      <c r="H111" s="385">
        <v>53379182</v>
      </c>
      <c r="I111" s="56">
        <v>1433516</v>
      </c>
      <c r="J111" s="158" t="s">
        <v>152</v>
      </c>
      <c r="K111" s="401">
        <v>2</v>
      </c>
      <c r="L111" s="103">
        <v>2700</v>
      </c>
      <c r="M111" s="46"/>
      <c r="N111" s="46"/>
      <c r="O111" s="13">
        <f>L111</f>
        <v>2700</v>
      </c>
      <c r="P111" s="103">
        <v>2700</v>
      </c>
      <c r="Q111" s="46"/>
      <c r="R111" s="46"/>
      <c r="S111" s="13">
        <f>P111</f>
        <v>2700</v>
      </c>
      <c r="T111" s="140" t="s">
        <v>1962</v>
      </c>
      <c r="U111" s="53" t="s">
        <v>1961</v>
      </c>
    </row>
    <row r="112" spans="1:21" ht="50.25" customHeight="1">
      <c r="A112" s="278" t="s">
        <v>754</v>
      </c>
      <c r="B112" s="479" t="s">
        <v>12</v>
      </c>
      <c r="C112" s="479" t="s">
        <v>430</v>
      </c>
      <c r="D112" s="479" t="s">
        <v>1851</v>
      </c>
      <c r="E112" s="479"/>
      <c r="F112" s="480" t="s">
        <v>432</v>
      </c>
      <c r="G112" s="480" t="s">
        <v>430</v>
      </c>
      <c r="H112" s="385">
        <v>53334013</v>
      </c>
      <c r="I112" s="56">
        <v>1400184</v>
      </c>
      <c r="J112" s="158" t="s">
        <v>152</v>
      </c>
      <c r="K112" s="401">
        <v>3</v>
      </c>
      <c r="L112" s="103">
        <v>4000</v>
      </c>
      <c r="M112" s="46"/>
      <c r="N112" s="46"/>
      <c r="O112" s="13">
        <f>L112</f>
        <v>4000</v>
      </c>
      <c r="P112" s="103">
        <v>4000</v>
      </c>
      <c r="Q112" s="46"/>
      <c r="R112" s="46"/>
      <c r="S112" s="13">
        <f>P112</f>
        <v>4000</v>
      </c>
      <c r="T112" s="140" t="s">
        <v>1962</v>
      </c>
      <c r="U112" s="53" t="s">
        <v>1961</v>
      </c>
    </row>
    <row r="113" spans="1:21" ht="80.25" customHeight="1" thickBot="1">
      <c r="A113" s="278" t="s">
        <v>754</v>
      </c>
      <c r="B113" s="479" t="s">
        <v>12</v>
      </c>
      <c r="C113" s="479" t="s">
        <v>495</v>
      </c>
      <c r="D113" s="479" t="s">
        <v>58</v>
      </c>
      <c r="E113" s="479" t="s">
        <v>1852</v>
      </c>
      <c r="F113" s="480" t="s">
        <v>432</v>
      </c>
      <c r="G113" s="480" t="s">
        <v>430</v>
      </c>
      <c r="H113" s="385">
        <v>53334014</v>
      </c>
      <c r="I113" s="56">
        <v>83425896</v>
      </c>
      <c r="J113" s="158" t="s">
        <v>152</v>
      </c>
      <c r="K113" s="401">
        <v>1</v>
      </c>
      <c r="L113" s="103">
        <v>1200</v>
      </c>
      <c r="M113" s="46"/>
      <c r="N113" s="46"/>
      <c r="O113" s="13">
        <f>L113</f>
        <v>1200</v>
      </c>
      <c r="P113" s="103">
        <v>1200</v>
      </c>
      <c r="Q113" s="46"/>
      <c r="R113" s="46"/>
      <c r="S113" s="13">
        <f>P113</f>
        <v>1200</v>
      </c>
      <c r="T113" s="140" t="s">
        <v>1962</v>
      </c>
      <c r="U113" s="53" t="s">
        <v>1961</v>
      </c>
    </row>
    <row r="114" spans="2:19" ht="15">
      <c r="B114" s="292" t="s">
        <v>155</v>
      </c>
      <c r="C114" s="66" t="s">
        <v>527</v>
      </c>
      <c r="D114" s="35"/>
      <c r="E114" s="85"/>
      <c r="H114" s="586" t="s">
        <v>1998</v>
      </c>
      <c r="I114" s="35" t="s">
        <v>527</v>
      </c>
      <c r="J114" s="478"/>
      <c r="L114" s="59"/>
      <c r="M114" s="2"/>
      <c r="R114" s="13" t="s">
        <v>156</v>
      </c>
      <c r="S114" s="284">
        <f>SUM(S109:S113)</f>
        <v>18900</v>
      </c>
    </row>
    <row r="115" spans="2:13" ht="15">
      <c r="B115" s="37"/>
      <c r="C115" s="69" t="s">
        <v>528</v>
      </c>
      <c r="D115" s="39"/>
      <c r="E115" s="85"/>
      <c r="H115" s="304"/>
      <c r="I115" s="39" t="s">
        <v>528</v>
      </c>
      <c r="J115" s="478"/>
      <c r="L115" s="59"/>
      <c r="M115" s="2"/>
    </row>
    <row r="116" spans="2:13" ht="15.75" thickBot="1">
      <c r="B116" s="37"/>
      <c r="C116" s="69" t="s">
        <v>529</v>
      </c>
      <c r="D116" s="39"/>
      <c r="E116" s="85"/>
      <c r="H116" s="320"/>
      <c r="I116" s="42" t="s">
        <v>529</v>
      </c>
      <c r="J116" s="478"/>
      <c r="L116" s="59"/>
      <c r="M116" s="2"/>
    </row>
    <row r="117" spans="2:13" ht="15.75" thickBot="1">
      <c r="B117" s="40"/>
      <c r="C117" s="72" t="s">
        <v>530</v>
      </c>
      <c r="D117" s="42"/>
      <c r="E117" s="85"/>
      <c r="J117" s="478"/>
      <c r="L117" s="59"/>
      <c r="M117" s="2"/>
    </row>
    <row r="118" spans="2:13" ht="15">
      <c r="B118" s="281"/>
      <c r="C118" s="69"/>
      <c r="D118" s="69"/>
      <c r="E118" s="85"/>
      <c r="J118" s="478"/>
      <c r="L118" s="59"/>
      <c r="M118" s="2"/>
    </row>
    <row r="119" spans="2:13" ht="15">
      <c r="B119" s="281"/>
      <c r="C119" s="69"/>
      <c r="D119" s="69"/>
      <c r="E119" s="85"/>
      <c r="J119" s="478"/>
      <c r="L119" s="59" t="s">
        <v>160</v>
      </c>
      <c r="M119" s="2">
        <f>O100+S114</f>
        <v>550207</v>
      </c>
    </row>
    <row r="120" spans="2:5" ht="15.75" thickBot="1">
      <c r="B120" s="198"/>
      <c r="C120" s="68"/>
      <c r="D120" s="198"/>
      <c r="E120" s="85"/>
    </row>
    <row r="121" spans="6:18" ht="44.25" customHeight="1">
      <c r="F121" s="31"/>
      <c r="G121" s="171"/>
      <c r="H121" s="171"/>
      <c r="J121" s="238"/>
      <c r="K121" s="705" t="s">
        <v>157</v>
      </c>
      <c r="L121" s="702" t="s">
        <v>1034</v>
      </c>
      <c r="M121" s="703"/>
      <c r="N121" s="704"/>
      <c r="O121" s="713" t="s">
        <v>158</v>
      </c>
      <c r="P121" s="2"/>
      <c r="Q121" s="2"/>
      <c r="R121" s="2"/>
    </row>
    <row r="122" spans="6:18" ht="21.75" customHeight="1" thickBot="1">
      <c r="F122" s="31"/>
      <c r="G122" s="235"/>
      <c r="H122" s="235"/>
      <c r="J122" s="236"/>
      <c r="K122" s="706"/>
      <c r="L122" s="130" t="s">
        <v>159</v>
      </c>
      <c r="M122" s="130" t="s">
        <v>1035</v>
      </c>
      <c r="N122" s="130" t="s">
        <v>1036</v>
      </c>
      <c r="O122" s="714"/>
      <c r="P122" s="2"/>
      <c r="Q122" s="2"/>
      <c r="R122" s="2"/>
    </row>
    <row r="123" spans="6:15" ht="14.25">
      <c r="F123" s="31"/>
      <c r="G123" s="31"/>
      <c r="H123" s="31"/>
      <c r="J123" s="156"/>
      <c r="K123" s="161" t="s">
        <v>152</v>
      </c>
      <c r="L123" s="162">
        <f>L72+L73+L85+L89+L90+L91+L92+L94+L95+L96+L97+L98+L99+S109+S111+S112+S113</f>
        <v>63386</v>
      </c>
      <c r="M123" s="167"/>
      <c r="N123" s="167"/>
      <c r="O123" s="162">
        <v>17</v>
      </c>
    </row>
    <row r="124" spans="6:15" ht="22.5" customHeight="1">
      <c r="F124" s="31"/>
      <c r="G124" s="149"/>
      <c r="H124" s="149"/>
      <c r="J124" s="156"/>
      <c r="K124" s="350" t="s">
        <v>16</v>
      </c>
      <c r="L124" s="351"/>
      <c r="M124" s="13">
        <f>SUM(M18:M71,M74:M83,M87:M88,M93,Q110)</f>
        <v>93372</v>
      </c>
      <c r="N124" s="13">
        <f>SUM(N18:N71,N74:N83,N87:N88,N93,R110)</f>
        <v>391534</v>
      </c>
      <c r="O124" s="13">
        <v>68</v>
      </c>
    </row>
    <row r="125" spans="6:15" ht="22.5" customHeight="1" thickBot="1">
      <c r="F125" s="31"/>
      <c r="G125" s="149"/>
      <c r="H125" s="149"/>
      <c r="I125" s="352"/>
      <c r="J125" s="156"/>
      <c r="K125" s="350" t="s">
        <v>377</v>
      </c>
      <c r="L125" s="133"/>
      <c r="M125" s="14">
        <f>M84+M86</f>
        <v>621</v>
      </c>
      <c r="N125" s="14">
        <f>N84+N86</f>
        <v>1294</v>
      </c>
      <c r="O125" s="14">
        <v>2</v>
      </c>
    </row>
    <row r="126" spans="6:15" ht="15" thickBot="1">
      <c r="F126" s="31"/>
      <c r="G126" s="31"/>
      <c r="H126" s="31"/>
      <c r="J126" s="156"/>
      <c r="K126" s="134" t="s">
        <v>160</v>
      </c>
      <c r="L126" s="135">
        <f>SUM(L123:L125)</f>
        <v>63386</v>
      </c>
      <c r="M126" s="18">
        <f>SUM(M123:M125)</f>
        <v>93993</v>
      </c>
      <c r="N126" s="15">
        <f>SUM(N123:N125)</f>
        <v>392828</v>
      </c>
      <c r="O126" s="328">
        <f>SUM(O123:O125)</f>
        <v>87</v>
      </c>
    </row>
    <row r="127" spans="6:15" ht="18.75" thickBot="1">
      <c r="F127" s="31"/>
      <c r="G127" s="31"/>
      <c r="H127" s="31"/>
      <c r="I127" s="31"/>
      <c r="J127" s="88"/>
      <c r="L127" s="20" t="s">
        <v>161</v>
      </c>
      <c r="M127" s="327">
        <f>SUM(L126:N126)</f>
        <v>550207</v>
      </c>
      <c r="N127" s="2"/>
      <c r="O127" s="2"/>
    </row>
  </sheetData>
  <sheetProtection/>
  <mergeCells count="42">
    <mergeCell ref="S107:S108"/>
    <mergeCell ref="P106:S106"/>
    <mergeCell ref="T106:T108"/>
    <mergeCell ref="U106:U108"/>
    <mergeCell ref="L107:L108"/>
    <mergeCell ref="M107:M108"/>
    <mergeCell ref="N107:N108"/>
    <mergeCell ref="O107:O108"/>
    <mergeCell ref="P107:P108"/>
    <mergeCell ref="Q107:Q108"/>
    <mergeCell ref="R107:R108"/>
    <mergeCell ref="G106:G108"/>
    <mergeCell ref="H106:H108"/>
    <mergeCell ref="I106:I108"/>
    <mergeCell ref="J106:J108"/>
    <mergeCell ref="K106:K108"/>
    <mergeCell ref="L106:O106"/>
    <mergeCell ref="A106:A108"/>
    <mergeCell ref="B106:B108"/>
    <mergeCell ref="C106:C108"/>
    <mergeCell ref="D106:D108"/>
    <mergeCell ref="E106:E108"/>
    <mergeCell ref="F106:F108"/>
    <mergeCell ref="B1:K1"/>
    <mergeCell ref="K121:K122"/>
    <mergeCell ref="L121:N121"/>
    <mergeCell ref="O121:O122"/>
    <mergeCell ref="A15:A17"/>
    <mergeCell ref="B15:B17"/>
    <mergeCell ref="C15:C17"/>
    <mergeCell ref="D15:D17"/>
    <mergeCell ref="J15:J17"/>
    <mergeCell ref="H15:H17"/>
    <mergeCell ref="L15:O15"/>
    <mergeCell ref="L16:O16"/>
    <mergeCell ref="B3:I3"/>
    <mergeCell ref="B5:I5"/>
    <mergeCell ref="E15:E17"/>
    <mergeCell ref="F15:F17"/>
    <mergeCell ref="G15:G17"/>
    <mergeCell ref="I15:I17"/>
    <mergeCell ref="K15:K17"/>
  </mergeCells>
  <printOptions/>
  <pageMargins left="0.7" right="0.7" top="0.75" bottom="0.75" header="0.3" footer="0.3"/>
  <pageSetup horizontalDpi="600" verticalDpi="600" orientation="portrait" paperSize="9" r:id="rId1"/>
  <ignoredErrors>
    <ignoredError sqref="O93 O85 O110:S110" formula="1"/>
    <ignoredError sqref="N126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115"/>
  <sheetViews>
    <sheetView zoomScale="80" zoomScaleNormal="80" zoomScalePageLayoutView="0" workbookViewId="0" topLeftCell="A88">
      <selection activeCell="G104" sqref="G104"/>
    </sheetView>
  </sheetViews>
  <sheetFormatPr defaultColWidth="8.796875" defaultRowHeight="14.25"/>
  <cols>
    <col min="1" max="1" width="11.5" style="0" customWidth="1"/>
    <col min="2" max="2" width="15.09765625" style="0" customWidth="1"/>
    <col min="3" max="3" width="14.5" style="0" customWidth="1"/>
    <col min="4" max="4" width="11.3984375" style="0" customWidth="1"/>
    <col min="7" max="7" width="11.3984375" style="0" customWidth="1"/>
    <col min="8" max="8" width="25.69921875" style="0" customWidth="1"/>
    <col min="9" max="9" width="17.8984375" style="0" customWidth="1"/>
    <col min="10" max="10" width="12.5" style="0" customWidth="1"/>
    <col min="11" max="11" width="13.59765625" style="0" customWidth="1"/>
    <col min="12" max="12" width="14.3984375" style="0" customWidth="1"/>
    <col min="13" max="13" width="15" style="0" customWidth="1"/>
    <col min="14" max="14" width="18.5" style="0" customWidth="1"/>
    <col min="15" max="15" width="15.8984375" style="0" customWidth="1"/>
    <col min="16" max="16" width="12.59765625" style="0" customWidth="1"/>
    <col min="17" max="17" width="15.19921875" style="0" customWidth="1"/>
    <col min="18" max="18" width="14.59765625" style="0" customWidth="1"/>
    <col min="19" max="19" width="21.5" style="0" customWidth="1"/>
    <col min="20" max="20" width="22.59765625" style="0" customWidth="1"/>
    <col min="21" max="21" width="20.59765625" style="0" customWidth="1"/>
  </cols>
  <sheetData>
    <row r="1" spans="2:10" ht="18">
      <c r="B1" s="698" t="s">
        <v>1757</v>
      </c>
      <c r="C1" s="698"/>
      <c r="D1" s="698"/>
      <c r="E1" s="698"/>
      <c r="F1" s="698"/>
      <c r="G1" s="698"/>
      <c r="H1" s="698"/>
      <c r="I1" s="698"/>
      <c r="J1" s="698"/>
    </row>
    <row r="2" spans="2:10" ht="15">
      <c r="B2" s="222"/>
      <c r="C2" s="222"/>
      <c r="D2" s="222"/>
      <c r="E2" s="222"/>
      <c r="F2" s="222"/>
      <c r="G2" s="222"/>
      <c r="H2" s="224"/>
      <c r="I2" s="222"/>
      <c r="J2" s="222"/>
    </row>
    <row r="3" spans="2:10" ht="26.25" customHeight="1">
      <c r="B3" s="715" t="s">
        <v>1053</v>
      </c>
      <c r="C3" s="716"/>
      <c r="D3" s="716"/>
      <c r="E3" s="716"/>
      <c r="F3" s="716"/>
      <c r="G3" s="716"/>
      <c r="H3" s="716"/>
      <c r="I3" s="717"/>
      <c r="J3" s="222"/>
    </row>
    <row r="4" spans="2:10" ht="15">
      <c r="B4" s="223"/>
      <c r="C4" s="223"/>
      <c r="D4" s="223"/>
      <c r="E4" s="223"/>
      <c r="F4" s="223"/>
      <c r="G4" s="223"/>
      <c r="H4" s="224"/>
      <c r="I4" s="222"/>
      <c r="J4" s="222"/>
    </row>
    <row r="5" spans="2:10" ht="15">
      <c r="B5" s="679" t="s">
        <v>1029</v>
      </c>
      <c r="C5" s="679"/>
      <c r="D5" s="679"/>
      <c r="E5" s="679"/>
      <c r="F5" s="679"/>
      <c r="G5" s="679"/>
      <c r="H5" s="679"/>
      <c r="I5" s="679"/>
      <c r="J5" s="222"/>
    </row>
    <row r="6" spans="2:10" ht="15">
      <c r="B6" s="223"/>
      <c r="C6" s="223"/>
      <c r="D6" s="223"/>
      <c r="E6" s="223"/>
      <c r="F6" s="223"/>
      <c r="G6" s="223"/>
      <c r="H6" s="224"/>
      <c r="I6" s="222"/>
      <c r="J6" s="222"/>
    </row>
    <row r="7" spans="2:10" ht="15.75">
      <c r="B7" s="225" t="s">
        <v>967</v>
      </c>
      <c r="C7" s="222"/>
      <c r="D7" s="223"/>
      <c r="E7" s="223"/>
      <c r="F7" s="223"/>
      <c r="G7" s="222"/>
      <c r="H7" s="224"/>
      <c r="I7" s="222"/>
      <c r="J7" s="222"/>
    </row>
    <row r="8" spans="2:10" ht="15">
      <c r="B8" s="528" t="s">
        <v>1986</v>
      </c>
      <c r="C8" s="222"/>
      <c r="D8" s="223"/>
      <c r="E8" s="223"/>
      <c r="F8" s="223"/>
      <c r="G8" s="222"/>
      <c r="H8" s="224"/>
      <c r="I8" s="222"/>
      <c r="J8" s="222"/>
    </row>
    <row r="9" spans="2:10" ht="15.75">
      <c r="B9" s="226" t="s">
        <v>1758</v>
      </c>
      <c r="C9" s="222"/>
      <c r="D9" s="227"/>
      <c r="E9" s="223"/>
      <c r="F9" s="223"/>
      <c r="G9" s="222"/>
      <c r="H9" s="224"/>
      <c r="I9" s="222"/>
      <c r="J9" s="222"/>
    </row>
    <row r="10" spans="2:10" ht="15.75">
      <c r="B10" s="226" t="s">
        <v>1681</v>
      </c>
      <c r="C10" s="222"/>
      <c r="D10" s="227"/>
      <c r="E10" s="223"/>
      <c r="F10" s="223"/>
      <c r="G10" s="222"/>
      <c r="H10" s="224"/>
      <c r="I10" s="222"/>
      <c r="J10" s="222"/>
    </row>
    <row r="11" spans="2:10" ht="15">
      <c r="B11" s="222" t="s">
        <v>1047</v>
      </c>
      <c r="C11" s="222"/>
      <c r="D11" s="222"/>
      <c r="E11" s="222"/>
      <c r="F11" s="222"/>
      <c r="G11" s="222"/>
      <c r="H11" s="224"/>
      <c r="I11" s="222"/>
      <c r="J11" s="222"/>
    </row>
    <row r="12" spans="2:10" ht="15.75">
      <c r="B12" s="228" t="s">
        <v>1030</v>
      </c>
      <c r="C12" s="229" t="s">
        <v>1031</v>
      </c>
      <c r="D12" s="227"/>
      <c r="E12" s="227"/>
      <c r="F12" s="227"/>
      <c r="G12" s="227"/>
      <c r="H12" s="222"/>
      <c r="I12" s="222"/>
      <c r="J12" s="222"/>
    </row>
    <row r="13" spans="2:10" ht="15.75">
      <c r="B13" s="228" t="s">
        <v>1032</v>
      </c>
      <c r="C13" s="225" t="s">
        <v>1033</v>
      </c>
      <c r="D13" s="227"/>
      <c r="E13" s="227"/>
      <c r="F13" s="227"/>
      <c r="G13" s="227"/>
      <c r="H13" s="222"/>
      <c r="I13" s="222"/>
      <c r="J13" s="222"/>
    </row>
    <row r="14" ht="15" thickBot="1"/>
    <row r="15" spans="1:15" ht="45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73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0.5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36.7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ht="31.5" customHeight="1">
      <c r="A18" s="278" t="s">
        <v>11</v>
      </c>
      <c r="B18" s="61" t="s">
        <v>162</v>
      </c>
      <c r="C18" s="514" t="s">
        <v>98</v>
      </c>
      <c r="D18" s="514"/>
      <c r="E18" s="518"/>
      <c r="F18" s="519" t="s">
        <v>531</v>
      </c>
      <c r="G18" s="514" t="s">
        <v>532</v>
      </c>
      <c r="H18" s="385" t="s">
        <v>533</v>
      </c>
      <c r="I18" s="514">
        <v>37149</v>
      </c>
      <c r="J18" s="446" t="s">
        <v>16</v>
      </c>
      <c r="K18" s="401">
        <v>1.8</v>
      </c>
      <c r="L18" s="46"/>
      <c r="M18" s="13">
        <f>9001-7540</f>
        <v>1461</v>
      </c>
      <c r="N18" s="13">
        <f>39294-33236</f>
        <v>6058</v>
      </c>
      <c r="O18" s="86">
        <f>SUM(M18:N18)</f>
        <v>7519</v>
      </c>
    </row>
    <row r="19" spans="1:15" ht="29.25">
      <c r="A19" s="278" t="s">
        <v>11</v>
      </c>
      <c r="B19" s="61" t="s">
        <v>162</v>
      </c>
      <c r="C19" s="514" t="s">
        <v>534</v>
      </c>
      <c r="D19" s="514"/>
      <c r="E19" s="514"/>
      <c r="F19" s="519" t="s">
        <v>531</v>
      </c>
      <c r="G19" s="514" t="s">
        <v>532</v>
      </c>
      <c r="H19" s="385" t="s">
        <v>535</v>
      </c>
      <c r="I19" s="514">
        <v>83426448</v>
      </c>
      <c r="J19" s="447" t="s">
        <v>154</v>
      </c>
      <c r="K19" s="401">
        <v>1.1</v>
      </c>
      <c r="L19" s="30">
        <f>286*12</f>
        <v>3432</v>
      </c>
      <c r="M19" s="46"/>
      <c r="N19" s="46"/>
      <c r="O19" s="86">
        <f>L19</f>
        <v>3432</v>
      </c>
    </row>
    <row r="20" spans="1:15" ht="29.25">
      <c r="A20" s="278" t="s">
        <v>11</v>
      </c>
      <c r="B20" s="61" t="s">
        <v>162</v>
      </c>
      <c r="C20" s="514" t="s">
        <v>536</v>
      </c>
      <c r="D20" s="514"/>
      <c r="E20" s="514"/>
      <c r="F20" s="519" t="s">
        <v>531</v>
      </c>
      <c r="G20" s="514" t="s">
        <v>532</v>
      </c>
      <c r="H20" s="385" t="s">
        <v>537</v>
      </c>
      <c r="I20" s="514">
        <v>83426421</v>
      </c>
      <c r="J20" s="447" t="s">
        <v>154</v>
      </c>
      <c r="K20" s="401">
        <v>1.4</v>
      </c>
      <c r="L20" s="30">
        <v>6961</v>
      </c>
      <c r="M20" s="46"/>
      <c r="N20" s="46"/>
      <c r="O20" s="86">
        <f>L20</f>
        <v>6961</v>
      </c>
    </row>
    <row r="21" spans="1:15" ht="29.25">
      <c r="A21" s="278" t="s">
        <v>11</v>
      </c>
      <c r="B21" s="61" t="s">
        <v>162</v>
      </c>
      <c r="C21" s="514" t="s">
        <v>538</v>
      </c>
      <c r="D21" s="520"/>
      <c r="E21" s="514"/>
      <c r="F21" s="519" t="s">
        <v>531</v>
      </c>
      <c r="G21" s="514" t="s">
        <v>532</v>
      </c>
      <c r="H21" s="385" t="s">
        <v>539</v>
      </c>
      <c r="I21" s="514">
        <v>1000186</v>
      </c>
      <c r="J21" s="446" t="s">
        <v>16</v>
      </c>
      <c r="K21" s="401">
        <v>1.5</v>
      </c>
      <c r="L21" s="46"/>
      <c r="M21" s="13">
        <f>9533-8156</f>
        <v>1377</v>
      </c>
      <c r="N21" s="13">
        <f>42062-36244</f>
        <v>5818</v>
      </c>
      <c r="O21" s="86">
        <f>SUM(M21:N21)</f>
        <v>7195</v>
      </c>
    </row>
    <row r="22" spans="1:15" ht="29.25">
      <c r="A22" s="278" t="s">
        <v>11</v>
      </c>
      <c r="B22" s="61" t="s">
        <v>162</v>
      </c>
      <c r="C22" s="514" t="s">
        <v>540</v>
      </c>
      <c r="D22" s="520"/>
      <c r="E22" s="514"/>
      <c r="F22" s="519" t="s">
        <v>531</v>
      </c>
      <c r="G22" s="514" t="s">
        <v>532</v>
      </c>
      <c r="H22" s="385" t="s">
        <v>541</v>
      </c>
      <c r="I22" s="514">
        <v>83426427</v>
      </c>
      <c r="J22" s="447" t="s">
        <v>154</v>
      </c>
      <c r="K22" s="401">
        <v>1.5</v>
      </c>
      <c r="L22" s="30">
        <f>480*12</f>
        <v>5760</v>
      </c>
      <c r="M22" s="46"/>
      <c r="N22" s="46"/>
      <c r="O22" s="86">
        <f>L22</f>
        <v>5760</v>
      </c>
    </row>
    <row r="23" spans="1:15" ht="29.25">
      <c r="A23" s="278" t="s">
        <v>11</v>
      </c>
      <c r="B23" s="61" t="s">
        <v>162</v>
      </c>
      <c r="C23" s="514" t="s">
        <v>542</v>
      </c>
      <c r="D23" s="520"/>
      <c r="E23" s="514"/>
      <c r="F23" s="519" t="s">
        <v>531</v>
      </c>
      <c r="G23" s="514" t="s">
        <v>532</v>
      </c>
      <c r="H23" s="385" t="s">
        <v>543</v>
      </c>
      <c r="I23" s="514">
        <v>83426550</v>
      </c>
      <c r="J23" s="447" t="s">
        <v>154</v>
      </c>
      <c r="K23" s="401">
        <v>0.6</v>
      </c>
      <c r="L23" s="30">
        <f>381*12</f>
        <v>4572</v>
      </c>
      <c r="M23" s="46"/>
      <c r="N23" s="46"/>
      <c r="O23" s="86">
        <f aca="true" t="shared" si="0" ref="O23:O86">L23</f>
        <v>4572</v>
      </c>
    </row>
    <row r="24" spans="1:15" ht="29.25">
      <c r="A24" s="278" t="s">
        <v>11</v>
      </c>
      <c r="B24" s="61" t="s">
        <v>162</v>
      </c>
      <c r="C24" s="514" t="s">
        <v>534</v>
      </c>
      <c r="D24" s="520"/>
      <c r="E24" s="514"/>
      <c r="F24" s="519" t="s">
        <v>531</v>
      </c>
      <c r="G24" s="514" t="s">
        <v>532</v>
      </c>
      <c r="H24" s="385" t="s">
        <v>1338</v>
      </c>
      <c r="I24" s="514">
        <v>83426397</v>
      </c>
      <c r="J24" s="447" t="s">
        <v>154</v>
      </c>
      <c r="K24" s="401">
        <v>0.5</v>
      </c>
      <c r="L24" s="30">
        <f>223*12</f>
        <v>2676</v>
      </c>
      <c r="M24" s="46"/>
      <c r="N24" s="46"/>
      <c r="O24" s="86">
        <f t="shared" si="0"/>
        <v>2676</v>
      </c>
    </row>
    <row r="25" spans="1:15" ht="29.25">
      <c r="A25" s="278" t="s">
        <v>11</v>
      </c>
      <c r="B25" s="61" t="s">
        <v>162</v>
      </c>
      <c r="C25" s="514" t="s">
        <v>532</v>
      </c>
      <c r="D25" s="520" t="s">
        <v>544</v>
      </c>
      <c r="E25" s="514">
        <v>22</v>
      </c>
      <c r="F25" s="519" t="s">
        <v>531</v>
      </c>
      <c r="G25" s="514" t="s">
        <v>532</v>
      </c>
      <c r="H25" s="385" t="s">
        <v>545</v>
      </c>
      <c r="I25" s="514">
        <v>83426197</v>
      </c>
      <c r="J25" s="447" t="s">
        <v>154</v>
      </c>
      <c r="K25" s="401">
        <v>2.2</v>
      </c>
      <c r="L25" s="30">
        <f>631*12</f>
        <v>7572</v>
      </c>
      <c r="M25" s="46"/>
      <c r="N25" s="46"/>
      <c r="O25" s="86">
        <f t="shared" si="0"/>
        <v>7572</v>
      </c>
    </row>
    <row r="26" spans="1:15" ht="29.25">
      <c r="A26" s="278" t="s">
        <v>11</v>
      </c>
      <c r="B26" s="61" t="s">
        <v>162</v>
      </c>
      <c r="C26" s="514" t="s">
        <v>532</v>
      </c>
      <c r="D26" s="520" t="s">
        <v>544</v>
      </c>
      <c r="E26" s="514">
        <v>44</v>
      </c>
      <c r="F26" s="519" t="s">
        <v>531</v>
      </c>
      <c r="G26" s="514" t="s">
        <v>532</v>
      </c>
      <c r="H26" s="385" t="s">
        <v>546</v>
      </c>
      <c r="I26" s="514">
        <v>83426543</v>
      </c>
      <c r="J26" s="447" t="s">
        <v>154</v>
      </c>
      <c r="K26" s="401">
        <v>1.1</v>
      </c>
      <c r="L26" s="30">
        <f>381*11</f>
        <v>4191</v>
      </c>
      <c r="M26" s="46"/>
      <c r="N26" s="46"/>
      <c r="O26" s="86">
        <f t="shared" si="0"/>
        <v>4191</v>
      </c>
    </row>
    <row r="27" spans="1:15" ht="29.25">
      <c r="A27" s="278" t="s">
        <v>11</v>
      </c>
      <c r="B27" s="61" t="s">
        <v>162</v>
      </c>
      <c r="C27" s="514" t="s">
        <v>532</v>
      </c>
      <c r="D27" s="520" t="s">
        <v>547</v>
      </c>
      <c r="E27" s="514">
        <v>1</v>
      </c>
      <c r="F27" s="519" t="s">
        <v>531</v>
      </c>
      <c r="G27" s="514" t="s">
        <v>532</v>
      </c>
      <c r="H27" s="385" t="s">
        <v>548</v>
      </c>
      <c r="I27" s="514">
        <v>90694310</v>
      </c>
      <c r="J27" s="447" t="s">
        <v>154</v>
      </c>
      <c r="K27" s="401">
        <v>4.5</v>
      </c>
      <c r="L27" s="30">
        <f>1392*12</f>
        <v>16704</v>
      </c>
      <c r="M27" s="46"/>
      <c r="N27" s="46"/>
      <c r="O27" s="86">
        <f t="shared" si="0"/>
        <v>16704</v>
      </c>
    </row>
    <row r="28" spans="1:15" ht="45.75">
      <c r="A28" s="278" t="s">
        <v>11</v>
      </c>
      <c r="B28" s="61" t="s">
        <v>162</v>
      </c>
      <c r="C28" s="514" t="s">
        <v>532</v>
      </c>
      <c r="D28" s="520" t="s">
        <v>1712</v>
      </c>
      <c r="E28" s="514">
        <v>6</v>
      </c>
      <c r="F28" s="519" t="s">
        <v>531</v>
      </c>
      <c r="G28" s="514" t="s">
        <v>532</v>
      </c>
      <c r="H28" s="385" t="s">
        <v>549</v>
      </c>
      <c r="I28" s="514">
        <v>70959092</v>
      </c>
      <c r="J28" s="447" t="s">
        <v>154</v>
      </c>
      <c r="K28" s="401">
        <v>3</v>
      </c>
      <c r="L28" s="30">
        <f>1447*11</f>
        <v>15917</v>
      </c>
      <c r="M28" s="46"/>
      <c r="N28" s="46"/>
      <c r="O28" s="86">
        <f t="shared" si="0"/>
        <v>15917</v>
      </c>
    </row>
    <row r="29" spans="1:15" ht="29.25">
      <c r="A29" s="278" t="s">
        <v>11</v>
      </c>
      <c r="B29" s="61" t="s">
        <v>162</v>
      </c>
      <c r="C29" s="514" t="s">
        <v>532</v>
      </c>
      <c r="D29" s="520" t="s">
        <v>550</v>
      </c>
      <c r="E29" s="514">
        <v>41</v>
      </c>
      <c r="F29" s="519" t="s">
        <v>531</v>
      </c>
      <c r="G29" s="514" t="s">
        <v>532</v>
      </c>
      <c r="H29" s="385" t="s">
        <v>551</v>
      </c>
      <c r="I29" s="514">
        <v>83426011</v>
      </c>
      <c r="J29" s="447" t="s">
        <v>154</v>
      </c>
      <c r="K29" s="401">
        <v>0.4</v>
      </c>
      <c r="L29" s="30">
        <f>356*12</f>
        <v>4272</v>
      </c>
      <c r="M29" s="46"/>
      <c r="N29" s="46"/>
      <c r="O29" s="86">
        <f t="shared" si="0"/>
        <v>4272</v>
      </c>
    </row>
    <row r="30" spans="1:15" ht="29.25">
      <c r="A30" s="278" t="s">
        <v>11</v>
      </c>
      <c r="B30" s="61" t="s">
        <v>162</v>
      </c>
      <c r="C30" s="514" t="s">
        <v>532</v>
      </c>
      <c r="D30" s="520" t="s">
        <v>550</v>
      </c>
      <c r="E30" s="514">
        <v>74</v>
      </c>
      <c r="F30" s="519" t="s">
        <v>531</v>
      </c>
      <c r="G30" s="514" t="s">
        <v>532</v>
      </c>
      <c r="H30" s="385" t="s">
        <v>552</v>
      </c>
      <c r="I30" s="514">
        <v>556725</v>
      </c>
      <c r="J30" s="447" t="s">
        <v>154</v>
      </c>
      <c r="K30" s="401">
        <v>2.3</v>
      </c>
      <c r="L30" s="30">
        <f>336*12</f>
        <v>4032</v>
      </c>
      <c r="M30" s="46"/>
      <c r="N30" s="46"/>
      <c r="O30" s="86">
        <f t="shared" si="0"/>
        <v>4032</v>
      </c>
    </row>
    <row r="31" spans="1:15" ht="29.25">
      <c r="A31" s="278" t="s">
        <v>11</v>
      </c>
      <c r="B31" s="61" t="s">
        <v>162</v>
      </c>
      <c r="C31" s="514" t="s">
        <v>532</v>
      </c>
      <c r="D31" s="520" t="s">
        <v>553</v>
      </c>
      <c r="E31" s="514"/>
      <c r="F31" s="519" t="s">
        <v>531</v>
      </c>
      <c r="G31" s="514" t="s">
        <v>532</v>
      </c>
      <c r="H31" s="385" t="s">
        <v>554</v>
      </c>
      <c r="I31" s="514">
        <v>83426587</v>
      </c>
      <c r="J31" s="447" t="s">
        <v>154</v>
      </c>
      <c r="K31" s="401">
        <v>1</v>
      </c>
      <c r="L31" s="30">
        <f>313*12</f>
        <v>3756</v>
      </c>
      <c r="M31" s="46"/>
      <c r="N31" s="46"/>
      <c r="O31" s="86">
        <f t="shared" si="0"/>
        <v>3756</v>
      </c>
    </row>
    <row r="32" spans="1:15" ht="29.25">
      <c r="A32" s="278" t="s">
        <v>11</v>
      </c>
      <c r="B32" s="61" t="s">
        <v>162</v>
      </c>
      <c r="C32" s="514" t="s">
        <v>532</v>
      </c>
      <c r="D32" s="520" t="s">
        <v>555</v>
      </c>
      <c r="E32" s="514"/>
      <c r="F32" s="519" t="s">
        <v>531</v>
      </c>
      <c r="G32" s="514" t="s">
        <v>532</v>
      </c>
      <c r="H32" s="385" t="s">
        <v>556</v>
      </c>
      <c r="I32" s="514">
        <v>71020542</v>
      </c>
      <c r="J32" s="447" t="s">
        <v>154</v>
      </c>
      <c r="K32" s="401">
        <v>1.6</v>
      </c>
      <c r="L32" s="30">
        <f>830*12</f>
        <v>9960</v>
      </c>
      <c r="M32" s="46"/>
      <c r="N32" s="46"/>
      <c r="O32" s="86">
        <f t="shared" si="0"/>
        <v>9960</v>
      </c>
    </row>
    <row r="33" spans="1:15" ht="29.25">
      <c r="A33" s="278" t="s">
        <v>11</v>
      </c>
      <c r="B33" s="61" t="s">
        <v>162</v>
      </c>
      <c r="C33" s="520" t="s">
        <v>1336</v>
      </c>
      <c r="D33" s="520"/>
      <c r="E33" s="514">
        <v>3</v>
      </c>
      <c r="F33" s="519" t="s">
        <v>531</v>
      </c>
      <c r="G33" s="514" t="s">
        <v>532</v>
      </c>
      <c r="H33" s="385" t="s">
        <v>557</v>
      </c>
      <c r="I33" s="514">
        <v>83426588</v>
      </c>
      <c r="J33" s="447" t="s">
        <v>154</v>
      </c>
      <c r="K33" s="401">
        <v>0.6</v>
      </c>
      <c r="L33" s="30">
        <f>141*12</f>
        <v>1692</v>
      </c>
      <c r="M33" s="46"/>
      <c r="N33" s="46"/>
      <c r="O33" s="86">
        <f t="shared" si="0"/>
        <v>1692</v>
      </c>
    </row>
    <row r="34" spans="1:15" ht="29.25">
      <c r="A34" s="278" t="s">
        <v>11</v>
      </c>
      <c r="B34" s="61" t="s">
        <v>162</v>
      </c>
      <c r="C34" s="520" t="s">
        <v>1336</v>
      </c>
      <c r="D34" s="520"/>
      <c r="E34" s="514">
        <v>1</v>
      </c>
      <c r="F34" s="519" t="s">
        <v>531</v>
      </c>
      <c r="G34" s="514" t="s">
        <v>532</v>
      </c>
      <c r="H34" s="385" t="s">
        <v>558</v>
      </c>
      <c r="I34" s="514">
        <v>71905193</v>
      </c>
      <c r="J34" s="447" t="s">
        <v>154</v>
      </c>
      <c r="K34" s="401">
        <v>4</v>
      </c>
      <c r="L34" s="30">
        <f>1259*11</f>
        <v>13849</v>
      </c>
      <c r="M34" s="46"/>
      <c r="N34" s="46"/>
      <c r="O34" s="86">
        <f t="shared" si="0"/>
        <v>13849</v>
      </c>
    </row>
    <row r="35" spans="1:15" ht="29.25">
      <c r="A35" s="278" t="s">
        <v>11</v>
      </c>
      <c r="B35" s="61" t="s">
        <v>162</v>
      </c>
      <c r="C35" s="520" t="s">
        <v>1336</v>
      </c>
      <c r="D35" s="520"/>
      <c r="E35" s="514">
        <v>4</v>
      </c>
      <c r="F35" s="519" t="s">
        <v>531</v>
      </c>
      <c r="G35" s="514" t="s">
        <v>532</v>
      </c>
      <c r="H35" s="385" t="s">
        <v>559</v>
      </c>
      <c r="I35" s="514">
        <v>90694271</v>
      </c>
      <c r="J35" s="447" t="s">
        <v>154</v>
      </c>
      <c r="K35" s="401">
        <v>1.3</v>
      </c>
      <c r="L35" s="30">
        <f>536*12</f>
        <v>6432</v>
      </c>
      <c r="M35" s="46"/>
      <c r="N35" s="46"/>
      <c r="O35" s="86">
        <f t="shared" si="0"/>
        <v>6432</v>
      </c>
    </row>
    <row r="36" spans="1:15" ht="29.25">
      <c r="A36" s="278" t="s">
        <v>11</v>
      </c>
      <c r="B36" s="61" t="s">
        <v>162</v>
      </c>
      <c r="C36" s="514" t="s">
        <v>560</v>
      </c>
      <c r="D36" s="520"/>
      <c r="E36" s="514">
        <v>23</v>
      </c>
      <c r="F36" s="519" t="s">
        <v>531</v>
      </c>
      <c r="G36" s="514" t="s">
        <v>532</v>
      </c>
      <c r="H36" s="385" t="s">
        <v>561</v>
      </c>
      <c r="I36" s="514">
        <v>83426437</v>
      </c>
      <c r="J36" s="447" t="s">
        <v>154</v>
      </c>
      <c r="K36" s="401">
        <v>2.2</v>
      </c>
      <c r="L36" s="30">
        <f>294*12</f>
        <v>3528</v>
      </c>
      <c r="M36" s="46"/>
      <c r="N36" s="46"/>
      <c r="O36" s="86">
        <f t="shared" si="0"/>
        <v>3528</v>
      </c>
    </row>
    <row r="37" spans="1:15" ht="29.25">
      <c r="A37" s="278" t="s">
        <v>11</v>
      </c>
      <c r="B37" s="61" t="s">
        <v>162</v>
      </c>
      <c r="C37" s="514" t="s">
        <v>562</v>
      </c>
      <c r="D37" s="520"/>
      <c r="E37" s="514">
        <v>2</v>
      </c>
      <c r="F37" s="519" t="s">
        <v>531</v>
      </c>
      <c r="G37" s="514" t="s">
        <v>532</v>
      </c>
      <c r="H37" s="385" t="s">
        <v>563</v>
      </c>
      <c r="I37" s="514">
        <v>83426420</v>
      </c>
      <c r="J37" s="447" t="s">
        <v>154</v>
      </c>
      <c r="K37" s="401">
        <v>1</v>
      </c>
      <c r="L37" s="30">
        <f>339*12</f>
        <v>4068</v>
      </c>
      <c r="M37" s="46"/>
      <c r="N37" s="46"/>
      <c r="O37" s="86">
        <f t="shared" si="0"/>
        <v>4068</v>
      </c>
    </row>
    <row r="38" spans="1:15" ht="29.25">
      <c r="A38" s="278" t="s">
        <v>11</v>
      </c>
      <c r="B38" s="61" t="s">
        <v>162</v>
      </c>
      <c r="C38" s="514" t="s">
        <v>562</v>
      </c>
      <c r="D38" s="520"/>
      <c r="E38" s="514">
        <v>1</v>
      </c>
      <c r="F38" s="519" t="s">
        <v>531</v>
      </c>
      <c r="G38" s="514" t="s">
        <v>532</v>
      </c>
      <c r="H38" s="385" t="s">
        <v>564</v>
      </c>
      <c r="I38" s="514">
        <v>83426450</v>
      </c>
      <c r="J38" s="447" t="s">
        <v>154</v>
      </c>
      <c r="K38" s="401">
        <v>1.5</v>
      </c>
      <c r="L38" s="30">
        <f>268*12</f>
        <v>3216</v>
      </c>
      <c r="M38" s="46"/>
      <c r="N38" s="46"/>
      <c r="O38" s="86">
        <f t="shared" si="0"/>
        <v>3216</v>
      </c>
    </row>
    <row r="39" spans="1:15" ht="29.25">
      <c r="A39" s="278" t="s">
        <v>11</v>
      </c>
      <c r="B39" s="61" t="s">
        <v>162</v>
      </c>
      <c r="C39" s="514" t="s">
        <v>565</v>
      </c>
      <c r="D39" s="520"/>
      <c r="E39" s="514"/>
      <c r="F39" s="519" t="s">
        <v>531</v>
      </c>
      <c r="G39" s="514" t="s">
        <v>532</v>
      </c>
      <c r="H39" s="385" t="s">
        <v>566</v>
      </c>
      <c r="I39" s="514">
        <v>83425875</v>
      </c>
      <c r="J39" s="447" t="s">
        <v>154</v>
      </c>
      <c r="K39" s="401">
        <v>0.7</v>
      </c>
      <c r="L39" s="30">
        <f>436*12</f>
        <v>5232</v>
      </c>
      <c r="M39" s="46"/>
      <c r="N39" s="46"/>
      <c r="O39" s="86">
        <f t="shared" si="0"/>
        <v>5232</v>
      </c>
    </row>
    <row r="40" spans="1:15" ht="29.25">
      <c r="A40" s="278" t="s">
        <v>11</v>
      </c>
      <c r="B40" s="61" t="s">
        <v>162</v>
      </c>
      <c r="C40" s="514" t="s">
        <v>567</v>
      </c>
      <c r="D40" s="520"/>
      <c r="E40" s="514"/>
      <c r="F40" s="519" t="s">
        <v>531</v>
      </c>
      <c r="G40" s="514" t="s">
        <v>532</v>
      </c>
      <c r="H40" s="385" t="s">
        <v>568</v>
      </c>
      <c r="I40" s="514">
        <v>71020612</v>
      </c>
      <c r="J40" s="447" t="s">
        <v>154</v>
      </c>
      <c r="K40" s="401">
        <v>1.6</v>
      </c>
      <c r="L40" s="30">
        <f>547*12</f>
        <v>6564</v>
      </c>
      <c r="M40" s="46"/>
      <c r="N40" s="46"/>
      <c r="O40" s="86">
        <f t="shared" si="0"/>
        <v>6564</v>
      </c>
    </row>
    <row r="41" spans="1:15" ht="29.25">
      <c r="A41" s="278" t="s">
        <v>11</v>
      </c>
      <c r="B41" s="61" t="s">
        <v>162</v>
      </c>
      <c r="C41" s="514" t="s">
        <v>569</v>
      </c>
      <c r="D41" s="520"/>
      <c r="E41" s="514"/>
      <c r="F41" s="519" t="s">
        <v>531</v>
      </c>
      <c r="G41" s="514" t="s">
        <v>532</v>
      </c>
      <c r="H41" s="385" t="s">
        <v>570</v>
      </c>
      <c r="I41" s="514">
        <v>83426436</v>
      </c>
      <c r="J41" s="447" t="s">
        <v>154</v>
      </c>
      <c r="K41" s="401">
        <v>0.5</v>
      </c>
      <c r="L41" s="30">
        <f>171*12</f>
        <v>2052</v>
      </c>
      <c r="M41" s="46"/>
      <c r="N41" s="46"/>
      <c r="O41" s="86">
        <f t="shared" si="0"/>
        <v>2052</v>
      </c>
    </row>
    <row r="42" spans="1:15" ht="29.25">
      <c r="A42" s="278" t="s">
        <v>11</v>
      </c>
      <c r="B42" s="61" t="s">
        <v>162</v>
      </c>
      <c r="C42" s="514" t="s">
        <v>569</v>
      </c>
      <c r="D42" s="520"/>
      <c r="E42" s="514"/>
      <c r="F42" s="519" t="s">
        <v>531</v>
      </c>
      <c r="G42" s="514" t="s">
        <v>532</v>
      </c>
      <c r="H42" s="385" t="s">
        <v>571</v>
      </c>
      <c r="I42" s="514">
        <v>83426406</v>
      </c>
      <c r="J42" s="447" t="s">
        <v>154</v>
      </c>
      <c r="K42" s="401">
        <v>0.3</v>
      </c>
      <c r="L42" s="30">
        <f>205*12</f>
        <v>2460</v>
      </c>
      <c r="M42" s="46"/>
      <c r="N42" s="46"/>
      <c r="O42" s="86">
        <f t="shared" si="0"/>
        <v>2460</v>
      </c>
    </row>
    <row r="43" spans="1:15" ht="30.75">
      <c r="A43" s="278" t="s">
        <v>11</v>
      </c>
      <c r="B43" s="61" t="s">
        <v>162</v>
      </c>
      <c r="C43" s="520" t="s">
        <v>572</v>
      </c>
      <c r="D43" s="520"/>
      <c r="E43" s="514">
        <v>1</v>
      </c>
      <c r="F43" s="519" t="s">
        <v>531</v>
      </c>
      <c r="G43" s="514" t="s">
        <v>532</v>
      </c>
      <c r="H43" s="385" t="s">
        <v>573</v>
      </c>
      <c r="I43" s="514">
        <v>83426589</v>
      </c>
      <c r="J43" s="447" t="s">
        <v>154</v>
      </c>
      <c r="K43" s="401">
        <v>0.6</v>
      </c>
      <c r="L43" s="30">
        <f>240*12</f>
        <v>2880</v>
      </c>
      <c r="M43" s="46"/>
      <c r="N43" s="46"/>
      <c r="O43" s="86">
        <f t="shared" si="0"/>
        <v>2880</v>
      </c>
    </row>
    <row r="44" spans="1:15" ht="29.25">
      <c r="A44" s="278" t="s">
        <v>11</v>
      </c>
      <c r="B44" s="61" t="s">
        <v>162</v>
      </c>
      <c r="C44" s="514" t="s">
        <v>574</v>
      </c>
      <c r="D44" s="520"/>
      <c r="E44" s="514"/>
      <c r="F44" s="519" t="s">
        <v>531</v>
      </c>
      <c r="G44" s="514" t="s">
        <v>532</v>
      </c>
      <c r="H44" s="385" t="s">
        <v>575</v>
      </c>
      <c r="I44" s="514">
        <v>83426538</v>
      </c>
      <c r="J44" s="447" t="s">
        <v>154</v>
      </c>
      <c r="K44" s="401">
        <v>0.7</v>
      </c>
      <c r="L44" s="30">
        <f>265*11</f>
        <v>2915</v>
      </c>
      <c r="M44" s="46"/>
      <c r="N44" s="46"/>
      <c r="O44" s="86">
        <f t="shared" si="0"/>
        <v>2915</v>
      </c>
    </row>
    <row r="45" spans="1:15" ht="29.25">
      <c r="A45" s="278" t="s">
        <v>11</v>
      </c>
      <c r="B45" s="61" t="s">
        <v>162</v>
      </c>
      <c r="C45" s="514" t="s">
        <v>576</v>
      </c>
      <c r="D45" s="520"/>
      <c r="E45" s="514"/>
      <c r="F45" s="519" t="s">
        <v>531</v>
      </c>
      <c r="G45" s="514" t="s">
        <v>532</v>
      </c>
      <c r="H45" s="385" t="s">
        <v>577</v>
      </c>
      <c r="I45" s="514">
        <v>90182721</v>
      </c>
      <c r="J45" s="447" t="s">
        <v>154</v>
      </c>
      <c r="K45" s="401">
        <v>4.2</v>
      </c>
      <c r="L45" s="30">
        <f>1437*11</f>
        <v>15807</v>
      </c>
      <c r="M45" s="46"/>
      <c r="N45" s="46"/>
      <c r="O45" s="86">
        <f t="shared" si="0"/>
        <v>15807</v>
      </c>
    </row>
    <row r="46" spans="1:15" ht="29.25">
      <c r="A46" s="278" t="s">
        <v>11</v>
      </c>
      <c r="B46" s="61" t="s">
        <v>162</v>
      </c>
      <c r="C46" s="514" t="s">
        <v>578</v>
      </c>
      <c r="D46" s="520"/>
      <c r="E46" s="514"/>
      <c r="F46" s="519" t="s">
        <v>531</v>
      </c>
      <c r="G46" s="514" t="s">
        <v>532</v>
      </c>
      <c r="H46" s="385" t="s">
        <v>579</v>
      </c>
      <c r="I46" s="514">
        <v>83426571</v>
      </c>
      <c r="J46" s="447" t="s">
        <v>154</v>
      </c>
      <c r="K46" s="401">
        <v>1</v>
      </c>
      <c r="L46" s="30">
        <f>581*12</f>
        <v>6972</v>
      </c>
      <c r="M46" s="46"/>
      <c r="N46" s="46"/>
      <c r="O46" s="86">
        <f t="shared" si="0"/>
        <v>6972</v>
      </c>
    </row>
    <row r="47" spans="1:15" ht="29.25">
      <c r="A47" s="278" t="s">
        <v>11</v>
      </c>
      <c r="B47" s="61" t="s">
        <v>162</v>
      </c>
      <c r="C47" s="514" t="s">
        <v>580</v>
      </c>
      <c r="D47" s="520"/>
      <c r="E47" s="514"/>
      <c r="F47" s="519" t="s">
        <v>531</v>
      </c>
      <c r="G47" s="514" t="s">
        <v>532</v>
      </c>
      <c r="H47" s="385" t="s">
        <v>1337</v>
      </c>
      <c r="I47" s="514">
        <v>83291714</v>
      </c>
      <c r="J47" s="447" t="s">
        <v>154</v>
      </c>
      <c r="K47" s="401">
        <v>0.3</v>
      </c>
      <c r="L47" s="30">
        <f>143*12</f>
        <v>1716</v>
      </c>
      <c r="M47" s="46"/>
      <c r="N47" s="46"/>
      <c r="O47" s="86">
        <f t="shared" si="0"/>
        <v>1716</v>
      </c>
    </row>
    <row r="48" spans="1:15" ht="29.25">
      <c r="A48" s="278" t="s">
        <v>11</v>
      </c>
      <c r="B48" s="61" t="s">
        <v>162</v>
      </c>
      <c r="C48" s="514" t="s">
        <v>581</v>
      </c>
      <c r="D48" s="520"/>
      <c r="E48" s="514"/>
      <c r="F48" s="519" t="s">
        <v>531</v>
      </c>
      <c r="G48" s="514" t="s">
        <v>532</v>
      </c>
      <c r="H48" s="385" t="s">
        <v>582</v>
      </c>
      <c r="I48" s="514">
        <v>1394972</v>
      </c>
      <c r="J48" s="447" t="s">
        <v>154</v>
      </c>
      <c r="K48" s="401">
        <v>0.3</v>
      </c>
      <c r="L48" s="30">
        <f>26*12</f>
        <v>312</v>
      </c>
      <c r="M48" s="46"/>
      <c r="N48" s="46"/>
      <c r="O48" s="86">
        <f t="shared" si="0"/>
        <v>312</v>
      </c>
    </row>
    <row r="49" spans="1:15" ht="29.25">
      <c r="A49" s="278" t="s">
        <v>11</v>
      </c>
      <c r="B49" s="61" t="s">
        <v>162</v>
      </c>
      <c r="C49" s="514" t="s">
        <v>583</v>
      </c>
      <c r="D49" s="520"/>
      <c r="E49" s="514"/>
      <c r="F49" s="519" t="s">
        <v>531</v>
      </c>
      <c r="G49" s="514" t="s">
        <v>532</v>
      </c>
      <c r="H49" s="385" t="s">
        <v>584</v>
      </c>
      <c r="I49" s="514">
        <v>83426062</v>
      </c>
      <c r="J49" s="447" t="s">
        <v>154</v>
      </c>
      <c r="K49" s="401">
        <v>1.3</v>
      </c>
      <c r="L49" s="30">
        <f>405*12</f>
        <v>4860</v>
      </c>
      <c r="M49" s="46"/>
      <c r="N49" s="46"/>
      <c r="O49" s="86">
        <f t="shared" si="0"/>
        <v>4860</v>
      </c>
    </row>
    <row r="50" spans="1:15" ht="29.25">
      <c r="A50" s="278" t="s">
        <v>11</v>
      </c>
      <c r="B50" s="61" t="s">
        <v>162</v>
      </c>
      <c r="C50" s="514" t="s">
        <v>585</v>
      </c>
      <c r="D50" s="520"/>
      <c r="E50" s="514"/>
      <c r="F50" s="519" t="s">
        <v>531</v>
      </c>
      <c r="G50" s="514" t="s">
        <v>532</v>
      </c>
      <c r="H50" s="385" t="s">
        <v>586</v>
      </c>
      <c r="I50" s="514">
        <v>83426459</v>
      </c>
      <c r="J50" s="447" t="s">
        <v>154</v>
      </c>
      <c r="K50" s="401">
        <v>2.2</v>
      </c>
      <c r="L50" s="30">
        <f>1149*12</f>
        <v>13788</v>
      </c>
      <c r="M50" s="46"/>
      <c r="N50" s="46"/>
      <c r="O50" s="86">
        <f t="shared" si="0"/>
        <v>13788</v>
      </c>
    </row>
    <row r="51" spans="1:15" ht="29.25">
      <c r="A51" s="278" t="s">
        <v>11</v>
      </c>
      <c r="B51" s="61" t="s">
        <v>162</v>
      </c>
      <c r="C51" s="514" t="s">
        <v>587</v>
      </c>
      <c r="D51" s="520"/>
      <c r="E51" s="514"/>
      <c r="F51" s="519" t="s">
        <v>531</v>
      </c>
      <c r="G51" s="514" t="s">
        <v>532</v>
      </c>
      <c r="H51" s="385" t="s">
        <v>588</v>
      </c>
      <c r="I51" s="514">
        <v>83426455</v>
      </c>
      <c r="J51" s="447" t="s">
        <v>154</v>
      </c>
      <c r="K51" s="401">
        <v>1.4</v>
      </c>
      <c r="L51" s="30">
        <f>1088*12</f>
        <v>13056</v>
      </c>
      <c r="M51" s="46"/>
      <c r="N51" s="46"/>
      <c r="O51" s="86">
        <f t="shared" si="0"/>
        <v>13056</v>
      </c>
    </row>
    <row r="52" spans="1:15" ht="29.25">
      <c r="A52" s="278" t="s">
        <v>11</v>
      </c>
      <c r="B52" s="61" t="s">
        <v>162</v>
      </c>
      <c r="C52" s="520" t="s">
        <v>589</v>
      </c>
      <c r="D52" s="520"/>
      <c r="E52" s="514"/>
      <c r="F52" s="519" t="s">
        <v>531</v>
      </c>
      <c r="G52" s="514" t="s">
        <v>532</v>
      </c>
      <c r="H52" s="385" t="s">
        <v>590</v>
      </c>
      <c r="I52" s="514">
        <v>83425902</v>
      </c>
      <c r="J52" s="447" t="s">
        <v>154</v>
      </c>
      <c r="K52" s="401">
        <v>0.4</v>
      </c>
      <c r="L52" s="30">
        <f>408*12</f>
        <v>4896</v>
      </c>
      <c r="M52" s="46"/>
      <c r="N52" s="46"/>
      <c r="O52" s="86">
        <f t="shared" si="0"/>
        <v>4896</v>
      </c>
    </row>
    <row r="53" spans="1:15" ht="29.25">
      <c r="A53" s="278" t="s">
        <v>11</v>
      </c>
      <c r="B53" s="61" t="s">
        <v>162</v>
      </c>
      <c r="C53" s="514" t="s">
        <v>591</v>
      </c>
      <c r="D53" s="520"/>
      <c r="E53" s="514">
        <v>2</v>
      </c>
      <c r="F53" s="519" t="s">
        <v>531</v>
      </c>
      <c r="G53" s="514" t="s">
        <v>532</v>
      </c>
      <c r="H53" s="385" t="s">
        <v>592</v>
      </c>
      <c r="I53" s="514">
        <v>70968828</v>
      </c>
      <c r="J53" s="447" t="s">
        <v>154</v>
      </c>
      <c r="K53" s="401">
        <v>1</v>
      </c>
      <c r="L53" s="30">
        <f>265*12</f>
        <v>3180</v>
      </c>
      <c r="M53" s="46"/>
      <c r="N53" s="46"/>
      <c r="O53" s="86">
        <f t="shared" si="0"/>
        <v>3180</v>
      </c>
    </row>
    <row r="54" spans="1:15" ht="29.25">
      <c r="A54" s="278" t="s">
        <v>11</v>
      </c>
      <c r="B54" s="61" t="s">
        <v>162</v>
      </c>
      <c r="C54" s="514" t="s">
        <v>591</v>
      </c>
      <c r="D54" s="520"/>
      <c r="E54" s="514">
        <v>1</v>
      </c>
      <c r="F54" s="519" t="s">
        <v>531</v>
      </c>
      <c r="G54" s="514" t="s">
        <v>532</v>
      </c>
      <c r="H54" s="385" t="s">
        <v>593</v>
      </c>
      <c r="I54" s="514">
        <v>70968194</v>
      </c>
      <c r="J54" s="447" t="s">
        <v>154</v>
      </c>
      <c r="K54" s="401">
        <v>1.2</v>
      </c>
      <c r="L54" s="30">
        <f>421*12</f>
        <v>5052</v>
      </c>
      <c r="M54" s="46"/>
      <c r="N54" s="46"/>
      <c r="O54" s="86">
        <f t="shared" si="0"/>
        <v>5052</v>
      </c>
    </row>
    <row r="55" spans="1:15" ht="29.25">
      <c r="A55" s="278" t="s">
        <v>11</v>
      </c>
      <c r="B55" s="61" t="s">
        <v>162</v>
      </c>
      <c r="C55" s="514" t="s">
        <v>594</v>
      </c>
      <c r="D55" s="520"/>
      <c r="E55" s="514"/>
      <c r="F55" s="519" t="s">
        <v>531</v>
      </c>
      <c r="G55" s="514" t="s">
        <v>532</v>
      </c>
      <c r="H55" s="385" t="s">
        <v>595</v>
      </c>
      <c r="I55" s="514">
        <v>83426467</v>
      </c>
      <c r="J55" s="447" t="s">
        <v>154</v>
      </c>
      <c r="K55" s="401">
        <v>1</v>
      </c>
      <c r="L55" s="30">
        <f>242*12</f>
        <v>2904</v>
      </c>
      <c r="M55" s="46"/>
      <c r="N55" s="46"/>
      <c r="O55" s="86">
        <f t="shared" si="0"/>
        <v>2904</v>
      </c>
    </row>
    <row r="56" spans="1:15" ht="30.75">
      <c r="A56" s="278" t="s">
        <v>11</v>
      </c>
      <c r="B56" s="61" t="s">
        <v>162</v>
      </c>
      <c r="C56" s="520" t="s">
        <v>567</v>
      </c>
      <c r="D56" s="520"/>
      <c r="E56" s="514">
        <v>1</v>
      </c>
      <c r="F56" s="519" t="s">
        <v>531</v>
      </c>
      <c r="G56" s="514" t="s">
        <v>532</v>
      </c>
      <c r="H56" s="385" t="s">
        <v>1340</v>
      </c>
      <c r="I56" s="514">
        <v>90694280</v>
      </c>
      <c r="J56" s="447" t="s">
        <v>154</v>
      </c>
      <c r="K56" s="401">
        <v>2</v>
      </c>
      <c r="L56" s="30">
        <f>448*12</f>
        <v>5376</v>
      </c>
      <c r="M56" s="46"/>
      <c r="N56" s="46"/>
      <c r="O56" s="86">
        <f t="shared" si="0"/>
        <v>5376</v>
      </c>
    </row>
    <row r="57" spans="1:15" ht="29.25">
      <c r="A57" s="278" t="s">
        <v>11</v>
      </c>
      <c r="B57" s="61" t="s">
        <v>162</v>
      </c>
      <c r="C57" s="514" t="s">
        <v>596</v>
      </c>
      <c r="D57" s="520"/>
      <c r="E57" s="514">
        <v>2</v>
      </c>
      <c r="F57" s="519" t="s">
        <v>531</v>
      </c>
      <c r="G57" s="514" t="s">
        <v>532</v>
      </c>
      <c r="H57" s="385" t="s">
        <v>597</v>
      </c>
      <c r="I57" s="514">
        <v>83426428</v>
      </c>
      <c r="J57" s="447" t="s">
        <v>154</v>
      </c>
      <c r="K57" s="401">
        <v>0.6</v>
      </c>
      <c r="L57" s="30">
        <f>254*12</f>
        <v>3048</v>
      </c>
      <c r="M57" s="46"/>
      <c r="N57" s="46"/>
      <c r="O57" s="86">
        <f t="shared" si="0"/>
        <v>3048</v>
      </c>
    </row>
    <row r="58" spans="1:15" ht="29.25">
      <c r="A58" s="278" t="s">
        <v>11</v>
      </c>
      <c r="B58" s="61" t="s">
        <v>162</v>
      </c>
      <c r="C58" s="514" t="s">
        <v>598</v>
      </c>
      <c r="D58" s="520"/>
      <c r="E58" s="514">
        <v>4</v>
      </c>
      <c r="F58" s="519" t="s">
        <v>531</v>
      </c>
      <c r="G58" s="514" t="s">
        <v>532</v>
      </c>
      <c r="H58" s="385" t="s">
        <v>599</v>
      </c>
      <c r="I58" s="514">
        <v>83425916</v>
      </c>
      <c r="J58" s="447" t="s">
        <v>154</v>
      </c>
      <c r="K58" s="401">
        <v>1</v>
      </c>
      <c r="L58" s="30">
        <f>378*12</f>
        <v>4536</v>
      </c>
      <c r="M58" s="46"/>
      <c r="N58" s="46"/>
      <c r="O58" s="86">
        <f t="shared" si="0"/>
        <v>4536</v>
      </c>
    </row>
    <row r="59" spans="1:15" ht="29.25">
      <c r="A59" s="278" t="s">
        <v>11</v>
      </c>
      <c r="B59" s="61" t="s">
        <v>162</v>
      </c>
      <c r="C59" s="514" t="s">
        <v>600</v>
      </c>
      <c r="D59" s="520"/>
      <c r="E59" s="514">
        <v>1</v>
      </c>
      <c r="F59" s="519" t="s">
        <v>531</v>
      </c>
      <c r="G59" s="514" t="s">
        <v>532</v>
      </c>
      <c r="H59" s="385" t="s">
        <v>601</v>
      </c>
      <c r="I59" s="514">
        <v>83426458</v>
      </c>
      <c r="J59" s="447" t="s">
        <v>154</v>
      </c>
      <c r="K59" s="401">
        <v>0.4</v>
      </c>
      <c r="L59" s="30">
        <f>249*12</f>
        <v>2988</v>
      </c>
      <c r="M59" s="46"/>
      <c r="N59" s="46"/>
      <c r="O59" s="86">
        <f t="shared" si="0"/>
        <v>2988</v>
      </c>
    </row>
    <row r="60" spans="1:15" ht="29.25">
      <c r="A60" s="278" t="s">
        <v>11</v>
      </c>
      <c r="B60" s="61" t="s">
        <v>162</v>
      </c>
      <c r="C60" s="514" t="s">
        <v>602</v>
      </c>
      <c r="D60" s="520"/>
      <c r="E60" s="514">
        <v>2</v>
      </c>
      <c r="F60" s="519" t="s">
        <v>531</v>
      </c>
      <c r="G60" s="514" t="s">
        <v>532</v>
      </c>
      <c r="H60" s="385" t="s">
        <v>603</v>
      </c>
      <c r="I60" s="514">
        <v>83426457</v>
      </c>
      <c r="J60" s="447" t="s">
        <v>154</v>
      </c>
      <c r="K60" s="401">
        <v>0.7</v>
      </c>
      <c r="L60" s="30">
        <f>377*12</f>
        <v>4524</v>
      </c>
      <c r="M60" s="46"/>
      <c r="N60" s="46"/>
      <c r="O60" s="86">
        <f t="shared" si="0"/>
        <v>4524</v>
      </c>
    </row>
    <row r="61" spans="1:15" ht="29.25">
      <c r="A61" s="278" t="s">
        <v>11</v>
      </c>
      <c r="B61" s="61" t="s">
        <v>162</v>
      </c>
      <c r="C61" s="514" t="s">
        <v>604</v>
      </c>
      <c r="D61" s="520"/>
      <c r="E61" s="514"/>
      <c r="F61" s="519" t="s">
        <v>531</v>
      </c>
      <c r="G61" s="514" t="s">
        <v>532</v>
      </c>
      <c r="H61" s="385" t="s">
        <v>605</v>
      </c>
      <c r="I61" s="514">
        <v>83425857</v>
      </c>
      <c r="J61" s="447" t="s">
        <v>154</v>
      </c>
      <c r="K61" s="401">
        <v>0.5</v>
      </c>
      <c r="L61" s="30">
        <f>241*12</f>
        <v>2892</v>
      </c>
      <c r="M61" s="46"/>
      <c r="N61" s="46"/>
      <c r="O61" s="86">
        <f t="shared" si="0"/>
        <v>2892</v>
      </c>
    </row>
    <row r="62" spans="1:15" ht="30.75">
      <c r="A62" s="278" t="s">
        <v>11</v>
      </c>
      <c r="B62" s="61" t="s">
        <v>162</v>
      </c>
      <c r="C62" s="520" t="s">
        <v>572</v>
      </c>
      <c r="D62" s="520"/>
      <c r="E62" s="514">
        <v>3</v>
      </c>
      <c r="F62" s="519" t="s">
        <v>531</v>
      </c>
      <c r="G62" s="514" t="s">
        <v>532</v>
      </c>
      <c r="H62" s="385" t="s">
        <v>606</v>
      </c>
      <c r="I62" s="514">
        <v>83426007</v>
      </c>
      <c r="J62" s="447" t="s">
        <v>154</v>
      </c>
      <c r="K62" s="401">
        <v>0.6</v>
      </c>
      <c r="L62" s="30">
        <f>268*12</f>
        <v>3216</v>
      </c>
      <c r="M62" s="46"/>
      <c r="N62" s="46"/>
      <c r="O62" s="86">
        <f t="shared" si="0"/>
        <v>3216</v>
      </c>
    </row>
    <row r="63" spans="1:15" ht="30.75">
      <c r="A63" s="278" t="s">
        <v>11</v>
      </c>
      <c r="B63" s="61" t="s">
        <v>162</v>
      </c>
      <c r="C63" s="520" t="s">
        <v>572</v>
      </c>
      <c r="D63" s="520"/>
      <c r="E63" s="514">
        <v>2</v>
      </c>
      <c r="F63" s="519" t="s">
        <v>531</v>
      </c>
      <c r="G63" s="514" t="s">
        <v>532</v>
      </c>
      <c r="H63" s="385" t="s">
        <v>607</v>
      </c>
      <c r="I63" s="514">
        <v>83426303</v>
      </c>
      <c r="J63" s="447" t="s">
        <v>154</v>
      </c>
      <c r="K63" s="401">
        <v>1</v>
      </c>
      <c r="L63" s="30">
        <f>367*12</f>
        <v>4404</v>
      </c>
      <c r="M63" s="46"/>
      <c r="N63" s="46"/>
      <c r="O63" s="86">
        <f t="shared" si="0"/>
        <v>4404</v>
      </c>
    </row>
    <row r="64" spans="1:15" ht="29.25">
      <c r="A64" s="278" t="s">
        <v>11</v>
      </c>
      <c r="B64" s="61" t="s">
        <v>162</v>
      </c>
      <c r="C64" s="514" t="s">
        <v>608</v>
      </c>
      <c r="D64" s="520"/>
      <c r="E64" s="514">
        <v>1</v>
      </c>
      <c r="F64" s="519" t="s">
        <v>531</v>
      </c>
      <c r="G64" s="514" t="s">
        <v>532</v>
      </c>
      <c r="H64" s="385" t="s">
        <v>609</v>
      </c>
      <c r="I64" s="514">
        <v>83425909</v>
      </c>
      <c r="J64" s="447" t="s">
        <v>154</v>
      </c>
      <c r="K64" s="401">
        <v>0.7</v>
      </c>
      <c r="L64" s="30">
        <f>40*12</f>
        <v>480</v>
      </c>
      <c r="M64" s="46"/>
      <c r="N64" s="46"/>
      <c r="O64" s="86">
        <f t="shared" si="0"/>
        <v>480</v>
      </c>
    </row>
    <row r="65" spans="1:15" ht="29.25">
      <c r="A65" s="278" t="s">
        <v>11</v>
      </c>
      <c r="B65" s="61" t="s">
        <v>162</v>
      </c>
      <c r="C65" s="514" t="s">
        <v>610</v>
      </c>
      <c r="D65" s="520"/>
      <c r="E65" s="514"/>
      <c r="F65" s="519" t="s">
        <v>531</v>
      </c>
      <c r="G65" s="514" t="s">
        <v>532</v>
      </c>
      <c r="H65" s="385" t="s">
        <v>611</v>
      </c>
      <c r="I65" s="514">
        <v>83426591</v>
      </c>
      <c r="J65" s="447" t="s">
        <v>154</v>
      </c>
      <c r="K65" s="401">
        <v>0.1</v>
      </c>
      <c r="L65" s="30">
        <f>476*12</f>
        <v>5712</v>
      </c>
      <c r="M65" s="46"/>
      <c r="N65" s="46"/>
      <c r="O65" s="86">
        <f t="shared" si="0"/>
        <v>5712</v>
      </c>
    </row>
    <row r="66" spans="1:15" ht="29.25">
      <c r="A66" s="278" t="s">
        <v>11</v>
      </c>
      <c r="B66" s="61" t="s">
        <v>162</v>
      </c>
      <c r="C66" s="514" t="s">
        <v>612</v>
      </c>
      <c r="D66" s="520"/>
      <c r="E66" s="514"/>
      <c r="F66" s="519" t="s">
        <v>531</v>
      </c>
      <c r="G66" s="514" t="s">
        <v>532</v>
      </c>
      <c r="H66" s="385" t="s">
        <v>613</v>
      </c>
      <c r="I66" s="514">
        <v>83426593</v>
      </c>
      <c r="J66" s="447" t="s">
        <v>154</v>
      </c>
      <c r="K66" s="401">
        <v>0.4</v>
      </c>
      <c r="L66" s="30">
        <f>199*12</f>
        <v>2388</v>
      </c>
      <c r="M66" s="46"/>
      <c r="N66" s="46"/>
      <c r="O66" s="86">
        <f t="shared" si="0"/>
        <v>2388</v>
      </c>
    </row>
    <row r="67" spans="1:15" ht="29.25">
      <c r="A67" s="278" t="s">
        <v>11</v>
      </c>
      <c r="B67" s="61" t="s">
        <v>162</v>
      </c>
      <c r="C67" s="514" t="s">
        <v>614</v>
      </c>
      <c r="D67" s="520"/>
      <c r="E67" s="514"/>
      <c r="F67" s="519" t="s">
        <v>531</v>
      </c>
      <c r="G67" s="514" t="s">
        <v>532</v>
      </c>
      <c r="H67" s="385" t="s">
        <v>615</v>
      </c>
      <c r="I67" s="514">
        <v>83426510</v>
      </c>
      <c r="J67" s="447" t="s">
        <v>154</v>
      </c>
      <c r="K67" s="401">
        <v>0.4</v>
      </c>
      <c r="L67" s="30">
        <f>185*12</f>
        <v>2220</v>
      </c>
      <c r="M67" s="46"/>
      <c r="N67" s="46"/>
      <c r="O67" s="86">
        <f t="shared" si="0"/>
        <v>2220</v>
      </c>
    </row>
    <row r="68" spans="1:15" ht="29.25">
      <c r="A68" s="278" t="s">
        <v>11</v>
      </c>
      <c r="B68" s="61" t="s">
        <v>162</v>
      </c>
      <c r="C68" s="514" t="s">
        <v>1339</v>
      </c>
      <c r="D68" s="520"/>
      <c r="E68" s="514">
        <v>1</v>
      </c>
      <c r="F68" s="519" t="s">
        <v>531</v>
      </c>
      <c r="G68" s="514" t="s">
        <v>532</v>
      </c>
      <c r="H68" s="385" t="s">
        <v>616</v>
      </c>
      <c r="I68" s="514">
        <v>83425917</v>
      </c>
      <c r="J68" s="447" t="s">
        <v>154</v>
      </c>
      <c r="K68" s="401">
        <v>1.1</v>
      </c>
      <c r="L68" s="30">
        <f>506*12</f>
        <v>6072</v>
      </c>
      <c r="M68" s="46"/>
      <c r="N68" s="46"/>
      <c r="O68" s="86">
        <f t="shared" si="0"/>
        <v>6072</v>
      </c>
    </row>
    <row r="69" spans="1:15" ht="29.25">
      <c r="A69" s="278" t="s">
        <v>11</v>
      </c>
      <c r="B69" s="61" t="s">
        <v>162</v>
      </c>
      <c r="C69" s="514" t="s">
        <v>617</v>
      </c>
      <c r="D69" s="520"/>
      <c r="E69" s="514">
        <v>2</v>
      </c>
      <c r="F69" s="519" t="s">
        <v>531</v>
      </c>
      <c r="G69" s="514" t="s">
        <v>532</v>
      </c>
      <c r="H69" s="385" t="s">
        <v>618</v>
      </c>
      <c r="I69" s="514">
        <v>83425894</v>
      </c>
      <c r="J69" s="447" t="s">
        <v>154</v>
      </c>
      <c r="K69" s="401">
        <v>0.6</v>
      </c>
      <c r="L69" s="30">
        <f>235*12</f>
        <v>2820</v>
      </c>
      <c r="M69" s="46"/>
      <c r="N69" s="46"/>
      <c r="O69" s="86">
        <f t="shared" si="0"/>
        <v>2820</v>
      </c>
    </row>
    <row r="70" spans="1:15" ht="29.25">
      <c r="A70" s="278" t="s">
        <v>11</v>
      </c>
      <c r="B70" s="61" t="s">
        <v>162</v>
      </c>
      <c r="C70" s="514" t="s">
        <v>619</v>
      </c>
      <c r="D70" s="520"/>
      <c r="E70" s="514">
        <v>1</v>
      </c>
      <c r="F70" s="519" t="s">
        <v>531</v>
      </c>
      <c r="G70" s="514" t="s">
        <v>532</v>
      </c>
      <c r="H70" s="385" t="s">
        <v>620</v>
      </c>
      <c r="I70" s="514">
        <v>83426568</v>
      </c>
      <c r="J70" s="447" t="s">
        <v>154</v>
      </c>
      <c r="K70" s="401">
        <v>1.2</v>
      </c>
      <c r="L70" s="30">
        <f>517*12</f>
        <v>6204</v>
      </c>
      <c r="M70" s="46"/>
      <c r="N70" s="46"/>
      <c r="O70" s="86">
        <f t="shared" si="0"/>
        <v>6204</v>
      </c>
    </row>
    <row r="71" spans="1:15" ht="29.25">
      <c r="A71" s="278" t="s">
        <v>11</v>
      </c>
      <c r="B71" s="61" t="s">
        <v>162</v>
      </c>
      <c r="C71" s="514" t="s">
        <v>619</v>
      </c>
      <c r="D71" s="520"/>
      <c r="E71" s="514">
        <v>5</v>
      </c>
      <c r="F71" s="519" t="s">
        <v>531</v>
      </c>
      <c r="G71" s="514" t="s">
        <v>532</v>
      </c>
      <c r="H71" s="385" t="s">
        <v>621</v>
      </c>
      <c r="I71" s="514">
        <v>83426559</v>
      </c>
      <c r="J71" s="447" t="s">
        <v>154</v>
      </c>
      <c r="K71" s="401">
        <v>0.7</v>
      </c>
      <c r="L71" s="30">
        <f>409*12</f>
        <v>4908</v>
      </c>
      <c r="M71" s="46"/>
      <c r="N71" s="46"/>
      <c r="O71" s="86">
        <f t="shared" si="0"/>
        <v>4908</v>
      </c>
    </row>
    <row r="72" spans="1:15" ht="29.25">
      <c r="A72" s="278" t="s">
        <v>11</v>
      </c>
      <c r="B72" s="61" t="s">
        <v>162</v>
      </c>
      <c r="C72" s="514" t="s">
        <v>619</v>
      </c>
      <c r="D72" s="520"/>
      <c r="E72" s="514">
        <v>4</v>
      </c>
      <c r="F72" s="519" t="s">
        <v>531</v>
      </c>
      <c r="G72" s="514" t="s">
        <v>532</v>
      </c>
      <c r="H72" s="385" t="s">
        <v>622</v>
      </c>
      <c r="I72" s="514">
        <v>83426566</v>
      </c>
      <c r="J72" s="447" t="s">
        <v>154</v>
      </c>
      <c r="K72" s="401">
        <v>1.6</v>
      </c>
      <c r="L72" s="30">
        <f>379*12</f>
        <v>4548</v>
      </c>
      <c r="M72" s="46"/>
      <c r="N72" s="46"/>
      <c r="O72" s="86">
        <f t="shared" si="0"/>
        <v>4548</v>
      </c>
    </row>
    <row r="73" spans="1:15" ht="30.75">
      <c r="A73" s="278" t="s">
        <v>11</v>
      </c>
      <c r="B73" s="61" t="s">
        <v>162</v>
      </c>
      <c r="C73" s="520" t="s">
        <v>623</v>
      </c>
      <c r="D73" s="520"/>
      <c r="E73" s="514"/>
      <c r="F73" s="519" t="s">
        <v>531</v>
      </c>
      <c r="G73" s="514" t="s">
        <v>532</v>
      </c>
      <c r="H73" s="385" t="s">
        <v>624</v>
      </c>
      <c r="I73" s="514">
        <v>83426558</v>
      </c>
      <c r="J73" s="447" t="s">
        <v>154</v>
      </c>
      <c r="K73" s="401">
        <v>2.2</v>
      </c>
      <c r="L73" s="30">
        <f>177*12</f>
        <v>2124</v>
      </c>
      <c r="M73" s="46"/>
      <c r="N73" s="46"/>
      <c r="O73" s="86">
        <f t="shared" si="0"/>
        <v>2124</v>
      </c>
    </row>
    <row r="74" spans="1:15" ht="29.25">
      <c r="A74" s="278" t="s">
        <v>11</v>
      </c>
      <c r="B74" s="61" t="s">
        <v>162</v>
      </c>
      <c r="C74" s="514" t="s">
        <v>625</v>
      </c>
      <c r="D74" s="520"/>
      <c r="E74" s="514">
        <v>2</v>
      </c>
      <c r="F74" s="519" t="s">
        <v>531</v>
      </c>
      <c r="G74" s="514" t="s">
        <v>532</v>
      </c>
      <c r="H74" s="385" t="s">
        <v>626</v>
      </c>
      <c r="I74" s="514">
        <v>83426452</v>
      </c>
      <c r="J74" s="447" t="s">
        <v>154</v>
      </c>
      <c r="K74" s="401">
        <v>0.8</v>
      </c>
      <c r="L74" s="30">
        <f>346*12</f>
        <v>4152</v>
      </c>
      <c r="M74" s="46"/>
      <c r="N74" s="46"/>
      <c r="O74" s="86">
        <f t="shared" si="0"/>
        <v>4152</v>
      </c>
    </row>
    <row r="75" spans="1:15" ht="29.25">
      <c r="A75" s="278" t="s">
        <v>11</v>
      </c>
      <c r="B75" s="61" t="s">
        <v>162</v>
      </c>
      <c r="C75" s="514" t="s">
        <v>594</v>
      </c>
      <c r="D75" s="520"/>
      <c r="E75" s="514"/>
      <c r="F75" s="519" t="s">
        <v>531</v>
      </c>
      <c r="G75" s="514" t="s">
        <v>532</v>
      </c>
      <c r="H75" s="385" t="s">
        <v>627</v>
      </c>
      <c r="I75" s="514">
        <v>83426012</v>
      </c>
      <c r="J75" s="447" t="s">
        <v>154</v>
      </c>
      <c r="K75" s="401">
        <v>1</v>
      </c>
      <c r="L75" s="30">
        <f>504*12</f>
        <v>6048</v>
      </c>
      <c r="M75" s="46"/>
      <c r="N75" s="46"/>
      <c r="O75" s="86">
        <f t="shared" si="0"/>
        <v>6048</v>
      </c>
    </row>
    <row r="76" spans="1:15" ht="29.25">
      <c r="A76" s="278" t="s">
        <v>11</v>
      </c>
      <c r="B76" s="61" t="s">
        <v>162</v>
      </c>
      <c r="C76" s="514" t="s">
        <v>628</v>
      </c>
      <c r="D76" s="520"/>
      <c r="E76" s="514">
        <v>1</v>
      </c>
      <c r="F76" s="519" t="s">
        <v>531</v>
      </c>
      <c r="G76" s="514" t="s">
        <v>532</v>
      </c>
      <c r="H76" s="385" t="s">
        <v>629</v>
      </c>
      <c r="I76" s="514">
        <v>83426466</v>
      </c>
      <c r="J76" s="447" t="s">
        <v>154</v>
      </c>
      <c r="K76" s="401">
        <v>0.7</v>
      </c>
      <c r="L76" s="30">
        <f>304*12</f>
        <v>3648</v>
      </c>
      <c r="M76" s="46"/>
      <c r="N76" s="46"/>
      <c r="O76" s="86">
        <f t="shared" si="0"/>
        <v>3648</v>
      </c>
    </row>
    <row r="77" spans="1:15" ht="29.25">
      <c r="A77" s="278" t="s">
        <v>11</v>
      </c>
      <c r="B77" s="61" t="s">
        <v>162</v>
      </c>
      <c r="C77" s="514" t="s">
        <v>596</v>
      </c>
      <c r="D77" s="520"/>
      <c r="E77" s="514">
        <v>3</v>
      </c>
      <c r="F77" s="519" t="s">
        <v>531</v>
      </c>
      <c r="G77" s="514" t="s">
        <v>532</v>
      </c>
      <c r="H77" s="385" t="s">
        <v>630</v>
      </c>
      <c r="I77" s="514">
        <v>83425883</v>
      </c>
      <c r="J77" s="447" t="s">
        <v>154</v>
      </c>
      <c r="K77" s="401">
        <v>1</v>
      </c>
      <c r="L77" s="30">
        <f>304*12</f>
        <v>3648</v>
      </c>
      <c r="M77" s="46"/>
      <c r="N77" s="46"/>
      <c r="O77" s="86">
        <f t="shared" si="0"/>
        <v>3648</v>
      </c>
    </row>
    <row r="78" spans="1:15" ht="29.25">
      <c r="A78" s="278" t="s">
        <v>11</v>
      </c>
      <c r="B78" s="61" t="s">
        <v>162</v>
      </c>
      <c r="C78" s="514" t="s">
        <v>608</v>
      </c>
      <c r="D78" s="520"/>
      <c r="E78" s="514">
        <v>2</v>
      </c>
      <c r="F78" s="519" t="s">
        <v>531</v>
      </c>
      <c r="G78" s="514" t="s">
        <v>532</v>
      </c>
      <c r="H78" s="385" t="s">
        <v>631</v>
      </c>
      <c r="I78" s="514">
        <v>83426567</v>
      </c>
      <c r="J78" s="447" t="s">
        <v>154</v>
      </c>
      <c r="K78" s="401">
        <v>0.6</v>
      </c>
      <c r="L78" s="30">
        <f>69*12</f>
        <v>828</v>
      </c>
      <c r="M78" s="46"/>
      <c r="N78" s="46"/>
      <c r="O78" s="86">
        <f t="shared" si="0"/>
        <v>828</v>
      </c>
    </row>
    <row r="79" spans="1:15" ht="29.25">
      <c r="A79" s="278" t="s">
        <v>11</v>
      </c>
      <c r="B79" s="61" t="s">
        <v>162</v>
      </c>
      <c r="C79" s="514" t="s">
        <v>608</v>
      </c>
      <c r="D79" s="520"/>
      <c r="E79" s="514">
        <v>3</v>
      </c>
      <c r="F79" s="519" t="s">
        <v>531</v>
      </c>
      <c r="G79" s="514" t="s">
        <v>532</v>
      </c>
      <c r="H79" s="385" t="s">
        <v>632</v>
      </c>
      <c r="I79" s="514">
        <v>83425876</v>
      </c>
      <c r="J79" s="447" t="s">
        <v>154</v>
      </c>
      <c r="K79" s="401">
        <v>0.6</v>
      </c>
      <c r="L79" s="30">
        <f>189*12</f>
        <v>2268</v>
      </c>
      <c r="M79" s="46"/>
      <c r="N79" s="46"/>
      <c r="O79" s="86">
        <f t="shared" si="0"/>
        <v>2268</v>
      </c>
    </row>
    <row r="80" spans="1:15" ht="29.25">
      <c r="A80" s="278" t="s">
        <v>11</v>
      </c>
      <c r="B80" s="61" t="s">
        <v>162</v>
      </c>
      <c r="C80" s="514" t="s">
        <v>619</v>
      </c>
      <c r="D80" s="520"/>
      <c r="E80" s="514">
        <v>3</v>
      </c>
      <c r="F80" s="519" t="s">
        <v>531</v>
      </c>
      <c r="G80" s="514" t="s">
        <v>532</v>
      </c>
      <c r="H80" s="385" t="s">
        <v>633</v>
      </c>
      <c r="I80" s="514">
        <v>83426410</v>
      </c>
      <c r="J80" s="447" t="s">
        <v>154</v>
      </c>
      <c r="K80" s="401">
        <v>1.2</v>
      </c>
      <c r="L80" s="30">
        <f>79*12</f>
        <v>948</v>
      </c>
      <c r="M80" s="46"/>
      <c r="N80" s="46"/>
      <c r="O80" s="86">
        <f t="shared" si="0"/>
        <v>948</v>
      </c>
    </row>
    <row r="81" spans="1:15" ht="29.25">
      <c r="A81" s="278" t="s">
        <v>11</v>
      </c>
      <c r="B81" s="61" t="s">
        <v>162</v>
      </c>
      <c r="C81" s="514" t="s">
        <v>634</v>
      </c>
      <c r="D81" s="520"/>
      <c r="E81" s="514">
        <v>1</v>
      </c>
      <c r="F81" s="519" t="s">
        <v>531</v>
      </c>
      <c r="G81" s="514" t="s">
        <v>532</v>
      </c>
      <c r="H81" s="385" t="s">
        <v>635</v>
      </c>
      <c r="I81" s="514">
        <v>83426031</v>
      </c>
      <c r="J81" s="447" t="s">
        <v>154</v>
      </c>
      <c r="K81" s="401">
        <v>0.5</v>
      </c>
      <c r="L81" s="30">
        <f>10*12</f>
        <v>120</v>
      </c>
      <c r="M81" s="46"/>
      <c r="N81" s="46"/>
      <c r="O81" s="86">
        <f t="shared" si="0"/>
        <v>120</v>
      </c>
    </row>
    <row r="82" spans="1:15" ht="29.25">
      <c r="A82" s="278" t="s">
        <v>11</v>
      </c>
      <c r="B82" s="61" t="s">
        <v>162</v>
      </c>
      <c r="C82" s="514" t="s">
        <v>625</v>
      </c>
      <c r="D82" s="520"/>
      <c r="E82" s="514">
        <v>1</v>
      </c>
      <c r="F82" s="519" t="s">
        <v>531</v>
      </c>
      <c r="G82" s="514" t="s">
        <v>532</v>
      </c>
      <c r="H82" s="385" t="s">
        <v>636</v>
      </c>
      <c r="I82" s="514">
        <v>83425901</v>
      </c>
      <c r="J82" s="447" t="s">
        <v>154</v>
      </c>
      <c r="K82" s="401">
        <v>0.6</v>
      </c>
      <c r="L82" s="30">
        <v>3634</v>
      </c>
      <c r="M82" s="46"/>
      <c r="N82" s="46"/>
      <c r="O82" s="86">
        <f t="shared" si="0"/>
        <v>3634</v>
      </c>
    </row>
    <row r="83" spans="1:15" ht="29.25">
      <c r="A83" s="278" t="s">
        <v>11</v>
      </c>
      <c r="B83" s="61" t="s">
        <v>162</v>
      </c>
      <c r="C83" s="514" t="s">
        <v>634</v>
      </c>
      <c r="D83" s="520"/>
      <c r="E83" s="514"/>
      <c r="F83" s="519" t="s">
        <v>531</v>
      </c>
      <c r="G83" s="514" t="s">
        <v>532</v>
      </c>
      <c r="H83" s="385" t="s">
        <v>637</v>
      </c>
      <c r="I83" s="514">
        <v>83426071</v>
      </c>
      <c r="J83" s="448" t="s">
        <v>154</v>
      </c>
      <c r="K83" s="401">
        <v>0.5</v>
      </c>
      <c r="L83" s="30">
        <f>174*12</f>
        <v>2088</v>
      </c>
      <c r="M83" s="46"/>
      <c r="N83" s="46"/>
      <c r="O83" s="86">
        <f t="shared" si="0"/>
        <v>2088</v>
      </c>
    </row>
    <row r="84" spans="1:15" ht="29.25">
      <c r="A84" s="278" t="s">
        <v>11</v>
      </c>
      <c r="B84" s="61" t="s">
        <v>162</v>
      </c>
      <c r="C84" s="514" t="s">
        <v>634</v>
      </c>
      <c r="D84" s="520"/>
      <c r="E84" s="514">
        <v>1</v>
      </c>
      <c r="F84" s="519" t="s">
        <v>531</v>
      </c>
      <c r="G84" s="514" t="s">
        <v>532</v>
      </c>
      <c r="H84" s="385" t="s">
        <v>638</v>
      </c>
      <c r="I84" s="514">
        <v>83426606</v>
      </c>
      <c r="J84" s="448" t="s">
        <v>154</v>
      </c>
      <c r="K84" s="401">
        <v>0.6</v>
      </c>
      <c r="L84" s="30">
        <f>211*12</f>
        <v>2532</v>
      </c>
      <c r="M84" s="450"/>
      <c r="N84" s="46"/>
      <c r="O84" s="86">
        <f t="shared" si="0"/>
        <v>2532</v>
      </c>
    </row>
    <row r="85" spans="1:15" ht="29.25">
      <c r="A85" s="278" t="s">
        <v>11</v>
      </c>
      <c r="B85" s="61" t="s">
        <v>162</v>
      </c>
      <c r="C85" s="514" t="s">
        <v>619</v>
      </c>
      <c r="D85" s="520"/>
      <c r="E85" s="514">
        <v>2</v>
      </c>
      <c r="F85" s="519" t="s">
        <v>531</v>
      </c>
      <c r="G85" s="514" t="s">
        <v>532</v>
      </c>
      <c r="H85" s="385" t="s">
        <v>639</v>
      </c>
      <c r="I85" s="514">
        <v>83425820</v>
      </c>
      <c r="J85" s="448" t="s">
        <v>154</v>
      </c>
      <c r="K85" s="401">
        <v>0.5</v>
      </c>
      <c r="L85" s="30">
        <f>91*12</f>
        <v>1092</v>
      </c>
      <c r="M85" s="46"/>
      <c r="N85" s="46"/>
      <c r="O85" s="86">
        <f t="shared" si="0"/>
        <v>1092</v>
      </c>
    </row>
    <row r="86" spans="1:15" ht="29.25">
      <c r="A86" s="278" t="s">
        <v>11</v>
      </c>
      <c r="B86" s="61" t="s">
        <v>162</v>
      </c>
      <c r="C86" s="514" t="s">
        <v>640</v>
      </c>
      <c r="D86" s="520"/>
      <c r="E86" s="514"/>
      <c r="F86" s="519" t="s">
        <v>531</v>
      </c>
      <c r="G86" s="514" t="s">
        <v>532</v>
      </c>
      <c r="H86" s="385" t="s">
        <v>641</v>
      </c>
      <c r="I86" s="514">
        <v>83426395</v>
      </c>
      <c r="J86" s="448" t="s">
        <v>154</v>
      </c>
      <c r="K86" s="401">
        <v>1</v>
      </c>
      <c r="L86" s="30">
        <f>183*11</f>
        <v>2013</v>
      </c>
      <c r="M86" s="46"/>
      <c r="N86" s="46"/>
      <c r="O86" s="86">
        <f t="shared" si="0"/>
        <v>2013</v>
      </c>
    </row>
    <row r="87" spans="1:15" ht="29.25">
      <c r="A87" s="278" t="s">
        <v>11</v>
      </c>
      <c r="B87" s="61" t="s">
        <v>162</v>
      </c>
      <c r="C87" s="514" t="s">
        <v>642</v>
      </c>
      <c r="D87" s="520"/>
      <c r="E87" s="514"/>
      <c r="F87" s="519" t="s">
        <v>531</v>
      </c>
      <c r="G87" s="514" t="s">
        <v>532</v>
      </c>
      <c r="H87" s="385" t="s">
        <v>643</v>
      </c>
      <c r="I87" s="514">
        <v>83426132</v>
      </c>
      <c r="J87" s="447" t="s">
        <v>154</v>
      </c>
      <c r="K87" s="401">
        <v>2.2</v>
      </c>
      <c r="L87" s="13">
        <f>59*12</f>
        <v>708</v>
      </c>
      <c r="M87" s="46"/>
      <c r="N87" s="46"/>
      <c r="O87" s="86">
        <f aca="true" t="shared" si="1" ref="O87:O96">L87</f>
        <v>708</v>
      </c>
    </row>
    <row r="88" spans="1:15" ht="29.25">
      <c r="A88" s="278" t="s">
        <v>11</v>
      </c>
      <c r="B88" s="61" t="s">
        <v>162</v>
      </c>
      <c r="C88" s="514" t="s">
        <v>580</v>
      </c>
      <c r="D88" s="520"/>
      <c r="E88" s="514"/>
      <c r="F88" s="519" t="s">
        <v>531</v>
      </c>
      <c r="G88" s="514" t="s">
        <v>532</v>
      </c>
      <c r="H88" s="385" t="s">
        <v>644</v>
      </c>
      <c r="I88" s="514">
        <v>83426434</v>
      </c>
      <c r="J88" s="447" t="s">
        <v>154</v>
      </c>
      <c r="K88" s="401">
        <v>2.2</v>
      </c>
      <c r="L88" s="13">
        <f>40*12</f>
        <v>480</v>
      </c>
      <c r="M88" s="46"/>
      <c r="N88" s="46"/>
      <c r="O88" s="86">
        <f t="shared" si="1"/>
        <v>480</v>
      </c>
    </row>
    <row r="89" spans="1:15" ht="29.25">
      <c r="A89" s="277" t="s">
        <v>11</v>
      </c>
      <c r="B89" s="186" t="s">
        <v>12</v>
      </c>
      <c r="C89" s="516" t="s">
        <v>634</v>
      </c>
      <c r="D89" s="521"/>
      <c r="E89" s="516"/>
      <c r="F89" s="522" t="s">
        <v>531</v>
      </c>
      <c r="G89" s="523" t="s">
        <v>532</v>
      </c>
      <c r="H89" s="385" t="s">
        <v>1806</v>
      </c>
      <c r="I89" s="515">
        <v>70958228</v>
      </c>
      <c r="J89" s="447" t="s">
        <v>154</v>
      </c>
      <c r="K89" s="408">
        <v>7</v>
      </c>
      <c r="L89" s="13">
        <f>1192*12</f>
        <v>14304</v>
      </c>
      <c r="M89" s="46"/>
      <c r="N89" s="46"/>
      <c r="O89" s="86">
        <f t="shared" si="1"/>
        <v>14304</v>
      </c>
    </row>
    <row r="90" spans="1:15" ht="29.25">
      <c r="A90" s="278" t="s">
        <v>11</v>
      </c>
      <c r="B90" s="186" t="s">
        <v>12</v>
      </c>
      <c r="C90" s="516" t="s">
        <v>532</v>
      </c>
      <c r="D90" s="521"/>
      <c r="E90" s="516"/>
      <c r="F90" s="519" t="s">
        <v>531</v>
      </c>
      <c r="G90" s="514" t="s">
        <v>532</v>
      </c>
      <c r="H90" s="385" t="s">
        <v>1807</v>
      </c>
      <c r="I90" s="516">
        <v>129356</v>
      </c>
      <c r="J90" s="447" t="s">
        <v>154</v>
      </c>
      <c r="K90" s="401">
        <v>0.3</v>
      </c>
      <c r="L90" s="13">
        <f>83*12</f>
        <v>996</v>
      </c>
      <c r="M90" s="46"/>
      <c r="N90" s="46"/>
      <c r="O90" s="86">
        <f t="shared" si="1"/>
        <v>996</v>
      </c>
    </row>
    <row r="91" spans="1:15" ht="36" customHeight="1">
      <c r="A91" s="278" t="s">
        <v>11</v>
      </c>
      <c r="B91" s="61" t="s">
        <v>162</v>
      </c>
      <c r="C91" s="516" t="s">
        <v>1799</v>
      </c>
      <c r="D91" s="521"/>
      <c r="E91" s="516"/>
      <c r="F91" s="522" t="s">
        <v>531</v>
      </c>
      <c r="G91" s="523" t="s">
        <v>532</v>
      </c>
      <c r="H91" s="385" t="s">
        <v>1800</v>
      </c>
      <c r="I91" s="516">
        <v>1382668</v>
      </c>
      <c r="J91" s="157" t="s">
        <v>154</v>
      </c>
      <c r="K91" s="401">
        <v>4</v>
      </c>
      <c r="L91" s="13">
        <f>645*12</f>
        <v>7740</v>
      </c>
      <c r="M91" s="46"/>
      <c r="N91" s="46"/>
      <c r="O91" s="86">
        <f t="shared" si="1"/>
        <v>7740</v>
      </c>
    </row>
    <row r="92" spans="1:15" ht="37.5" customHeight="1">
      <c r="A92" s="278" t="s">
        <v>11</v>
      </c>
      <c r="B92" s="186" t="s">
        <v>12</v>
      </c>
      <c r="C92" s="516" t="s">
        <v>1801</v>
      </c>
      <c r="D92" s="521"/>
      <c r="E92" s="516"/>
      <c r="F92" s="519" t="s">
        <v>531</v>
      </c>
      <c r="G92" s="514" t="s">
        <v>532</v>
      </c>
      <c r="H92" s="385" t="s">
        <v>1802</v>
      </c>
      <c r="I92" s="516">
        <v>1398821</v>
      </c>
      <c r="J92" s="157" t="s">
        <v>154</v>
      </c>
      <c r="K92" s="401">
        <v>0.8</v>
      </c>
      <c r="L92" s="13">
        <f>103*12</f>
        <v>1236</v>
      </c>
      <c r="M92" s="46"/>
      <c r="N92" s="46"/>
      <c r="O92" s="86">
        <f t="shared" si="1"/>
        <v>1236</v>
      </c>
    </row>
    <row r="93" spans="1:15" ht="36.75" customHeight="1">
      <c r="A93" s="278" t="s">
        <v>11</v>
      </c>
      <c r="B93" s="186" t="s">
        <v>12</v>
      </c>
      <c r="C93" s="516" t="s">
        <v>625</v>
      </c>
      <c r="D93" s="521"/>
      <c r="E93" s="516"/>
      <c r="F93" s="522" t="s">
        <v>531</v>
      </c>
      <c r="G93" s="523" t="s">
        <v>532</v>
      </c>
      <c r="H93" s="385" t="s">
        <v>1803</v>
      </c>
      <c r="I93" s="516">
        <v>249421</v>
      </c>
      <c r="J93" s="157" t="s">
        <v>154</v>
      </c>
      <c r="K93" s="401">
        <v>1.1</v>
      </c>
      <c r="L93" s="13">
        <f>322*12</f>
        <v>3864</v>
      </c>
      <c r="M93" s="46"/>
      <c r="N93" s="46"/>
      <c r="O93" s="86">
        <f t="shared" si="1"/>
        <v>3864</v>
      </c>
    </row>
    <row r="94" spans="1:15" ht="36.75" customHeight="1">
      <c r="A94" s="278" t="s">
        <v>11</v>
      </c>
      <c r="B94" s="186" t="s">
        <v>12</v>
      </c>
      <c r="C94" s="516" t="s">
        <v>569</v>
      </c>
      <c r="D94" s="521"/>
      <c r="E94" s="516"/>
      <c r="F94" s="519" t="s">
        <v>531</v>
      </c>
      <c r="G94" s="514" t="s">
        <v>532</v>
      </c>
      <c r="H94" s="385" t="s">
        <v>1804</v>
      </c>
      <c r="I94" s="516">
        <v>83292202</v>
      </c>
      <c r="J94" s="157" t="s">
        <v>154</v>
      </c>
      <c r="K94" s="401">
        <v>1.2</v>
      </c>
      <c r="L94" s="13">
        <f>656*12</f>
        <v>7872</v>
      </c>
      <c r="M94" s="46"/>
      <c r="N94" s="46"/>
      <c r="O94" s="86">
        <f t="shared" si="1"/>
        <v>7872</v>
      </c>
    </row>
    <row r="95" spans="1:15" ht="36.75" customHeight="1">
      <c r="A95" s="278" t="s">
        <v>11</v>
      </c>
      <c r="B95" s="409" t="s">
        <v>12</v>
      </c>
      <c r="C95" s="524" t="s">
        <v>532</v>
      </c>
      <c r="D95" s="515" t="s">
        <v>409</v>
      </c>
      <c r="E95" s="515"/>
      <c r="F95" s="517" t="s">
        <v>531</v>
      </c>
      <c r="G95" s="517" t="s">
        <v>532</v>
      </c>
      <c r="H95" s="385" t="s">
        <v>1805</v>
      </c>
      <c r="I95" s="517">
        <v>83426045</v>
      </c>
      <c r="J95" s="157" t="s">
        <v>154</v>
      </c>
      <c r="K95" s="339">
        <v>1</v>
      </c>
      <c r="L95" s="13">
        <f>165*12</f>
        <v>1980</v>
      </c>
      <c r="M95" s="46"/>
      <c r="N95" s="46"/>
      <c r="O95" s="86">
        <f t="shared" si="1"/>
        <v>1980</v>
      </c>
    </row>
    <row r="96" spans="1:15" ht="36.75" customHeight="1" thickBot="1">
      <c r="A96" s="278" t="s">
        <v>11</v>
      </c>
      <c r="B96" s="187" t="s">
        <v>12</v>
      </c>
      <c r="C96" s="515" t="s">
        <v>581</v>
      </c>
      <c r="D96" s="525"/>
      <c r="E96" s="515"/>
      <c r="F96" s="646" t="s">
        <v>531</v>
      </c>
      <c r="G96" s="647" t="s">
        <v>532</v>
      </c>
      <c r="H96" s="386" t="s">
        <v>1985</v>
      </c>
      <c r="I96" s="53">
        <v>1401630</v>
      </c>
      <c r="J96" s="273" t="s">
        <v>154</v>
      </c>
      <c r="K96" s="401">
        <v>1</v>
      </c>
      <c r="L96" s="54">
        <f>159*12</f>
        <v>1908</v>
      </c>
      <c r="M96" s="55"/>
      <c r="N96" s="55"/>
      <c r="O96" s="86">
        <f t="shared" si="1"/>
        <v>1908</v>
      </c>
    </row>
    <row r="97" spans="2:15" ht="15">
      <c r="B97" s="590" t="s">
        <v>155</v>
      </c>
      <c r="C97" s="591" t="s">
        <v>1983</v>
      </c>
      <c r="D97" s="557"/>
      <c r="E97" s="592"/>
      <c r="F97" s="648"/>
      <c r="G97" s="649" t="s">
        <v>1998</v>
      </c>
      <c r="H97" s="35" t="s">
        <v>2003</v>
      </c>
      <c r="L97" s="2"/>
      <c r="M97" s="2"/>
      <c r="N97" s="54" t="s">
        <v>156</v>
      </c>
      <c r="O97" s="358">
        <f>SUM(O18:O96)</f>
        <v>374517</v>
      </c>
    </row>
    <row r="98" spans="2:8" ht="15">
      <c r="B98" s="296"/>
      <c r="C98" s="593" t="s">
        <v>645</v>
      </c>
      <c r="D98" s="559"/>
      <c r="E98" s="592"/>
      <c r="F98" s="650"/>
      <c r="G98" s="77"/>
      <c r="H98" s="582" t="s">
        <v>645</v>
      </c>
    </row>
    <row r="99" spans="2:8" ht="15.75" thickBot="1">
      <c r="B99" s="296"/>
      <c r="C99" s="593" t="s">
        <v>646</v>
      </c>
      <c r="D99" s="559"/>
      <c r="E99" s="594"/>
      <c r="F99" s="651"/>
      <c r="G99" s="78"/>
      <c r="H99" s="583" t="s">
        <v>646</v>
      </c>
    </row>
    <row r="100" spans="2:14" ht="15">
      <c r="B100" s="296" t="s">
        <v>1689</v>
      </c>
      <c r="C100" s="297">
        <v>8222147162</v>
      </c>
      <c r="D100" s="559"/>
      <c r="E100" s="594"/>
      <c r="F100" s="594"/>
      <c r="G100" s="594"/>
      <c r="H100" s="594"/>
      <c r="M100" s="2"/>
      <c r="N100" s="2"/>
    </row>
    <row r="101" spans="2:14" ht="15.75" thickBot="1">
      <c r="B101" s="240" t="s">
        <v>1693</v>
      </c>
      <c r="C101" s="72" t="s">
        <v>1984</v>
      </c>
      <c r="D101" s="42"/>
      <c r="E101" s="594"/>
      <c r="F101" s="594"/>
      <c r="G101" s="594"/>
      <c r="H101" s="594"/>
      <c r="M101" s="2"/>
      <c r="N101" s="2"/>
    </row>
    <row r="102" spans="2:14" ht="15">
      <c r="B102" s="281"/>
      <c r="C102" s="69"/>
      <c r="D102" s="69"/>
      <c r="M102" s="2"/>
      <c r="N102" s="2"/>
    </row>
    <row r="103" spans="2:14" ht="15.75" thickBot="1">
      <c r="B103" s="294"/>
      <c r="C103" s="297"/>
      <c r="D103" s="293"/>
      <c r="F103" s="31"/>
      <c r="G103" s="31"/>
      <c r="H103" s="31"/>
      <c r="I103" s="31"/>
      <c r="J103" s="31"/>
      <c r="K103" s="31"/>
      <c r="M103" s="2"/>
      <c r="N103" s="2"/>
    </row>
    <row r="104" spans="6:15" ht="48.75" customHeight="1">
      <c r="F104" s="31"/>
      <c r="G104" s="171"/>
      <c r="I104" s="171"/>
      <c r="J104" s="238"/>
      <c r="K104" s="707" t="s">
        <v>157</v>
      </c>
      <c r="L104" s="702" t="s">
        <v>1034</v>
      </c>
      <c r="M104" s="703"/>
      <c r="N104" s="704"/>
      <c r="O104" s="713" t="s">
        <v>158</v>
      </c>
    </row>
    <row r="105" spans="2:15" ht="23.25" customHeight="1" thickBot="1">
      <c r="B105" s="69"/>
      <c r="F105" s="31"/>
      <c r="G105" s="171"/>
      <c r="I105" s="234"/>
      <c r="J105" s="238"/>
      <c r="K105" s="709"/>
      <c r="L105" s="130" t="s">
        <v>159</v>
      </c>
      <c r="M105" s="130" t="s">
        <v>1035</v>
      </c>
      <c r="N105" s="130" t="s">
        <v>1036</v>
      </c>
      <c r="O105" s="714"/>
    </row>
    <row r="106" spans="2:15" ht="20.25" customHeight="1">
      <c r="B106" s="69"/>
      <c r="F106" s="31"/>
      <c r="G106" s="171"/>
      <c r="I106" s="234"/>
      <c r="J106" s="238"/>
      <c r="K106" s="341" t="s">
        <v>154</v>
      </c>
      <c r="L106" s="451">
        <f>SUM(O19,O20,O22:O96)</f>
        <v>359803</v>
      </c>
      <c r="M106" s="181"/>
      <c r="N106" s="452"/>
      <c r="O106" s="449">
        <v>77</v>
      </c>
    </row>
    <row r="107" spans="1:15" ht="20.25" customHeight="1" thickBot="1">
      <c r="A107" s="87"/>
      <c r="F107" s="31"/>
      <c r="G107" s="244"/>
      <c r="I107" s="236"/>
      <c r="J107" s="31"/>
      <c r="K107" s="168" t="s">
        <v>16</v>
      </c>
      <c r="L107" s="184"/>
      <c r="M107" s="103">
        <f>M18+M21</f>
        <v>2838</v>
      </c>
      <c r="N107" s="342">
        <f>N18+N21</f>
        <v>11876</v>
      </c>
      <c r="O107" s="343">
        <v>2</v>
      </c>
    </row>
    <row r="108" spans="6:15" ht="20.25" customHeight="1" thickBot="1">
      <c r="F108" s="31"/>
      <c r="G108" s="149"/>
      <c r="I108" s="156"/>
      <c r="J108" s="31"/>
      <c r="K108" s="16" t="s">
        <v>160</v>
      </c>
      <c r="L108" s="453">
        <f>L106</f>
        <v>359803</v>
      </c>
      <c r="M108" s="454">
        <f>SUM(M106:M107)</f>
        <v>2838</v>
      </c>
      <c r="N108" s="455">
        <f>SUM(N106:N107)</f>
        <v>11876</v>
      </c>
      <c r="O108" s="344">
        <f>SUM(O106:O107)</f>
        <v>79</v>
      </c>
    </row>
    <row r="109" spans="6:13" ht="18.75" thickBot="1">
      <c r="F109" s="31"/>
      <c r="G109" s="31"/>
      <c r="H109" s="237"/>
      <c r="I109" s="31"/>
      <c r="J109" s="31"/>
      <c r="L109" s="59" t="s">
        <v>161</v>
      </c>
      <c r="M109" s="345">
        <f>SUM(L108:N108)</f>
        <v>374517</v>
      </c>
    </row>
    <row r="110" spans="6:15" ht="14.25">
      <c r="F110" s="31"/>
      <c r="G110" s="31"/>
      <c r="H110" s="31"/>
      <c r="I110" s="31"/>
      <c r="J110" s="88"/>
      <c r="O110" s="88"/>
    </row>
    <row r="111" spans="6:11" ht="14.25">
      <c r="F111" s="31"/>
      <c r="G111" s="31"/>
      <c r="H111" s="31"/>
      <c r="I111" s="31"/>
      <c r="J111" s="31"/>
      <c r="K111" s="31"/>
    </row>
    <row r="112" ht="14.25">
      <c r="J112" s="31"/>
    </row>
    <row r="113" ht="14.25">
      <c r="J113" s="31"/>
    </row>
    <row r="114" ht="14.25">
      <c r="J114" s="31"/>
    </row>
    <row r="115" spans="7:10" ht="14.25">
      <c r="G115" s="31"/>
      <c r="H115" s="31"/>
      <c r="I115" s="31"/>
      <c r="J115" s="31"/>
    </row>
  </sheetData>
  <sheetProtection/>
  <mergeCells count="19">
    <mergeCell ref="K104:K105"/>
    <mergeCell ref="L104:N104"/>
    <mergeCell ref="O104:O105"/>
    <mergeCell ref="B1:J1"/>
    <mergeCell ref="L16:O16"/>
    <mergeCell ref="J15:J17"/>
    <mergeCell ref="K15:K17"/>
    <mergeCell ref="L15:O15"/>
    <mergeCell ref="I15:I17"/>
    <mergeCell ref="A15:A17"/>
    <mergeCell ref="B15:B17"/>
    <mergeCell ref="C15:C17"/>
    <mergeCell ref="D15:D17"/>
    <mergeCell ref="H15:H17"/>
    <mergeCell ref="B3:I3"/>
    <mergeCell ref="B5:I5"/>
    <mergeCell ref="E15:E17"/>
    <mergeCell ref="F15:F17"/>
    <mergeCell ref="G15:G17"/>
  </mergeCells>
  <printOptions/>
  <pageMargins left="0.7" right="0.7" top="0.75" bottom="0.75" header="0.3" footer="0.3"/>
  <pageSetup horizontalDpi="600" verticalDpi="600" orientation="portrait" paperSize="9" r:id="rId1"/>
  <ignoredErrors>
    <ignoredError sqref="O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82"/>
  <sheetViews>
    <sheetView zoomScale="87" zoomScaleNormal="87" zoomScalePageLayoutView="0" workbookViewId="0" topLeftCell="A64">
      <selection activeCell="G80" sqref="G80"/>
    </sheetView>
  </sheetViews>
  <sheetFormatPr defaultColWidth="8.796875" defaultRowHeight="14.25"/>
  <cols>
    <col min="1" max="1" width="14.5" style="1" customWidth="1"/>
    <col min="2" max="2" width="12.09765625" style="0" customWidth="1"/>
    <col min="3" max="3" width="12.19921875" style="0" customWidth="1"/>
    <col min="4" max="4" width="12.59765625" style="0" customWidth="1"/>
    <col min="5" max="6" width="11.3984375" style="0" customWidth="1"/>
    <col min="7" max="7" width="11.5" style="0" customWidth="1"/>
    <col min="8" max="8" width="26.09765625" style="0" customWidth="1"/>
    <col min="9" max="9" width="18" style="0" customWidth="1"/>
    <col min="10" max="10" width="12.3984375" style="0" customWidth="1"/>
    <col min="11" max="11" width="11.09765625" style="0" customWidth="1"/>
    <col min="12" max="12" width="13.09765625" style="0" customWidth="1"/>
    <col min="13" max="13" width="15" style="0" customWidth="1"/>
    <col min="14" max="14" width="16.69921875" style="0" customWidth="1"/>
    <col min="15" max="15" width="18.69921875" style="0" customWidth="1"/>
  </cols>
  <sheetData>
    <row r="1" spans="1:11" ht="18">
      <c r="A1"/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1:10" ht="15">
      <c r="A2"/>
      <c r="B2" s="222"/>
      <c r="C2" s="222"/>
      <c r="D2" s="222"/>
      <c r="E2" s="222"/>
      <c r="F2" s="222"/>
      <c r="G2" s="222"/>
      <c r="H2" s="224"/>
      <c r="I2" s="222"/>
      <c r="J2" s="222"/>
    </row>
    <row r="3" spans="1:10" ht="27" customHeight="1">
      <c r="A3"/>
      <c r="B3" s="715" t="s">
        <v>1052</v>
      </c>
      <c r="C3" s="716"/>
      <c r="D3" s="716"/>
      <c r="E3" s="716"/>
      <c r="F3" s="716"/>
      <c r="G3" s="716"/>
      <c r="H3" s="716"/>
      <c r="I3" s="717"/>
      <c r="J3" s="222"/>
    </row>
    <row r="4" spans="1:10" ht="15">
      <c r="A4"/>
      <c r="B4" s="223"/>
      <c r="C4" s="223"/>
      <c r="D4" s="223"/>
      <c r="E4" s="223"/>
      <c r="F4" s="223"/>
      <c r="G4" s="223"/>
      <c r="H4" s="224"/>
      <c r="I4" s="222"/>
      <c r="J4" s="222"/>
    </row>
    <row r="5" spans="1:10" ht="15">
      <c r="A5"/>
      <c r="B5" s="679" t="s">
        <v>1029</v>
      </c>
      <c r="C5" s="679"/>
      <c r="D5" s="679"/>
      <c r="E5" s="679"/>
      <c r="F5" s="679"/>
      <c r="G5" s="679"/>
      <c r="H5" s="679"/>
      <c r="I5" s="679"/>
      <c r="J5" s="222"/>
    </row>
    <row r="6" spans="1:10" ht="15">
      <c r="A6"/>
      <c r="B6" s="223"/>
      <c r="C6" s="223"/>
      <c r="D6" s="223"/>
      <c r="E6" s="223"/>
      <c r="F6" s="223"/>
      <c r="G6" s="223"/>
      <c r="H6" s="224"/>
      <c r="I6" s="222"/>
      <c r="J6" s="222"/>
    </row>
    <row r="7" spans="1:10" ht="15.75">
      <c r="A7"/>
      <c r="B7" s="225" t="s">
        <v>967</v>
      </c>
      <c r="C7" s="222"/>
      <c r="D7" s="223"/>
      <c r="E7" s="223"/>
      <c r="F7" s="223"/>
      <c r="G7" s="222"/>
      <c r="H7" s="224"/>
      <c r="I7" s="222"/>
      <c r="J7" s="222"/>
    </row>
    <row r="8" spans="1:10" ht="15">
      <c r="A8"/>
      <c r="B8" s="528" t="s">
        <v>1986</v>
      </c>
      <c r="C8" s="222"/>
      <c r="D8" s="223"/>
      <c r="E8" s="223"/>
      <c r="F8" s="223"/>
      <c r="G8" s="222"/>
      <c r="H8" s="224"/>
      <c r="I8" s="222"/>
      <c r="J8" s="222"/>
    </row>
    <row r="9" spans="1:10" ht="15.75">
      <c r="A9"/>
      <c r="B9" s="226" t="s">
        <v>1828</v>
      </c>
      <c r="C9" s="222"/>
      <c r="D9" s="227"/>
      <c r="E9" s="223"/>
      <c r="F9" s="223"/>
      <c r="G9" s="222"/>
      <c r="H9" s="224"/>
      <c r="I9" s="222"/>
      <c r="J9" s="222"/>
    </row>
    <row r="10" spans="1:10" ht="15.75">
      <c r="A10"/>
      <c r="B10" s="226" t="s">
        <v>1681</v>
      </c>
      <c r="C10" s="222"/>
      <c r="D10" s="227"/>
      <c r="E10" s="223"/>
      <c r="F10" s="223"/>
      <c r="G10" s="222"/>
      <c r="H10" s="224"/>
      <c r="I10" s="222"/>
      <c r="J10" s="222"/>
    </row>
    <row r="11" spans="1:10" ht="15">
      <c r="A11"/>
      <c r="B11" s="222" t="s">
        <v>1684</v>
      </c>
      <c r="C11" s="222"/>
      <c r="D11" s="222"/>
      <c r="E11" s="222"/>
      <c r="F11" s="222"/>
      <c r="G11" s="222"/>
      <c r="H11" s="224"/>
      <c r="I11" s="222"/>
      <c r="J11" s="222"/>
    </row>
    <row r="12" spans="1:10" ht="15.75">
      <c r="A12"/>
      <c r="B12" s="228"/>
      <c r="C12" s="229"/>
      <c r="D12" s="227"/>
      <c r="E12" s="227"/>
      <c r="F12" s="227"/>
      <c r="G12" s="227"/>
      <c r="H12" s="222"/>
      <c r="I12" s="222"/>
      <c r="J12" s="222"/>
    </row>
    <row r="13" spans="1:10" ht="15.75">
      <c r="A13"/>
      <c r="B13" s="228" t="s">
        <v>1032</v>
      </c>
      <c r="C13" s="225" t="s">
        <v>1033</v>
      </c>
      <c r="D13" s="227"/>
      <c r="E13" s="227"/>
      <c r="F13" s="227"/>
      <c r="G13" s="227"/>
      <c r="H13" s="222"/>
      <c r="I13" s="222"/>
      <c r="J13" s="222"/>
    </row>
    <row r="14" spans="1:9" ht="15" thickBot="1">
      <c r="A14" s="88"/>
      <c r="B14" s="88"/>
      <c r="C14" s="31"/>
      <c r="D14" s="31"/>
      <c r="E14" s="31"/>
      <c r="F14" s="31"/>
      <c r="G14" s="31"/>
      <c r="H14" s="31"/>
      <c r="I14" s="31"/>
    </row>
    <row r="15" spans="1:15" ht="54" customHeight="1">
      <c r="A15" s="707" t="s">
        <v>0</v>
      </c>
      <c r="B15" s="676" t="s">
        <v>993</v>
      </c>
      <c r="C15" s="680" t="s">
        <v>2</v>
      </c>
      <c r="D15" s="680" t="s">
        <v>3</v>
      </c>
      <c r="E15" s="686" t="s">
        <v>1038</v>
      </c>
      <c r="F15" s="686" t="s">
        <v>5</v>
      </c>
      <c r="G15" s="680" t="s">
        <v>6</v>
      </c>
      <c r="H15" s="686" t="s">
        <v>7</v>
      </c>
      <c r="I15" s="686" t="s">
        <v>753</v>
      </c>
      <c r="J15" s="686" t="s">
        <v>157</v>
      </c>
      <c r="K15" s="692" t="s">
        <v>992</v>
      </c>
      <c r="L15" s="683" t="s">
        <v>1039</v>
      </c>
      <c r="M15" s="684"/>
      <c r="N15" s="684"/>
      <c r="O15" s="685"/>
    </row>
    <row r="16" spans="1:15" ht="40.5" customHeight="1">
      <c r="A16" s="708"/>
      <c r="B16" s="677"/>
      <c r="C16" s="681"/>
      <c r="D16" s="681"/>
      <c r="E16" s="687"/>
      <c r="F16" s="687"/>
      <c r="G16" s="681"/>
      <c r="H16" s="687"/>
      <c r="I16" s="699"/>
      <c r="J16" s="687"/>
      <c r="K16" s="693"/>
      <c r="L16" s="689" t="s">
        <v>1040</v>
      </c>
      <c r="M16" s="690"/>
      <c r="N16" s="690"/>
      <c r="O16" s="691"/>
    </row>
    <row r="17" spans="1:15" ht="37.5" customHeight="1" thickBot="1">
      <c r="A17" s="709"/>
      <c r="B17" s="678"/>
      <c r="C17" s="682"/>
      <c r="D17" s="682"/>
      <c r="E17" s="688"/>
      <c r="F17" s="688"/>
      <c r="G17" s="682"/>
      <c r="H17" s="688"/>
      <c r="I17" s="700"/>
      <c r="J17" s="688"/>
      <c r="K17" s="694"/>
      <c r="L17" s="136" t="s">
        <v>1041</v>
      </c>
      <c r="M17" s="137" t="s">
        <v>1035</v>
      </c>
      <c r="N17" s="137" t="s">
        <v>1036</v>
      </c>
      <c r="O17" s="138" t="s">
        <v>10</v>
      </c>
    </row>
    <row r="18" spans="1:15" ht="28.5">
      <c r="A18" s="309" t="s">
        <v>11</v>
      </c>
      <c r="B18" s="90" t="s">
        <v>12</v>
      </c>
      <c r="C18" s="91" t="s">
        <v>647</v>
      </c>
      <c r="D18" s="92"/>
      <c r="E18" s="93">
        <v>21</v>
      </c>
      <c r="F18" s="93" t="s">
        <v>13</v>
      </c>
      <c r="G18" s="92" t="s">
        <v>14</v>
      </c>
      <c r="H18" s="420" t="s">
        <v>648</v>
      </c>
      <c r="I18" s="94">
        <v>43689</v>
      </c>
      <c r="J18" s="95" t="s">
        <v>16</v>
      </c>
      <c r="K18" s="96">
        <v>0.6</v>
      </c>
      <c r="L18" s="97"/>
      <c r="M18" s="30">
        <f>3418-2729</f>
        <v>689</v>
      </c>
      <c r="N18" s="30">
        <f>9042-6786</f>
        <v>2256</v>
      </c>
      <c r="O18" s="30">
        <f aca="true" t="shared" si="0" ref="O18:O67">SUM(M18:N18)</f>
        <v>2945</v>
      </c>
    </row>
    <row r="19" spans="1:15" ht="28.5">
      <c r="A19" s="309" t="s">
        <v>11</v>
      </c>
      <c r="B19" s="90" t="s">
        <v>12</v>
      </c>
      <c r="C19" s="91" t="s">
        <v>649</v>
      </c>
      <c r="D19" s="92"/>
      <c r="E19" s="93"/>
      <c r="F19" s="93" t="s">
        <v>650</v>
      </c>
      <c r="G19" s="92" t="s">
        <v>651</v>
      </c>
      <c r="H19" s="420" t="s">
        <v>652</v>
      </c>
      <c r="I19" s="47">
        <v>1001928</v>
      </c>
      <c r="J19" s="95" t="s">
        <v>16</v>
      </c>
      <c r="K19" s="96">
        <v>0.3</v>
      </c>
      <c r="L19" s="97"/>
      <c r="M19" s="30">
        <f>1584-1328</f>
        <v>256</v>
      </c>
      <c r="N19" s="30">
        <f>5390-4832</f>
        <v>558</v>
      </c>
      <c r="O19" s="30">
        <f t="shared" si="0"/>
        <v>814</v>
      </c>
    </row>
    <row r="20" spans="1:15" ht="28.5">
      <c r="A20" s="309" t="s">
        <v>11</v>
      </c>
      <c r="B20" s="90" t="s">
        <v>12</v>
      </c>
      <c r="C20" s="91" t="s">
        <v>653</v>
      </c>
      <c r="D20" s="92"/>
      <c r="E20" s="93">
        <v>61</v>
      </c>
      <c r="F20" s="93" t="s">
        <v>13</v>
      </c>
      <c r="G20" s="92" t="s">
        <v>14</v>
      </c>
      <c r="H20" s="420" t="s">
        <v>654</v>
      </c>
      <c r="I20" s="47">
        <v>43686</v>
      </c>
      <c r="J20" s="95" t="s">
        <v>16</v>
      </c>
      <c r="K20" s="96">
        <v>1.6</v>
      </c>
      <c r="L20" s="97"/>
      <c r="M20" s="30">
        <f>8823-7240</f>
        <v>1583</v>
      </c>
      <c r="N20" s="30">
        <f>22165-18460</f>
        <v>3705</v>
      </c>
      <c r="O20" s="30">
        <f t="shared" si="0"/>
        <v>5288</v>
      </c>
    </row>
    <row r="21" spans="1:15" ht="28.5">
      <c r="A21" s="309" t="s">
        <v>11</v>
      </c>
      <c r="B21" s="90" t="s">
        <v>12</v>
      </c>
      <c r="C21" s="91" t="s">
        <v>655</v>
      </c>
      <c r="D21" s="92"/>
      <c r="E21" s="93">
        <v>10</v>
      </c>
      <c r="F21" s="93" t="s">
        <v>13</v>
      </c>
      <c r="G21" s="92" t="s">
        <v>14</v>
      </c>
      <c r="H21" s="420" t="s">
        <v>656</v>
      </c>
      <c r="I21" s="47">
        <v>43685</v>
      </c>
      <c r="J21" s="95" t="s">
        <v>16</v>
      </c>
      <c r="K21" s="96">
        <v>1.4</v>
      </c>
      <c r="L21" s="97"/>
      <c r="M21" s="30">
        <f>7073-5674</f>
        <v>1399</v>
      </c>
      <c r="N21" s="30">
        <f>18645-15626</f>
        <v>3019</v>
      </c>
      <c r="O21" s="30">
        <f t="shared" si="0"/>
        <v>4418</v>
      </c>
    </row>
    <row r="22" spans="1:15" ht="28.5">
      <c r="A22" s="309" t="s">
        <v>11</v>
      </c>
      <c r="B22" s="90" t="s">
        <v>12</v>
      </c>
      <c r="C22" s="91" t="s">
        <v>1853</v>
      </c>
      <c r="D22" s="92"/>
      <c r="E22" s="93"/>
      <c r="F22" s="93" t="s">
        <v>650</v>
      </c>
      <c r="G22" s="92" t="s">
        <v>651</v>
      </c>
      <c r="H22" s="420" t="s">
        <v>657</v>
      </c>
      <c r="I22" s="47">
        <v>41475</v>
      </c>
      <c r="J22" s="95" t="s">
        <v>16</v>
      </c>
      <c r="K22" s="96">
        <v>2.1</v>
      </c>
      <c r="L22" s="97"/>
      <c r="M22" s="30">
        <f>6314-4923</f>
        <v>1391</v>
      </c>
      <c r="N22" s="30">
        <f>14756-12791</f>
        <v>1965</v>
      </c>
      <c r="O22" s="30">
        <f t="shared" si="0"/>
        <v>3356</v>
      </c>
    </row>
    <row r="23" spans="1:15" ht="28.5">
      <c r="A23" s="309" t="s">
        <v>11</v>
      </c>
      <c r="B23" s="90" t="s">
        <v>12</v>
      </c>
      <c r="C23" s="91" t="s">
        <v>580</v>
      </c>
      <c r="D23" s="92"/>
      <c r="E23" s="93"/>
      <c r="F23" s="93" t="s">
        <v>650</v>
      </c>
      <c r="G23" s="92" t="s">
        <v>651</v>
      </c>
      <c r="H23" s="420" t="s">
        <v>658</v>
      </c>
      <c r="I23" s="47">
        <v>43883</v>
      </c>
      <c r="J23" s="95" t="s">
        <v>16</v>
      </c>
      <c r="K23" s="96">
        <v>0.4</v>
      </c>
      <c r="L23" s="97"/>
      <c r="M23" s="30">
        <f>5487-4321</f>
        <v>1166</v>
      </c>
      <c r="N23" s="30">
        <f>15877-11453</f>
        <v>4424</v>
      </c>
      <c r="O23" s="30">
        <f t="shared" si="0"/>
        <v>5590</v>
      </c>
    </row>
    <row r="24" spans="1:15" ht="28.5">
      <c r="A24" s="309" t="s">
        <v>11</v>
      </c>
      <c r="B24" s="90" t="s">
        <v>12</v>
      </c>
      <c r="C24" s="91" t="s">
        <v>1853</v>
      </c>
      <c r="D24" s="92"/>
      <c r="E24" s="93">
        <v>98</v>
      </c>
      <c r="F24" s="93" t="s">
        <v>650</v>
      </c>
      <c r="G24" s="92" t="s">
        <v>651</v>
      </c>
      <c r="H24" s="420" t="s">
        <v>659</v>
      </c>
      <c r="I24" s="47">
        <v>43884</v>
      </c>
      <c r="J24" s="95" t="s">
        <v>16</v>
      </c>
      <c r="K24" s="96">
        <v>0.3</v>
      </c>
      <c r="L24" s="97"/>
      <c r="M24" s="30">
        <f>2204-1676</f>
        <v>528</v>
      </c>
      <c r="N24" s="30">
        <f>4972-3878</f>
        <v>1094</v>
      </c>
      <c r="O24" s="30">
        <f t="shared" si="0"/>
        <v>1622</v>
      </c>
    </row>
    <row r="25" spans="1:15" ht="28.5">
      <c r="A25" s="309" t="s">
        <v>11</v>
      </c>
      <c r="B25" s="90" t="s">
        <v>12</v>
      </c>
      <c r="C25" s="91" t="s">
        <v>393</v>
      </c>
      <c r="D25" s="92"/>
      <c r="E25" s="93">
        <v>3</v>
      </c>
      <c r="F25" s="93" t="s">
        <v>650</v>
      </c>
      <c r="G25" s="92" t="s">
        <v>651</v>
      </c>
      <c r="H25" s="420" t="s">
        <v>660</v>
      </c>
      <c r="I25" s="47">
        <v>44869</v>
      </c>
      <c r="J25" s="95" t="s">
        <v>16</v>
      </c>
      <c r="K25" s="96">
        <v>1.1</v>
      </c>
      <c r="L25" s="97"/>
      <c r="M25" s="30">
        <f>5212-4607</f>
        <v>605</v>
      </c>
      <c r="N25" s="30">
        <f>14051-12037</f>
        <v>2014</v>
      </c>
      <c r="O25" s="30">
        <f t="shared" si="0"/>
        <v>2619</v>
      </c>
    </row>
    <row r="26" spans="1:15" ht="28.5">
      <c r="A26" s="309" t="s">
        <v>11</v>
      </c>
      <c r="B26" s="90" t="s">
        <v>12</v>
      </c>
      <c r="C26" s="91" t="s">
        <v>393</v>
      </c>
      <c r="D26" s="92"/>
      <c r="E26" s="93">
        <v>2</v>
      </c>
      <c r="F26" s="93" t="s">
        <v>650</v>
      </c>
      <c r="G26" s="92" t="s">
        <v>651</v>
      </c>
      <c r="H26" s="420" t="s">
        <v>661</v>
      </c>
      <c r="I26" s="47">
        <v>44862</v>
      </c>
      <c r="J26" s="95" t="s">
        <v>16</v>
      </c>
      <c r="K26" s="96">
        <v>0.5</v>
      </c>
      <c r="L26" s="97"/>
      <c r="M26" s="30">
        <f>2538-2077</f>
        <v>461</v>
      </c>
      <c r="N26" s="30">
        <f>6282-5247</f>
        <v>1035</v>
      </c>
      <c r="O26" s="30">
        <f t="shared" si="0"/>
        <v>1496</v>
      </c>
    </row>
    <row r="27" spans="1:15" ht="28.5">
      <c r="A27" s="309" t="s">
        <v>11</v>
      </c>
      <c r="B27" s="90" t="s">
        <v>12</v>
      </c>
      <c r="C27" s="91" t="s">
        <v>393</v>
      </c>
      <c r="D27" s="92"/>
      <c r="E27" s="93">
        <v>1</v>
      </c>
      <c r="F27" s="93" t="s">
        <v>650</v>
      </c>
      <c r="G27" s="92" t="s">
        <v>651</v>
      </c>
      <c r="H27" s="420" t="s">
        <v>662</v>
      </c>
      <c r="I27" s="47">
        <v>113102</v>
      </c>
      <c r="J27" s="95" t="s">
        <v>16</v>
      </c>
      <c r="K27" s="96">
        <v>0.2</v>
      </c>
      <c r="L27" s="97"/>
      <c r="M27" s="30">
        <f>735-558</f>
        <v>177</v>
      </c>
      <c r="N27" s="30">
        <f>2228-1798</f>
        <v>430</v>
      </c>
      <c r="O27" s="30">
        <f t="shared" si="0"/>
        <v>607</v>
      </c>
    </row>
    <row r="28" spans="1:15" ht="28.5">
      <c r="A28" s="309" t="s">
        <v>11</v>
      </c>
      <c r="B28" s="90" t="s">
        <v>12</v>
      </c>
      <c r="C28" s="91" t="s">
        <v>663</v>
      </c>
      <c r="D28" s="92"/>
      <c r="E28" s="93"/>
      <c r="F28" s="93" t="s">
        <v>650</v>
      </c>
      <c r="G28" s="92" t="s">
        <v>651</v>
      </c>
      <c r="H28" s="420" t="s">
        <v>664</v>
      </c>
      <c r="I28" s="47">
        <v>43886</v>
      </c>
      <c r="J28" s="95" t="s">
        <v>16</v>
      </c>
      <c r="K28" s="96">
        <v>1.8</v>
      </c>
      <c r="L28" s="97"/>
      <c r="M28" s="30">
        <f>9971-8098</f>
        <v>1873</v>
      </c>
      <c r="N28" s="30">
        <f>24089-20384</f>
        <v>3705</v>
      </c>
      <c r="O28" s="30">
        <f t="shared" si="0"/>
        <v>5578</v>
      </c>
    </row>
    <row r="29" spans="1:15" ht="28.5">
      <c r="A29" s="309" t="s">
        <v>11</v>
      </c>
      <c r="B29" s="90" t="s">
        <v>12</v>
      </c>
      <c r="C29" s="91" t="s">
        <v>1854</v>
      </c>
      <c r="D29" s="92"/>
      <c r="E29" s="93">
        <v>1</v>
      </c>
      <c r="F29" s="93" t="s">
        <v>650</v>
      </c>
      <c r="G29" s="92" t="s">
        <v>651</v>
      </c>
      <c r="H29" s="420" t="s">
        <v>665</v>
      </c>
      <c r="I29" s="47">
        <v>44868</v>
      </c>
      <c r="J29" s="95" t="s">
        <v>16</v>
      </c>
      <c r="K29" s="96">
        <v>1.2</v>
      </c>
      <c r="L29" s="97"/>
      <c r="M29" s="30">
        <f>6955-5859</f>
        <v>1096</v>
      </c>
      <c r="N29" s="30">
        <f>17406-14936</f>
        <v>2470</v>
      </c>
      <c r="O29" s="30">
        <f t="shared" si="0"/>
        <v>3566</v>
      </c>
    </row>
    <row r="30" spans="1:15" ht="28.5">
      <c r="A30" s="309" t="s">
        <v>11</v>
      </c>
      <c r="B30" s="90" t="s">
        <v>12</v>
      </c>
      <c r="C30" s="91" t="s">
        <v>1854</v>
      </c>
      <c r="D30" s="92"/>
      <c r="E30" s="93">
        <v>2</v>
      </c>
      <c r="F30" s="93" t="s">
        <v>650</v>
      </c>
      <c r="G30" s="92" t="s">
        <v>651</v>
      </c>
      <c r="H30" s="420" t="s">
        <v>666</v>
      </c>
      <c r="I30" s="47">
        <v>42812</v>
      </c>
      <c r="J30" s="95" t="s">
        <v>16</v>
      </c>
      <c r="K30" s="96">
        <v>0.6</v>
      </c>
      <c r="L30" s="97"/>
      <c r="M30" s="30">
        <f>3383-2784</f>
        <v>599</v>
      </c>
      <c r="N30" s="30">
        <f>9740-8430</f>
        <v>1310</v>
      </c>
      <c r="O30" s="30">
        <f t="shared" si="0"/>
        <v>1909</v>
      </c>
    </row>
    <row r="31" spans="1:15" ht="28.5">
      <c r="A31" s="309" t="s">
        <v>11</v>
      </c>
      <c r="B31" s="90" t="s">
        <v>12</v>
      </c>
      <c r="C31" s="91" t="s">
        <v>1854</v>
      </c>
      <c r="D31" s="92"/>
      <c r="E31" s="93">
        <v>2</v>
      </c>
      <c r="F31" s="93" t="s">
        <v>650</v>
      </c>
      <c r="G31" s="92" t="s">
        <v>651</v>
      </c>
      <c r="H31" s="420" t="s">
        <v>667</v>
      </c>
      <c r="I31" s="47">
        <v>44866</v>
      </c>
      <c r="J31" s="95" t="s">
        <v>16</v>
      </c>
      <c r="K31" s="96">
        <v>0.5</v>
      </c>
      <c r="L31" s="97"/>
      <c r="M31" s="30">
        <f>4587-3776</f>
        <v>811</v>
      </c>
      <c r="N31" s="30">
        <f>10812-8996</f>
        <v>1816</v>
      </c>
      <c r="O31" s="30">
        <f t="shared" si="0"/>
        <v>2627</v>
      </c>
    </row>
    <row r="32" spans="1:15" ht="28.5">
      <c r="A32" s="309" t="s">
        <v>11</v>
      </c>
      <c r="B32" s="90" t="s">
        <v>12</v>
      </c>
      <c r="C32" s="91" t="s">
        <v>668</v>
      </c>
      <c r="D32" s="92"/>
      <c r="E32" s="93">
        <v>2</v>
      </c>
      <c r="F32" s="93" t="s">
        <v>650</v>
      </c>
      <c r="G32" s="92" t="s">
        <v>651</v>
      </c>
      <c r="H32" s="420" t="s">
        <v>669</v>
      </c>
      <c r="I32" s="47">
        <v>43831</v>
      </c>
      <c r="J32" s="95" t="s">
        <v>16</v>
      </c>
      <c r="K32" s="96">
        <v>0.7</v>
      </c>
      <c r="L32" s="97"/>
      <c r="M32" s="30">
        <f>733-615</f>
        <v>118</v>
      </c>
      <c r="N32" s="30">
        <f>1866-1595</f>
        <v>271</v>
      </c>
      <c r="O32" s="30">
        <f t="shared" si="0"/>
        <v>389</v>
      </c>
    </row>
    <row r="33" spans="1:15" ht="28.5">
      <c r="A33" s="309" t="s">
        <v>11</v>
      </c>
      <c r="B33" s="90" t="s">
        <v>12</v>
      </c>
      <c r="C33" s="91" t="s">
        <v>668</v>
      </c>
      <c r="D33" s="92"/>
      <c r="E33" s="93">
        <v>2</v>
      </c>
      <c r="F33" s="93" t="s">
        <v>650</v>
      </c>
      <c r="G33" s="92" t="s">
        <v>651</v>
      </c>
      <c r="H33" s="420" t="s">
        <v>670</v>
      </c>
      <c r="I33" s="47">
        <v>44870</v>
      </c>
      <c r="J33" s="95" t="s">
        <v>16</v>
      </c>
      <c r="K33" s="96">
        <v>0.1</v>
      </c>
      <c r="L33" s="97"/>
      <c r="M33" s="30">
        <f>631-480</f>
        <v>151</v>
      </c>
      <c r="N33" s="30">
        <f>1745-1430</f>
        <v>315</v>
      </c>
      <c r="O33" s="30">
        <f t="shared" si="0"/>
        <v>466</v>
      </c>
    </row>
    <row r="34" spans="1:15" ht="28.5">
      <c r="A34" s="309" t="s">
        <v>11</v>
      </c>
      <c r="B34" s="90" t="s">
        <v>12</v>
      </c>
      <c r="C34" s="91" t="s">
        <v>649</v>
      </c>
      <c r="D34" s="92"/>
      <c r="E34" s="93"/>
      <c r="F34" s="93" t="s">
        <v>650</v>
      </c>
      <c r="G34" s="92" t="s">
        <v>651</v>
      </c>
      <c r="H34" s="420" t="s">
        <v>671</v>
      </c>
      <c r="I34" s="47">
        <v>42329</v>
      </c>
      <c r="J34" s="95" t="s">
        <v>16</v>
      </c>
      <c r="K34" s="96">
        <v>1.1</v>
      </c>
      <c r="L34" s="97"/>
      <c r="M34" s="30">
        <f>9062-7563</f>
        <v>1499</v>
      </c>
      <c r="N34" s="30">
        <f>22929-19824</f>
        <v>3105</v>
      </c>
      <c r="O34" s="30">
        <f t="shared" si="0"/>
        <v>4604</v>
      </c>
    </row>
    <row r="35" spans="1:15" ht="28.5">
      <c r="A35" s="309" t="s">
        <v>11</v>
      </c>
      <c r="B35" s="90" t="s">
        <v>12</v>
      </c>
      <c r="C35" s="91" t="s">
        <v>649</v>
      </c>
      <c r="D35" s="92"/>
      <c r="E35" s="93">
        <v>1</v>
      </c>
      <c r="F35" s="93" t="s">
        <v>650</v>
      </c>
      <c r="G35" s="92" t="s">
        <v>651</v>
      </c>
      <c r="H35" s="420" t="s">
        <v>672</v>
      </c>
      <c r="I35" s="47">
        <v>43683</v>
      </c>
      <c r="J35" s="95" t="s">
        <v>16</v>
      </c>
      <c r="K35" s="96">
        <v>0.8</v>
      </c>
      <c r="L35" s="97"/>
      <c r="M35" s="30">
        <f>4466-3704</f>
        <v>762</v>
      </c>
      <c r="N35" s="30">
        <f>10727-9053</f>
        <v>1674</v>
      </c>
      <c r="O35" s="30">
        <f t="shared" si="0"/>
        <v>2436</v>
      </c>
    </row>
    <row r="36" spans="1:15" ht="28.5">
      <c r="A36" s="309" t="s">
        <v>11</v>
      </c>
      <c r="B36" s="90" t="s">
        <v>12</v>
      </c>
      <c r="C36" s="91" t="s">
        <v>673</v>
      </c>
      <c r="D36" s="92"/>
      <c r="E36" s="93"/>
      <c r="F36" s="93" t="s">
        <v>650</v>
      </c>
      <c r="G36" s="92" t="s">
        <v>651</v>
      </c>
      <c r="H36" s="420" t="s">
        <v>674</v>
      </c>
      <c r="I36" s="47">
        <v>44867</v>
      </c>
      <c r="J36" s="95" t="s">
        <v>16</v>
      </c>
      <c r="K36" s="96">
        <v>0.5</v>
      </c>
      <c r="L36" s="97"/>
      <c r="M36" s="30">
        <f>2485-2052</f>
        <v>433</v>
      </c>
      <c r="N36" s="30">
        <f>6118-5121</f>
        <v>997</v>
      </c>
      <c r="O36" s="30">
        <f t="shared" si="0"/>
        <v>1430</v>
      </c>
    </row>
    <row r="37" spans="1:15" ht="28.5">
      <c r="A37" s="309" t="s">
        <v>11</v>
      </c>
      <c r="B37" s="90" t="s">
        <v>12</v>
      </c>
      <c r="C37" s="91" t="s">
        <v>651</v>
      </c>
      <c r="D37" s="92" t="s">
        <v>675</v>
      </c>
      <c r="E37" s="93"/>
      <c r="F37" s="93" t="s">
        <v>650</v>
      </c>
      <c r="G37" s="92" t="s">
        <v>651</v>
      </c>
      <c r="H37" s="420" t="s">
        <v>676</v>
      </c>
      <c r="I37" s="47">
        <v>70926071</v>
      </c>
      <c r="J37" s="95" t="s">
        <v>16</v>
      </c>
      <c r="K37" s="96">
        <v>2.2</v>
      </c>
      <c r="L37" s="97"/>
      <c r="M37" s="30">
        <f>8741-7030</f>
        <v>1711</v>
      </c>
      <c r="N37" s="30">
        <f>34671-29062</f>
        <v>5609</v>
      </c>
      <c r="O37" s="30">
        <f t="shared" si="0"/>
        <v>7320</v>
      </c>
    </row>
    <row r="38" spans="1:15" ht="28.5">
      <c r="A38" s="309" t="s">
        <v>11</v>
      </c>
      <c r="B38" s="90" t="s">
        <v>12</v>
      </c>
      <c r="C38" s="91" t="s">
        <v>651</v>
      </c>
      <c r="D38" s="92" t="s">
        <v>677</v>
      </c>
      <c r="E38" s="93"/>
      <c r="F38" s="93" t="s">
        <v>650</v>
      </c>
      <c r="G38" s="92" t="s">
        <v>651</v>
      </c>
      <c r="H38" s="420" t="s">
        <v>678</v>
      </c>
      <c r="I38" s="47">
        <v>70917291</v>
      </c>
      <c r="J38" s="95" t="s">
        <v>16</v>
      </c>
      <c r="K38" s="96">
        <v>2.4</v>
      </c>
      <c r="L38" s="97"/>
      <c r="M38" s="30">
        <f>9893-8119</f>
        <v>1774</v>
      </c>
      <c r="N38" s="30">
        <f>50276-40230</f>
        <v>10046</v>
      </c>
      <c r="O38" s="30">
        <f t="shared" si="0"/>
        <v>11820</v>
      </c>
    </row>
    <row r="39" spans="1:15" ht="28.5">
      <c r="A39" s="309" t="s">
        <v>11</v>
      </c>
      <c r="B39" s="90" t="s">
        <v>12</v>
      </c>
      <c r="C39" s="91" t="s">
        <v>651</v>
      </c>
      <c r="D39" s="92" t="s">
        <v>679</v>
      </c>
      <c r="E39" s="93">
        <v>4</v>
      </c>
      <c r="F39" s="93" t="s">
        <v>650</v>
      </c>
      <c r="G39" s="92" t="s">
        <v>651</v>
      </c>
      <c r="H39" s="420" t="s">
        <v>680</v>
      </c>
      <c r="I39" s="47">
        <v>70926060</v>
      </c>
      <c r="J39" s="95" t="s">
        <v>16</v>
      </c>
      <c r="K39" s="96">
        <v>1.8</v>
      </c>
      <c r="L39" s="97"/>
      <c r="M39" s="30">
        <f>7125-5694</f>
        <v>1431</v>
      </c>
      <c r="N39" s="30">
        <f>30347-24441</f>
        <v>5906</v>
      </c>
      <c r="O39" s="30">
        <f t="shared" si="0"/>
        <v>7337</v>
      </c>
    </row>
    <row r="40" spans="1:15" ht="28.5">
      <c r="A40" s="309" t="s">
        <v>11</v>
      </c>
      <c r="B40" s="90" t="s">
        <v>12</v>
      </c>
      <c r="C40" s="91" t="s">
        <v>651</v>
      </c>
      <c r="D40" s="91" t="s">
        <v>1341</v>
      </c>
      <c r="E40" s="93">
        <v>5</v>
      </c>
      <c r="F40" s="93" t="s">
        <v>650</v>
      </c>
      <c r="G40" s="92" t="s">
        <v>651</v>
      </c>
      <c r="H40" s="420" t="s">
        <v>681</v>
      </c>
      <c r="I40" s="47">
        <v>70810816</v>
      </c>
      <c r="J40" s="95" t="s">
        <v>16</v>
      </c>
      <c r="K40" s="96">
        <v>1.3</v>
      </c>
      <c r="L40" s="97"/>
      <c r="M40" s="30">
        <f>5424-4405</f>
        <v>1019</v>
      </c>
      <c r="N40" s="30">
        <f>23134-18635</f>
        <v>4499</v>
      </c>
      <c r="O40" s="30">
        <f t="shared" si="0"/>
        <v>5518</v>
      </c>
    </row>
    <row r="41" spans="1:15" ht="28.5">
      <c r="A41" s="309" t="s">
        <v>11</v>
      </c>
      <c r="B41" s="90" t="s">
        <v>12</v>
      </c>
      <c r="C41" s="91" t="s">
        <v>682</v>
      </c>
      <c r="D41" s="92"/>
      <c r="E41" s="93"/>
      <c r="F41" s="93" t="s">
        <v>650</v>
      </c>
      <c r="G41" s="92" t="s">
        <v>651</v>
      </c>
      <c r="H41" s="420" t="s">
        <v>683</v>
      </c>
      <c r="I41" s="47">
        <v>70917285</v>
      </c>
      <c r="J41" s="95" t="s">
        <v>16</v>
      </c>
      <c r="K41" s="96">
        <v>3.3</v>
      </c>
      <c r="L41" s="97"/>
      <c r="M41" s="30">
        <f>15321-12438</f>
        <v>2883</v>
      </c>
      <c r="N41" s="30">
        <f>74030-58700</f>
        <v>15330</v>
      </c>
      <c r="O41" s="30">
        <f t="shared" si="0"/>
        <v>18213</v>
      </c>
    </row>
    <row r="42" spans="1:15" ht="28.5">
      <c r="A42" s="309" t="s">
        <v>11</v>
      </c>
      <c r="B42" s="90" t="s">
        <v>12</v>
      </c>
      <c r="C42" s="91" t="s">
        <v>1342</v>
      </c>
      <c r="D42" s="92"/>
      <c r="E42" s="93"/>
      <c r="F42" s="93" t="s">
        <v>650</v>
      </c>
      <c r="G42" s="92" t="s">
        <v>651</v>
      </c>
      <c r="H42" s="420" t="s">
        <v>685</v>
      </c>
      <c r="I42" s="47">
        <v>43684</v>
      </c>
      <c r="J42" s="95" t="s">
        <v>16</v>
      </c>
      <c r="K42" s="96">
        <v>0.3</v>
      </c>
      <c r="L42" s="97"/>
      <c r="M42" s="30">
        <f>1803-1511</f>
        <v>292</v>
      </c>
      <c r="N42" s="30">
        <f>4716-4073</f>
        <v>643</v>
      </c>
      <c r="O42" s="30">
        <f t="shared" si="0"/>
        <v>935</v>
      </c>
    </row>
    <row r="43" spans="1:15" ht="28.5">
      <c r="A43" s="309" t="s">
        <v>11</v>
      </c>
      <c r="B43" s="90" t="s">
        <v>12</v>
      </c>
      <c r="C43" s="91" t="s">
        <v>1343</v>
      </c>
      <c r="D43" s="92"/>
      <c r="E43" s="93"/>
      <c r="F43" s="93" t="s">
        <v>650</v>
      </c>
      <c r="G43" s="92" t="s">
        <v>651</v>
      </c>
      <c r="H43" s="420" t="s">
        <v>687</v>
      </c>
      <c r="I43" s="47">
        <v>43824</v>
      </c>
      <c r="J43" s="95" t="s">
        <v>16</v>
      </c>
      <c r="K43" s="96">
        <v>0.3</v>
      </c>
      <c r="L43" s="97"/>
      <c r="M43" s="30">
        <f>1900-1579</f>
        <v>321</v>
      </c>
      <c r="N43" s="30">
        <f>4617-3913</f>
        <v>704</v>
      </c>
      <c r="O43" s="30">
        <f t="shared" si="0"/>
        <v>1025</v>
      </c>
    </row>
    <row r="44" spans="1:15" ht="28.5">
      <c r="A44" s="309" t="s">
        <v>11</v>
      </c>
      <c r="B44" s="90" t="s">
        <v>12</v>
      </c>
      <c r="C44" s="91" t="s">
        <v>684</v>
      </c>
      <c r="D44" s="92"/>
      <c r="E44" s="93"/>
      <c r="F44" s="93" t="s">
        <v>650</v>
      </c>
      <c r="G44" s="92" t="s">
        <v>651</v>
      </c>
      <c r="H44" s="420" t="s">
        <v>688</v>
      </c>
      <c r="I44" s="47">
        <v>43690</v>
      </c>
      <c r="J44" s="95" t="s">
        <v>16</v>
      </c>
      <c r="K44" s="96">
        <v>0.1</v>
      </c>
      <c r="L44" s="97"/>
      <c r="M44" s="30">
        <f>2135-1755</f>
        <v>380</v>
      </c>
      <c r="N44" s="30">
        <f>5332-4513</f>
        <v>819</v>
      </c>
      <c r="O44" s="30">
        <f t="shared" si="0"/>
        <v>1199</v>
      </c>
    </row>
    <row r="45" spans="1:15" ht="28.5">
      <c r="A45" s="309" t="s">
        <v>11</v>
      </c>
      <c r="B45" s="90" t="s">
        <v>12</v>
      </c>
      <c r="C45" s="91" t="s">
        <v>651</v>
      </c>
      <c r="D45" s="91" t="s">
        <v>1733</v>
      </c>
      <c r="E45" s="93"/>
      <c r="F45" s="93" t="s">
        <v>650</v>
      </c>
      <c r="G45" s="92" t="s">
        <v>651</v>
      </c>
      <c r="H45" s="420" t="s">
        <v>689</v>
      </c>
      <c r="I45" s="47">
        <v>70907956</v>
      </c>
      <c r="J45" s="95" t="s">
        <v>16</v>
      </c>
      <c r="K45" s="96">
        <v>14</v>
      </c>
      <c r="L45" s="97"/>
      <c r="M45" s="30">
        <f>10060-7881</f>
        <v>2179</v>
      </c>
      <c r="N45" s="30">
        <f>38785-30960</f>
        <v>7825</v>
      </c>
      <c r="O45" s="30">
        <f t="shared" si="0"/>
        <v>10004</v>
      </c>
    </row>
    <row r="46" spans="1:15" ht="28.5">
      <c r="A46" s="309" t="s">
        <v>11</v>
      </c>
      <c r="B46" s="90" t="s">
        <v>12</v>
      </c>
      <c r="C46" s="91" t="s">
        <v>651</v>
      </c>
      <c r="D46" s="91" t="s">
        <v>1344</v>
      </c>
      <c r="E46" s="93"/>
      <c r="F46" s="93" t="s">
        <v>650</v>
      </c>
      <c r="G46" s="92" t="s">
        <v>651</v>
      </c>
      <c r="H46" s="420" t="s">
        <v>690</v>
      </c>
      <c r="I46" s="47">
        <v>70906484</v>
      </c>
      <c r="J46" s="95" t="s">
        <v>16</v>
      </c>
      <c r="K46" s="96">
        <v>1.6</v>
      </c>
      <c r="L46" s="97"/>
      <c r="M46" s="30">
        <f>6570-5385</f>
        <v>1185</v>
      </c>
      <c r="N46" s="30">
        <f>25411-21504</f>
        <v>3907</v>
      </c>
      <c r="O46" s="30">
        <f t="shared" si="0"/>
        <v>5092</v>
      </c>
    </row>
    <row r="47" spans="1:15" ht="28.5">
      <c r="A47" s="309" t="s">
        <v>11</v>
      </c>
      <c r="B47" s="90" t="s">
        <v>12</v>
      </c>
      <c r="C47" s="91" t="s">
        <v>691</v>
      </c>
      <c r="D47" s="92"/>
      <c r="E47" s="93">
        <v>4</v>
      </c>
      <c r="F47" s="93" t="s">
        <v>650</v>
      </c>
      <c r="G47" s="92" t="s">
        <v>651</v>
      </c>
      <c r="H47" s="420" t="s">
        <v>692</v>
      </c>
      <c r="I47" s="47">
        <v>43687</v>
      </c>
      <c r="J47" s="95" t="s">
        <v>16</v>
      </c>
      <c r="K47" s="96">
        <v>0.3</v>
      </c>
      <c r="L47" s="97"/>
      <c r="M47" s="30">
        <f>2394-2018</f>
        <v>376</v>
      </c>
      <c r="N47" s="30">
        <f>5945-5077</f>
        <v>868</v>
      </c>
      <c r="O47" s="30">
        <f t="shared" si="0"/>
        <v>1244</v>
      </c>
    </row>
    <row r="48" spans="1:15" ht="28.5">
      <c r="A48" s="309" t="s">
        <v>11</v>
      </c>
      <c r="B48" s="90" t="s">
        <v>12</v>
      </c>
      <c r="C48" s="91" t="s">
        <v>691</v>
      </c>
      <c r="D48" s="92"/>
      <c r="E48" s="93">
        <v>2</v>
      </c>
      <c r="F48" s="93" t="s">
        <v>650</v>
      </c>
      <c r="G48" s="92" t="s">
        <v>651</v>
      </c>
      <c r="H48" s="420" t="s">
        <v>693</v>
      </c>
      <c r="I48" s="47">
        <v>43825</v>
      </c>
      <c r="J48" s="95" t="s">
        <v>16</v>
      </c>
      <c r="K48" s="96">
        <v>0.7</v>
      </c>
      <c r="L48" s="97"/>
      <c r="M48" s="30">
        <f>3849-3170</f>
        <v>679</v>
      </c>
      <c r="N48" s="30">
        <f>9606-8151</f>
        <v>1455</v>
      </c>
      <c r="O48" s="30">
        <f t="shared" si="0"/>
        <v>2134</v>
      </c>
    </row>
    <row r="49" spans="1:15" ht="28.5">
      <c r="A49" s="309" t="s">
        <v>11</v>
      </c>
      <c r="B49" s="90" t="s">
        <v>12</v>
      </c>
      <c r="C49" s="91" t="s">
        <v>691</v>
      </c>
      <c r="D49" s="92"/>
      <c r="E49" s="93">
        <v>3</v>
      </c>
      <c r="F49" s="93" t="s">
        <v>650</v>
      </c>
      <c r="G49" s="92" t="s">
        <v>651</v>
      </c>
      <c r="H49" s="420" t="s">
        <v>694</v>
      </c>
      <c r="I49" s="47">
        <v>34829</v>
      </c>
      <c r="J49" s="95" t="s">
        <v>16</v>
      </c>
      <c r="K49" s="96">
        <v>1</v>
      </c>
      <c r="L49" s="97"/>
      <c r="M49" s="30">
        <f>4638-3894</f>
        <v>744</v>
      </c>
      <c r="N49" s="30">
        <f>16197-12925</f>
        <v>3272</v>
      </c>
      <c r="O49" s="30">
        <f t="shared" si="0"/>
        <v>4016</v>
      </c>
    </row>
    <row r="50" spans="1:15" ht="28.5">
      <c r="A50" s="309" t="s">
        <v>11</v>
      </c>
      <c r="B50" s="90" t="s">
        <v>12</v>
      </c>
      <c r="C50" s="91" t="s">
        <v>691</v>
      </c>
      <c r="D50" s="92"/>
      <c r="E50" s="93">
        <v>1</v>
      </c>
      <c r="F50" s="93" t="s">
        <v>650</v>
      </c>
      <c r="G50" s="92" t="s">
        <v>651</v>
      </c>
      <c r="H50" s="420" t="s">
        <v>695</v>
      </c>
      <c r="I50" s="47">
        <v>43827</v>
      </c>
      <c r="J50" s="95" t="s">
        <v>16</v>
      </c>
      <c r="K50" s="96">
        <v>0.8</v>
      </c>
      <c r="L50" s="97"/>
      <c r="M50" s="30">
        <f>4091-3357</f>
        <v>734</v>
      </c>
      <c r="N50" s="30">
        <f>10808-9159</f>
        <v>1649</v>
      </c>
      <c r="O50" s="30">
        <f t="shared" si="0"/>
        <v>2383</v>
      </c>
    </row>
    <row r="51" spans="1:15" ht="28.5">
      <c r="A51" s="309" t="s">
        <v>11</v>
      </c>
      <c r="B51" s="90" t="s">
        <v>12</v>
      </c>
      <c r="C51" s="91" t="s">
        <v>673</v>
      </c>
      <c r="D51" s="92"/>
      <c r="E51" s="93">
        <v>8</v>
      </c>
      <c r="F51" s="93" t="s">
        <v>650</v>
      </c>
      <c r="G51" s="92" t="s">
        <v>651</v>
      </c>
      <c r="H51" s="420" t="s">
        <v>696</v>
      </c>
      <c r="I51" s="47">
        <v>70906693</v>
      </c>
      <c r="J51" s="95" t="s">
        <v>16</v>
      </c>
      <c r="K51" s="96">
        <v>0.6</v>
      </c>
      <c r="L51" s="97"/>
      <c r="M51" s="30">
        <f>6736-5472</f>
        <v>1264</v>
      </c>
      <c r="N51" s="30">
        <f>23181-19891</f>
        <v>3290</v>
      </c>
      <c r="O51" s="30">
        <f t="shared" si="0"/>
        <v>4554</v>
      </c>
    </row>
    <row r="52" spans="1:15" ht="28.5">
      <c r="A52" s="309" t="s">
        <v>11</v>
      </c>
      <c r="B52" s="90" t="s">
        <v>12</v>
      </c>
      <c r="C52" s="91" t="s">
        <v>673</v>
      </c>
      <c r="D52" s="92"/>
      <c r="E52" s="93">
        <v>14</v>
      </c>
      <c r="F52" s="93" t="s">
        <v>650</v>
      </c>
      <c r="G52" s="92" t="s">
        <v>651</v>
      </c>
      <c r="H52" s="420" t="s">
        <v>697</v>
      </c>
      <c r="I52" s="47">
        <v>70917107</v>
      </c>
      <c r="J52" s="95" t="s">
        <v>16</v>
      </c>
      <c r="K52" s="96">
        <v>2.3</v>
      </c>
      <c r="L52" s="97"/>
      <c r="M52" s="30">
        <f>7116-5552</f>
        <v>1564</v>
      </c>
      <c r="N52" s="30">
        <f>33239-25663</f>
        <v>7576</v>
      </c>
      <c r="O52" s="30">
        <f t="shared" si="0"/>
        <v>9140</v>
      </c>
    </row>
    <row r="53" spans="1:15" ht="28.5">
      <c r="A53" s="309" t="s">
        <v>11</v>
      </c>
      <c r="B53" s="90" t="s">
        <v>12</v>
      </c>
      <c r="C53" s="91" t="s">
        <v>698</v>
      </c>
      <c r="D53" s="92"/>
      <c r="E53" s="93">
        <v>17</v>
      </c>
      <c r="F53" s="93" t="s">
        <v>650</v>
      </c>
      <c r="G53" s="92" t="s">
        <v>651</v>
      </c>
      <c r="H53" s="420" t="s">
        <v>699</v>
      </c>
      <c r="I53" s="47">
        <v>43682</v>
      </c>
      <c r="J53" s="95" t="s">
        <v>16</v>
      </c>
      <c r="K53" s="96">
        <v>0.7</v>
      </c>
      <c r="L53" s="97"/>
      <c r="M53" s="30">
        <f>4141-3366</f>
        <v>775</v>
      </c>
      <c r="N53" s="30">
        <f>10023-8407</f>
        <v>1616</v>
      </c>
      <c r="O53" s="30">
        <f t="shared" si="0"/>
        <v>2391</v>
      </c>
    </row>
    <row r="54" spans="1:15" ht="28.5">
      <c r="A54" s="309" t="s">
        <v>11</v>
      </c>
      <c r="B54" s="90" t="s">
        <v>12</v>
      </c>
      <c r="C54" s="91" t="s">
        <v>698</v>
      </c>
      <c r="D54" s="92"/>
      <c r="E54" s="93">
        <v>2</v>
      </c>
      <c r="F54" s="93" t="s">
        <v>650</v>
      </c>
      <c r="G54" s="92" t="s">
        <v>651</v>
      </c>
      <c r="H54" s="420" t="s">
        <v>700</v>
      </c>
      <c r="I54" s="47">
        <v>70823180</v>
      </c>
      <c r="J54" s="95" t="s">
        <v>16</v>
      </c>
      <c r="K54" s="96">
        <v>0.8</v>
      </c>
      <c r="L54" s="97"/>
      <c r="M54" s="30">
        <f>4767-3948</f>
        <v>819</v>
      </c>
      <c r="N54" s="30">
        <f>15465-13272</f>
        <v>2193</v>
      </c>
      <c r="O54" s="30">
        <f t="shared" si="0"/>
        <v>3012</v>
      </c>
    </row>
    <row r="55" spans="1:15" ht="28.5">
      <c r="A55" s="309" t="s">
        <v>11</v>
      </c>
      <c r="B55" s="90" t="s">
        <v>12</v>
      </c>
      <c r="C55" s="91" t="s">
        <v>701</v>
      </c>
      <c r="D55" s="92"/>
      <c r="E55" s="93">
        <v>12</v>
      </c>
      <c r="F55" s="93" t="s">
        <v>650</v>
      </c>
      <c r="G55" s="92" t="s">
        <v>651</v>
      </c>
      <c r="H55" s="420" t="s">
        <v>702</v>
      </c>
      <c r="I55" s="47">
        <v>44863</v>
      </c>
      <c r="J55" s="95" t="s">
        <v>16</v>
      </c>
      <c r="K55" s="96">
        <v>0.6</v>
      </c>
      <c r="L55" s="97"/>
      <c r="M55" s="30">
        <f>3741-3118</f>
        <v>623</v>
      </c>
      <c r="N55" s="30">
        <f>9512-8089</f>
        <v>1423</v>
      </c>
      <c r="O55" s="30">
        <f t="shared" si="0"/>
        <v>2046</v>
      </c>
    </row>
    <row r="56" spans="1:15" ht="28.5">
      <c r="A56" s="309" t="s">
        <v>11</v>
      </c>
      <c r="B56" s="90" t="s">
        <v>12</v>
      </c>
      <c r="C56" s="91" t="s">
        <v>703</v>
      </c>
      <c r="D56" s="92"/>
      <c r="E56" s="93">
        <v>3</v>
      </c>
      <c r="F56" s="93" t="s">
        <v>650</v>
      </c>
      <c r="G56" s="92" t="s">
        <v>651</v>
      </c>
      <c r="H56" s="420" t="s">
        <v>704</v>
      </c>
      <c r="I56" s="47">
        <v>43830</v>
      </c>
      <c r="J56" s="95" t="s">
        <v>16</v>
      </c>
      <c r="K56" s="96">
        <v>0.6</v>
      </c>
      <c r="L56" s="97"/>
      <c r="M56" s="30">
        <f>3442-2822</f>
        <v>620</v>
      </c>
      <c r="N56" s="30">
        <f>8551-7230</f>
        <v>1321</v>
      </c>
      <c r="O56" s="30">
        <f t="shared" si="0"/>
        <v>1941</v>
      </c>
    </row>
    <row r="57" spans="1:15" ht="28.5">
      <c r="A57" s="309" t="s">
        <v>11</v>
      </c>
      <c r="B57" s="90" t="s">
        <v>12</v>
      </c>
      <c r="C57" s="91" t="s">
        <v>703</v>
      </c>
      <c r="D57" s="92"/>
      <c r="E57" s="93">
        <v>4</v>
      </c>
      <c r="F57" s="93" t="s">
        <v>650</v>
      </c>
      <c r="G57" s="92" t="s">
        <v>651</v>
      </c>
      <c r="H57" s="420" t="s">
        <v>705</v>
      </c>
      <c r="I57" s="47">
        <v>43826</v>
      </c>
      <c r="J57" s="95" t="s">
        <v>16</v>
      </c>
      <c r="K57" s="96">
        <v>0.6</v>
      </c>
      <c r="L57" s="97"/>
      <c r="M57" s="30">
        <f>3309-2672</f>
        <v>637</v>
      </c>
      <c r="N57" s="30">
        <f>7760-6377</f>
        <v>1383</v>
      </c>
      <c r="O57" s="30">
        <f t="shared" si="0"/>
        <v>2020</v>
      </c>
    </row>
    <row r="58" spans="1:15" ht="28.5">
      <c r="A58" s="309" t="s">
        <v>11</v>
      </c>
      <c r="B58" s="90" t="s">
        <v>12</v>
      </c>
      <c r="C58" s="91" t="s">
        <v>706</v>
      </c>
      <c r="D58" s="92"/>
      <c r="E58" s="93">
        <v>19</v>
      </c>
      <c r="F58" s="93" t="s">
        <v>650</v>
      </c>
      <c r="G58" s="92" t="s">
        <v>651</v>
      </c>
      <c r="H58" s="420" t="s">
        <v>707</v>
      </c>
      <c r="I58" s="47">
        <v>43891</v>
      </c>
      <c r="J58" s="95" t="s">
        <v>16</v>
      </c>
      <c r="K58" s="96">
        <v>0.9</v>
      </c>
      <c r="L58" s="97"/>
      <c r="M58" s="30">
        <f>5829-4729</f>
        <v>1100</v>
      </c>
      <c r="N58" s="30">
        <f>14653-12157</f>
        <v>2496</v>
      </c>
      <c r="O58" s="30">
        <f t="shared" si="0"/>
        <v>3596</v>
      </c>
    </row>
    <row r="59" spans="1:15" ht="28.5">
      <c r="A59" s="309" t="s">
        <v>11</v>
      </c>
      <c r="B59" s="90" t="s">
        <v>12</v>
      </c>
      <c r="C59" s="91" t="s">
        <v>706</v>
      </c>
      <c r="D59" s="92"/>
      <c r="E59" s="93" t="s">
        <v>1345</v>
      </c>
      <c r="F59" s="93" t="s">
        <v>650</v>
      </c>
      <c r="G59" s="92" t="s">
        <v>651</v>
      </c>
      <c r="H59" s="420" t="s">
        <v>708</v>
      </c>
      <c r="I59" s="47">
        <v>43882</v>
      </c>
      <c r="J59" s="95" t="s">
        <v>16</v>
      </c>
      <c r="K59" s="96">
        <v>0.7</v>
      </c>
      <c r="L59" s="97"/>
      <c r="M59" s="30">
        <f>3316-2617</f>
        <v>699</v>
      </c>
      <c r="N59" s="30">
        <f>7764-6366</f>
        <v>1398</v>
      </c>
      <c r="O59" s="30">
        <f t="shared" si="0"/>
        <v>2097</v>
      </c>
    </row>
    <row r="60" spans="1:15" ht="28.5">
      <c r="A60" s="309" t="s">
        <v>11</v>
      </c>
      <c r="B60" s="90" t="s">
        <v>12</v>
      </c>
      <c r="C60" s="91" t="s">
        <v>710</v>
      </c>
      <c r="D60" s="92"/>
      <c r="E60" s="93"/>
      <c r="F60" s="93" t="s">
        <v>650</v>
      </c>
      <c r="G60" s="92" t="s">
        <v>651</v>
      </c>
      <c r="H60" s="420" t="s">
        <v>709</v>
      </c>
      <c r="I60" s="47">
        <v>43887</v>
      </c>
      <c r="J60" s="95" t="s">
        <v>16</v>
      </c>
      <c r="K60" s="96">
        <v>0.9</v>
      </c>
      <c r="L60" s="97"/>
      <c r="M60" s="30">
        <f>5545-4553</f>
        <v>992</v>
      </c>
      <c r="N60" s="30">
        <f>15751-13650</f>
        <v>2101</v>
      </c>
      <c r="O60" s="30">
        <f t="shared" si="0"/>
        <v>3093</v>
      </c>
    </row>
    <row r="61" spans="1:15" ht="28.5">
      <c r="A61" s="309" t="s">
        <v>11</v>
      </c>
      <c r="B61" s="90" t="s">
        <v>12</v>
      </c>
      <c r="C61" s="91" t="s">
        <v>710</v>
      </c>
      <c r="D61" s="92"/>
      <c r="E61" s="93">
        <v>1</v>
      </c>
      <c r="F61" s="93" t="s">
        <v>650</v>
      </c>
      <c r="G61" s="92" t="s">
        <v>651</v>
      </c>
      <c r="H61" s="420" t="s">
        <v>711</v>
      </c>
      <c r="I61" s="47">
        <v>43888</v>
      </c>
      <c r="J61" s="95" t="s">
        <v>16</v>
      </c>
      <c r="K61" s="96">
        <v>0.8</v>
      </c>
      <c r="L61" s="97"/>
      <c r="M61" s="30">
        <f>4849-3954</f>
        <v>895</v>
      </c>
      <c r="N61" s="30">
        <f>16422-12645</f>
        <v>3777</v>
      </c>
      <c r="O61" s="30">
        <f t="shared" si="0"/>
        <v>4672</v>
      </c>
    </row>
    <row r="62" spans="1:15" ht="28.5">
      <c r="A62" s="309" t="s">
        <v>11</v>
      </c>
      <c r="B62" s="90" t="s">
        <v>12</v>
      </c>
      <c r="C62" s="91" t="s">
        <v>710</v>
      </c>
      <c r="D62" s="92"/>
      <c r="E62" s="93">
        <v>2</v>
      </c>
      <c r="F62" s="93" t="s">
        <v>650</v>
      </c>
      <c r="G62" s="92" t="s">
        <v>651</v>
      </c>
      <c r="H62" s="420" t="s">
        <v>712</v>
      </c>
      <c r="I62" s="47">
        <v>43885</v>
      </c>
      <c r="J62" s="95" t="s">
        <v>16</v>
      </c>
      <c r="K62" s="96">
        <v>1.3</v>
      </c>
      <c r="L62" s="97"/>
      <c r="M62" s="30">
        <f>6594-5516</f>
        <v>1078</v>
      </c>
      <c r="N62" s="30">
        <f>22632-18309</f>
        <v>4323</v>
      </c>
      <c r="O62" s="30">
        <f t="shared" si="0"/>
        <v>5401</v>
      </c>
    </row>
    <row r="63" spans="1:15" ht="28.5">
      <c r="A63" s="309" t="s">
        <v>11</v>
      </c>
      <c r="B63" s="90" t="s">
        <v>12</v>
      </c>
      <c r="C63" s="91" t="s">
        <v>710</v>
      </c>
      <c r="D63" s="92"/>
      <c r="E63" s="93">
        <v>6</v>
      </c>
      <c r="F63" s="93" t="s">
        <v>650</v>
      </c>
      <c r="G63" s="92" t="s">
        <v>651</v>
      </c>
      <c r="H63" s="420" t="s">
        <v>713</v>
      </c>
      <c r="I63" s="47">
        <v>44864</v>
      </c>
      <c r="J63" s="95" t="s">
        <v>16</v>
      </c>
      <c r="K63" s="96">
        <v>0.2</v>
      </c>
      <c r="L63" s="97"/>
      <c r="M63" s="30">
        <f>996-852</f>
        <v>144</v>
      </c>
      <c r="N63" s="30">
        <f>2870-2429</f>
        <v>441</v>
      </c>
      <c r="O63" s="30">
        <f t="shared" si="0"/>
        <v>585</v>
      </c>
    </row>
    <row r="64" spans="1:15" ht="28.5">
      <c r="A64" s="309" t="s">
        <v>11</v>
      </c>
      <c r="B64" s="90" t="s">
        <v>12</v>
      </c>
      <c r="C64" s="91" t="s">
        <v>710</v>
      </c>
      <c r="D64" s="92"/>
      <c r="E64" s="93">
        <v>3</v>
      </c>
      <c r="F64" s="93" t="s">
        <v>650</v>
      </c>
      <c r="G64" s="92" t="s">
        <v>651</v>
      </c>
      <c r="H64" s="420" t="s">
        <v>714</v>
      </c>
      <c r="I64" s="47">
        <v>43688</v>
      </c>
      <c r="J64" s="95" t="s">
        <v>16</v>
      </c>
      <c r="K64" s="96">
        <v>0.2</v>
      </c>
      <c r="L64" s="97"/>
      <c r="M64" s="30">
        <f>1158-938</f>
        <v>220</v>
      </c>
      <c r="N64" s="30">
        <f>2848-2384</f>
        <v>464</v>
      </c>
      <c r="O64" s="30">
        <f t="shared" si="0"/>
        <v>684</v>
      </c>
    </row>
    <row r="65" spans="1:15" ht="28.5">
      <c r="A65" s="309" t="s">
        <v>11</v>
      </c>
      <c r="B65" s="90" t="s">
        <v>12</v>
      </c>
      <c r="C65" s="91" t="s">
        <v>710</v>
      </c>
      <c r="D65" s="92"/>
      <c r="E65" s="93">
        <v>9</v>
      </c>
      <c r="F65" s="93" t="s">
        <v>650</v>
      </c>
      <c r="G65" s="92" t="s">
        <v>651</v>
      </c>
      <c r="H65" s="420" t="s">
        <v>715</v>
      </c>
      <c r="I65" s="47">
        <v>43889</v>
      </c>
      <c r="J65" s="95" t="s">
        <v>16</v>
      </c>
      <c r="K65" s="96">
        <v>1.1</v>
      </c>
      <c r="L65" s="97"/>
      <c r="M65" s="30">
        <f>5580-4522</f>
        <v>1058</v>
      </c>
      <c r="N65" s="30">
        <f>16260-13999</f>
        <v>2261</v>
      </c>
      <c r="O65" s="30">
        <f t="shared" si="0"/>
        <v>3319</v>
      </c>
    </row>
    <row r="66" spans="1:15" ht="28.5">
      <c r="A66" s="309" t="s">
        <v>11</v>
      </c>
      <c r="B66" s="90" t="s">
        <v>12</v>
      </c>
      <c r="C66" s="91" t="s">
        <v>710</v>
      </c>
      <c r="D66" s="92"/>
      <c r="E66" s="93">
        <v>10</v>
      </c>
      <c r="F66" s="93" t="s">
        <v>650</v>
      </c>
      <c r="G66" s="92" t="s">
        <v>651</v>
      </c>
      <c r="H66" s="420" t="s">
        <v>716</v>
      </c>
      <c r="I66" s="47">
        <v>43691</v>
      </c>
      <c r="J66" s="95" t="s">
        <v>16</v>
      </c>
      <c r="K66" s="96">
        <v>1.3</v>
      </c>
      <c r="L66" s="97"/>
      <c r="M66" s="30">
        <f>7658-6377</f>
        <v>1281</v>
      </c>
      <c r="N66" s="30">
        <f>24804-20358</f>
        <v>4446</v>
      </c>
      <c r="O66" s="30">
        <f t="shared" si="0"/>
        <v>5727</v>
      </c>
    </row>
    <row r="67" spans="1:15" ht="29.25" thickBot="1">
      <c r="A67" s="309" t="s">
        <v>11</v>
      </c>
      <c r="B67" s="98" t="s">
        <v>12</v>
      </c>
      <c r="C67" s="99" t="s">
        <v>710</v>
      </c>
      <c r="D67" s="100"/>
      <c r="E67" s="93">
        <v>7</v>
      </c>
      <c r="F67" s="402" t="s">
        <v>650</v>
      </c>
      <c r="G67" s="100" t="s">
        <v>651</v>
      </c>
      <c r="H67" s="652" t="s">
        <v>717</v>
      </c>
      <c r="I67" s="47">
        <v>41323</v>
      </c>
      <c r="J67" s="95" t="s">
        <v>16</v>
      </c>
      <c r="K67" s="96">
        <v>0.6</v>
      </c>
      <c r="L67" s="97"/>
      <c r="M67" s="30">
        <f>8120-6434</f>
        <v>1686</v>
      </c>
      <c r="N67" s="30">
        <f>19101-19096</f>
        <v>5</v>
      </c>
      <c r="O67" s="30">
        <f t="shared" si="0"/>
        <v>1691</v>
      </c>
    </row>
    <row r="68" spans="2:15" ht="19.5" customHeight="1">
      <c r="B68" s="595" t="s">
        <v>155</v>
      </c>
      <c r="C68" s="596" t="s">
        <v>718</v>
      </c>
      <c r="D68" s="101"/>
      <c r="F68" s="602"/>
      <c r="G68" s="649" t="s">
        <v>1998</v>
      </c>
      <c r="H68" s="597" t="s">
        <v>718</v>
      </c>
      <c r="M68" s="102"/>
      <c r="N68" s="56" t="s">
        <v>156</v>
      </c>
      <c r="O68" s="310">
        <f>SUM(O18:O67)</f>
        <v>185969</v>
      </c>
    </row>
    <row r="69" spans="2:8" ht="14.25">
      <c r="B69" s="598"/>
      <c r="C69" s="599" t="s">
        <v>719</v>
      </c>
      <c r="D69" s="104"/>
      <c r="F69" s="304"/>
      <c r="G69" s="51"/>
      <c r="H69" s="600" t="s">
        <v>719</v>
      </c>
    </row>
    <row r="70" spans="2:8" ht="15" thickBot="1">
      <c r="B70" s="598"/>
      <c r="C70" s="599" t="s">
        <v>1816</v>
      </c>
      <c r="D70" s="104"/>
      <c r="F70" s="320"/>
      <c r="G70" s="603"/>
      <c r="H70" s="601" t="s">
        <v>1816</v>
      </c>
    </row>
    <row r="71" spans="2:4" ht="14.25">
      <c r="B71" s="598" t="s">
        <v>1689</v>
      </c>
      <c r="C71" s="599" t="s">
        <v>2004</v>
      </c>
      <c r="D71" s="104"/>
    </row>
    <row r="72" spans="2:11" ht="15.75" thickBot="1">
      <c r="B72" s="240" t="s">
        <v>1693</v>
      </c>
      <c r="C72" s="71" t="s">
        <v>1734</v>
      </c>
      <c r="D72" s="494"/>
      <c r="I72" s="31"/>
      <c r="J72" s="31"/>
      <c r="K72" s="31"/>
    </row>
    <row r="73" spans="2:13" ht="15">
      <c r="B73" s="314"/>
      <c r="C73" s="69"/>
      <c r="D73" s="315"/>
      <c r="F73" s="31"/>
      <c r="G73" s="31"/>
      <c r="H73" s="31"/>
      <c r="I73" s="31"/>
      <c r="J73" s="31"/>
      <c r="K73" s="31"/>
      <c r="L73" s="59" t="s">
        <v>160</v>
      </c>
      <c r="M73" s="2">
        <f>O68</f>
        <v>185969</v>
      </c>
    </row>
    <row r="74" spans="2:11" ht="15.75" thickBot="1">
      <c r="B74" s="314"/>
      <c r="C74" s="69"/>
      <c r="D74" s="315"/>
      <c r="F74" s="31"/>
      <c r="G74" s="31"/>
      <c r="H74" s="31"/>
      <c r="I74" s="31"/>
      <c r="J74" s="31"/>
      <c r="K74" s="31"/>
    </row>
    <row r="75" spans="6:15" ht="44.25" customHeight="1">
      <c r="F75" s="31"/>
      <c r="G75" s="171"/>
      <c r="H75" s="171"/>
      <c r="I75" s="171"/>
      <c r="J75" s="238"/>
      <c r="K75" s="737" t="s">
        <v>157</v>
      </c>
      <c r="L75" s="702" t="s">
        <v>1034</v>
      </c>
      <c r="M75" s="703"/>
      <c r="N75" s="704"/>
      <c r="O75" s="713" t="s">
        <v>158</v>
      </c>
    </row>
    <row r="76" spans="6:15" ht="24.75" customHeight="1" thickBot="1">
      <c r="F76" s="31"/>
      <c r="G76" s="171"/>
      <c r="H76" s="234"/>
      <c r="I76" s="234"/>
      <c r="J76" s="238"/>
      <c r="K76" s="738"/>
      <c r="L76" s="130" t="s">
        <v>159</v>
      </c>
      <c r="M76" s="130" t="s">
        <v>1035</v>
      </c>
      <c r="N76" s="130" t="s">
        <v>1036</v>
      </c>
      <c r="O76" s="714"/>
    </row>
    <row r="77" spans="6:15" ht="15" thickBot="1">
      <c r="F77" s="31"/>
      <c r="G77" s="31"/>
      <c r="H77" s="156"/>
      <c r="I77" s="156"/>
      <c r="J77" s="156"/>
      <c r="K77" s="53" t="s">
        <v>16</v>
      </c>
      <c r="L77" s="55"/>
      <c r="M77" s="148">
        <f>SUM(M18:M67)</f>
        <v>46760</v>
      </c>
      <c r="N77" s="148">
        <f>SUM(N18:N67)</f>
        <v>139209</v>
      </c>
      <c r="O77" s="148">
        <v>50</v>
      </c>
    </row>
    <row r="78" spans="6:15" ht="15" thickBot="1">
      <c r="F78" s="31"/>
      <c r="G78" s="149"/>
      <c r="H78" s="156"/>
      <c r="I78" s="156"/>
      <c r="J78" s="156"/>
      <c r="K78" s="61" t="s">
        <v>160</v>
      </c>
      <c r="L78" s="146"/>
      <c r="M78" s="147">
        <f>M77</f>
        <v>46760</v>
      </c>
      <c r="N78" s="15">
        <f>N77</f>
        <v>139209</v>
      </c>
      <c r="O78" s="354">
        <v>50</v>
      </c>
    </row>
    <row r="79" spans="6:15" ht="18.75" thickBot="1">
      <c r="F79" s="31"/>
      <c r="G79" s="31"/>
      <c r="H79" s="237"/>
      <c r="I79" s="156"/>
      <c r="J79" s="156"/>
      <c r="L79" s="20" t="s">
        <v>161</v>
      </c>
      <c r="M79" s="346">
        <f>M78+N78</f>
        <v>185969</v>
      </c>
      <c r="N79" s="2"/>
      <c r="O79" s="2"/>
    </row>
    <row r="80" spans="6:11" ht="14.25">
      <c r="F80" s="31"/>
      <c r="G80" s="31"/>
      <c r="H80" s="31"/>
      <c r="I80" s="31"/>
      <c r="J80" s="31"/>
      <c r="K80" s="31"/>
    </row>
    <row r="81" spans="6:11" ht="14.25">
      <c r="F81" s="31"/>
      <c r="G81" s="31"/>
      <c r="H81" s="31"/>
      <c r="I81" s="31"/>
      <c r="J81" s="31"/>
      <c r="K81" s="31"/>
    </row>
    <row r="82" spans="6:11" ht="14.25">
      <c r="F82" s="31"/>
      <c r="G82" s="31"/>
      <c r="H82" s="31"/>
      <c r="I82" s="31"/>
      <c r="J82" s="31"/>
      <c r="K82" s="31"/>
    </row>
  </sheetData>
  <sheetProtection/>
  <mergeCells count="19">
    <mergeCell ref="B1:K1"/>
    <mergeCell ref="L16:O16"/>
    <mergeCell ref="J15:J17"/>
    <mergeCell ref="K15:K17"/>
    <mergeCell ref="L15:O15"/>
    <mergeCell ref="A15:A17"/>
    <mergeCell ref="B15:B17"/>
    <mergeCell ref="C15:C17"/>
    <mergeCell ref="D15:D17"/>
    <mergeCell ref="H15:H17"/>
    <mergeCell ref="K75:K76"/>
    <mergeCell ref="L75:N75"/>
    <mergeCell ref="O75:O76"/>
    <mergeCell ref="B3:I3"/>
    <mergeCell ref="B5:I5"/>
    <mergeCell ref="E15:E17"/>
    <mergeCell ref="F15:F17"/>
    <mergeCell ref="G15:G17"/>
    <mergeCell ref="I15:I17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8"/>
  <sheetViews>
    <sheetView zoomScale="82" zoomScaleNormal="82" zoomScalePageLayoutView="0" workbookViewId="0" topLeftCell="A70">
      <selection activeCell="F92" sqref="F92"/>
    </sheetView>
  </sheetViews>
  <sheetFormatPr defaultColWidth="8.796875" defaultRowHeight="14.25"/>
  <cols>
    <col min="1" max="1" width="13.69921875" style="1" customWidth="1"/>
    <col min="2" max="2" width="12.8984375" style="0" customWidth="1"/>
    <col min="3" max="3" width="15.19921875" style="0" customWidth="1"/>
    <col min="4" max="4" width="12.3984375" style="0" customWidth="1"/>
    <col min="5" max="5" width="13.19921875" style="0" customWidth="1"/>
    <col min="6" max="6" width="11.3984375" style="0" customWidth="1"/>
    <col min="7" max="7" width="9.8984375" style="0" customWidth="1"/>
    <col min="8" max="8" width="27.3984375" style="0" customWidth="1"/>
    <col min="9" max="9" width="15.69921875" style="0" customWidth="1"/>
    <col min="10" max="10" width="11.19921875" style="0" customWidth="1"/>
    <col min="11" max="11" width="13.69921875" style="1" customWidth="1"/>
    <col min="12" max="12" width="14.5" style="0" customWidth="1"/>
    <col min="13" max="13" width="14.19921875" style="0" customWidth="1"/>
    <col min="14" max="14" width="17.19921875" style="0" customWidth="1"/>
    <col min="15" max="15" width="17.09765625" style="0" customWidth="1"/>
    <col min="16" max="16" width="15" style="0" customWidth="1"/>
    <col min="17" max="17" width="15.3984375" style="0" customWidth="1"/>
    <col min="18" max="18" width="15.59765625" style="0" customWidth="1"/>
    <col min="19" max="19" width="22" style="0" customWidth="1"/>
    <col min="20" max="20" width="21.8984375" style="0" customWidth="1"/>
    <col min="21" max="21" width="20.69921875" style="0" customWidth="1"/>
  </cols>
  <sheetData>
    <row r="1" spans="1:11" ht="18">
      <c r="A1"/>
      <c r="B1" s="698" t="s">
        <v>1757</v>
      </c>
      <c r="C1" s="698"/>
      <c r="D1" s="698"/>
      <c r="E1" s="698"/>
      <c r="F1" s="698"/>
      <c r="G1" s="698"/>
      <c r="H1" s="698"/>
      <c r="I1" s="698"/>
      <c r="J1" s="698"/>
      <c r="K1" s="698"/>
    </row>
    <row r="2" spans="1:11" ht="15">
      <c r="A2"/>
      <c r="B2" s="222"/>
      <c r="C2" s="222"/>
      <c r="D2" s="222"/>
      <c r="E2" s="222"/>
      <c r="F2" s="222"/>
      <c r="G2" s="222"/>
      <c r="H2" s="224"/>
      <c r="I2" s="222"/>
      <c r="J2" s="222"/>
      <c r="K2" s="224"/>
    </row>
    <row r="3" spans="1:11" ht="27" customHeight="1">
      <c r="A3"/>
      <c r="B3" s="715" t="s">
        <v>1051</v>
      </c>
      <c r="C3" s="716"/>
      <c r="D3" s="716"/>
      <c r="E3" s="716"/>
      <c r="F3" s="716"/>
      <c r="G3" s="716"/>
      <c r="H3" s="716"/>
      <c r="I3" s="717"/>
      <c r="J3" s="222"/>
      <c r="K3" s="224"/>
    </row>
    <row r="4" spans="1:11" ht="15">
      <c r="A4"/>
      <c r="B4" s="223"/>
      <c r="C4" s="223"/>
      <c r="D4" s="223"/>
      <c r="E4" s="223"/>
      <c r="F4" s="223"/>
      <c r="G4" s="223"/>
      <c r="H4" s="224"/>
      <c r="I4" s="222"/>
      <c r="J4" s="222"/>
      <c r="K4" s="222"/>
    </row>
    <row r="5" spans="1:11" ht="23.25" customHeight="1">
      <c r="A5"/>
      <c r="B5" s="679" t="s">
        <v>1029</v>
      </c>
      <c r="C5" s="679"/>
      <c r="D5" s="679"/>
      <c r="E5" s="679"/>
      <c r="F5" s="679"/>
      <c r="G5" s="679"/>
      <c r="H5" s="679"/>
      <c r="I5" s="679"/>
      <c r="J5" s="222"/>
      <c r="K5" s="222"/>
    </row>
    <row r="6" spans="1:11" ht="15">
      <c r="A6"/>
      <c r="B6" s="223"/>
      <c r="C6" s="223"/>
      <c r="D6" s="223"/>
      <c r="E6" s="223"/>
      <c r="F6" s="223"/>
      <c r="G6" s="223"/>
      <c r="H6" s="224"/>
      <c r="I6" s="222"/>
      <c r="J6" s="222"/>
      <c r="K6" s="222"/>
    </row>
    <row r="7" spans="1:11" ht="15.75">
      <c r="A7"/>
      <c r="B7" s="225" t="s">
        <v>967</v>
      </c>
      <c r="C7" s="222"/>
      <c r="D7" s="223"/>
      <c r="E7" s="223"/>
      <c r="F7" s="223"/>
      <c r="G7" s="222"/>
      <c r="H7" s="224"/>
      <c r="I7" s="222"/>
      <c r="J7" s="222"/>
      <c r="K7" s="222"/>
    </row>
    <row r="8" spans="1:11" ht="15">
      <c r="A8"/>
      <c r="B8" s="528" t="s">
        <v>1986</v>
      </c>
      <c r="C8" s="222"/>
      <c r="D8" s="223"/>
      <c r="E8" s="223"/>
      <c r="F8" s="223"/>
      <c r="G8" s="222"/>
      <c r="H8" s="224"/>
      <c r="I8" s="222"/>
      <c r="J8" s="222"/>
      <c r="K8" s="222"/>
    </row>
    <row r="9" spans="1:11" ht="15.75">
      <c r="A9"/>
      <c r="B9" s="226" t="s">
        <v>1828</v>
      </c>
      <c r="C9" s="222"/>
      <c r="D9" s="227"/>
      <c r="E9" s="223"/>
      <c r="F9" s="223"/>
      <c r="G9" s="222"/>
      <c r="H9" s="224"/>
      <c r="I9" s="222"/>
      <c r="J9" s="222"/>
      <c r="K9" s="222"/>
    </row>
    <row r="10" spans="1:11" ht="15.75">
      <c r="A10"/>
      <c r="B10" s="226" t="s">
        <v>1681</v>
      </c>
      <c r="C10" s="222"/>
      <c r="D10" s="227"/>
      <c r="E10" s="223"/>
      <c r="F10" s="223"/>
      <c r="G10" s="222"/>
      <c r="H10" s="224"/>
      <c r="I10" s="222"/>
      <c r="J10" s="222"/>
      <c r="K10" s="222"/>
    </row>
    <row r="11" spans="1:11" ht="15">
      <c r="A11"/>
      <c r="B11" s="222" t="s">
        <v>1684</v>
      </c>
      <c r="C11" s="222"/>
      <c r="D11" s="222"/>
      <c r="E11" s="222"/>
      <c r="F11" s="222"/>
      <c r="G11" s="222"/>
      <c r="H11" s="224"/>
      <c r="I11" s="222"/>
      <c r="J11" s="222"/>
      <c r="K11" s="222"/>
    </row>
    <row r="12" spans="1:11" ht="15">
      <c r="A12"/>
      <c r="B12" s="222"/>
      <c r="C12" s="222"/>
      <c r="D12" s="222"/>
      <c r="E12" s="222"/>
      <c r="F12" s="222"/>
      <c r="G12" s="222"/>
      <c r="H12" s="224"/>
      <c r="I12" s="222"/>
      <c r="J12" s="222"/>
      <c r="K12" s="222"/>
    </row>
    <row r="13" spans="1:11" ht="15.75">
      <c r="A13"/>
      <c r="B13" s="228" t="s">
        <v>1030</v>
      </c>
      <c r="C13" s="229" t="s">
        <v>1031</v>
      </c>
      <c r="D13" s="227"/>
      <c r="E13" s="227"/>
      <c r="F13" s="227"/>
      <c r="G13" s="227"/>
      <c r="H13" s="222"/>
      <c r="I13" s="222"/>
      <c r="J13" s="222"/>
      <c r="K13" s="222"/>
    </row>
    <row r="14" spans="1:11" ht="15.75">
      <c r="A14"/>
      <c r="B14" s="228" t="s">
        <v>1032</v>
      </c>
      <c r="C14" s="225" t="s">
        <v>1033</v>
      </c>
      <c r="D14" s="227"/>
      <c r="E14" s="227"/>
      <c r="F14" s="227"/>
      <c r="G14" s="227"/>
      <c r="H14" s="222"/>
      <c r="I14" s="222"/>
      <c r="J14" s="222"/>
      <c r="K14" s="222"/>
    </row>
    <row r="15" spans="1:11" ht="15" thickBot="1">
      <c r="A15" s="88"/>
      <c r="B15" s="88"/>
      <c r="C15" s="31"/>
      <c r="D15" s="31"/>
      <c r="E15" s="31"/>
      <c r="F15" s="31"/>
      <c r="G15" s="31"/>
      <c r="H15" s="31"/>
      <c r="I15" s="31"/>
      <c r="K15"/>
    </row>
    <row r="16" spans="1:15" ht="51.75" customHeight="1">
      <c r="A16" s="757" t="s">
        <v>0</v>
      </c>
      <c r="B16" s="751" t="s">
        <v>993</v>
      </c>
      <c r="C16" s="751" t="s">
        <v>2</v>
      </c>
      <c r="D16" s="751" t="s">
        <v>3</v>
      </c>
      <c r="E16" s="748" t="s">
        <v>1038</v>
      </c>
      <c r="F16" s="748" t="s">
        <v>5</v>
      </c>
      <c r="G16" s="751" t="s">
        <v>6</v>
      </c>
      <c r="H16" s="748" t="s">
        <v>7</v>
      </c>
      <c r="I16" s="748" t="s">
        <v>753</v>
      </c>
      <c r="J16" s="748" t="s">
        <v>157</v>
      </c>
      <c r="K16" s="754" t="s">
        <v>992</v>
      </c>
      <c r="L16" s="745" t="s">
        <v>1039</v>
      </c>
      <c r="M16" s="746"/>
      <c r="N16" s="746"/>
      <c r="O16" s="747"/>
    </row>
    <row r="17" spans="1:15" ht="40.5" customHeight="1">
      <c r="A17" s="758"/>
      <c r="B17" s="752"/>
      <c r="C17" s="752"/>
      <c r="D17" s="752"/>
      <c r="E17" s="749"/>
      <c r="F17" s="749"/>
      <c r="G17" s="752"/>
      <c r="H17" s="749"/>
      <c r="I17" s="749"/>
      <c r="J17" s="749"/>
      <c r="K17" s="755"/>
      <c r="L17" s="742" t="s">
        <v>1040</v>
      </c>
      <c r="M17" s="743"/>
      <c r="N17" s="743"/>
      <c r="O17" s="744"/>
    </row>
    <row r="18" spans="1:15" ht="36.75" customHeight="1" thickBot="1">
      <c r="A18" s="759"/>
      <c r="B18" s="753"/>
      <c r="C18" s="753"/>
      <c r="D18" s="753"/>
      <c r="E18" s="750"/>
      <c r="F18" s="750"/>
      <c r="G18" s="753"/>
      <c r="H18" s="750"/>
      <c r="I18" s="750"/>
      <c r="J18" s="750"/>
      <c r="K18" s="756"/>
      <c r="L18" s="172" t="s">
        <v>1041</v>
      </c>
      <c r="M18" s="173" t="s">
        <v>1035</v>
      </c>
      <c r="N18" s="173" t="s">
        <v>1036</v>
      </c>
      <c r="O18" s="174" t="s">
        <v>10</v>
      </c>
    </row>
    <row r="19" spans="1:15" ht="29.25">
      <c r="A19" s="460" t="s">
        <v>11</v>
      </c>
      <c r="B19" s="253" t="s">
        <v>162</v>
      </c>
      <c r="C19" s="253" t="s">
        <v>720</v>
      </c>
      <c r="D19" s="176"/>
      <c r="E19" s="253">
        <v>1</v>
      </c>
      <c r="F19" s="253" t="s">
        <v>721</v>
      </c>
      <c r="G19" s="176" t="s">
        <v>722</v>
      </c>
      <c r="H19" s="462" t="s">
        <v>1495</v>
      </c>
      <c r="I19" s="256">
        <v>41032</v>
      </c>
      <c r="J19" s="254" t="s">
        <v>16</v>
      </c>
      <c r="K19" s="253">
        <v>1.7</v>
      </c>
      <c r="L19" s="246"/>
      <c r="M19" s="176">
        <f>5877-4704</f>
        <v>1173</v>
      </c>
      <c r="N19" s="176">
        <f>18008-15109</f>
        <v>2899</v>
      </c>
      <c r="O19" s="105">
        <f>SUM(M19:N19)</f>
        <v>4072</v>
      </c>
    </row>
    <row r="20" spans="1:15" ht="29.25">
      <c r="A20" s="460" t="s">
        <v>11</v>
      </c>
      <c r="B20" s="253" t="s">
        <v>162</v>
      </c>
      <c r="C20" s="253" t="s">
        <v>720</v>
      </c>
      <c r="D20" s="176"/>
      <c r="E20" s="253">
        <v>2</v>
      </c>
      <c r="F20" s="253" t="s">
        <v>721</v>
      </c>
      <c r="G20" s="176" t="s">
        <v>722</v>
      </c>
      <c r="H20" s="462" t="s">
        <v>1496</v>
      </c>
      <c r="I20" s="256">
        <v>41202</v>
      </c>
      <c r="J20" s="254" t="s">
        <v>16</v>
      </c>
      <c r="K20" s="253">
        <v>2.2</v>
      </c>
      <c r="L20" s="246"/>
      <c r="M20" s="176">
        <f>3009-2405</f>
        <v>604</v>
      </c>
      <c r="N20" s="176">
        <f>9235-7734</f>
        <v>1501</v>
      </c>
      <c r="O20" s="105">
        <f aca="true" t="shared" si="0" ref="O20:O68">SUM(M20:N20)</f>
        <v>2105</v>
      </c>
    </row>
    <row r="21" spans="1:15" ht="29.25">
      <c r="A21" s="460" t="s">
        <v>11</v>
      </c>
      <c r="B21" s="253" t="s">
        <v>162</v>
      </c>
      <c r="C21" s="253" t="s">
        <v>1497</v>
      </c>
      <c r="D21" s="176"/>
      <c r="E21" s="253">
        <v>1</v>
      </c>
      <c r="F21" s="253" t="s">
        <v>721</v>
      </c>
      <c r="G21" s="176" t="s">
        <v>722</v>
      </c>
      <c r="H21" s="462" t="s">
        <v>1498</v>
      </c>
      <c r="I21" s="256">
        <v>37113</v>
      </c>
      <c r="J21" s="254" t="s">
        <v>16</v>
      </c>
      <c r="K21" s="253">
        <v>6.6</v>
      </c>
      <c r="L21" s="246"/>
      <c r="M21" s="176">
        <f>5284-4320</f>
        <v>964</v>
      </c>
      <c r="N21" s="176">
        <f>22911-18900</f>
        <v>4011</v>
      </c>
      <c r="O21" s="105">
        <f t="shared" si="0"/>
        <v>4975</v>
      </c>
    </row>
    <row r="22" spans="1:15" ht="29.25">
      <c r="A22" s="460" t="s">
        <v>11</v>
      </c>
      <c r="B22" s="253" t="s">
        <v>162</v>
      </c>
      <c r="C22" s="253" t="s">
        <v>1497</v>
      </c>
      <c r="D22" s="176"/>
      <c r="E22" s="253"/>
      <c r="F22" s="253" t="s">
        <v>721</v>
      </c>
      <c r="G22" s="176" t="s">
        <v>722</v>
      </c>
      <c r="H22" s="462" t="s">
        <v>1486</v>
      </c>
      <c r="I22" s="256">
        <v>3516161</v>
      </c>
      <c r="J22" s="254" t="s">
        <v>16</v>
      </c>
      <c r="K22" s="253">
        <v>6.6</v>
      </c>
      <c r="L22" s="246"/>
      <c r="M22" s="176">
        <f>1995-10</f>
        <v>1985</v>
      </c>
      <c r="N22" s="176">
        <f>9174-148</f>
        <v>9026</v>
      </c>
      <c r="O22" s="105">
        <f t="shared" si="0"/>
        <v>11011</v>
      </c>
    </row>
    <row r="23" spans="1:15" ht="29.25">
      <c r="A23" s="460" t="s">
        <v>11</v>
      </c>
      <c r="B23" s="253" t="s">
        <v>162</v>
      </c>
      <c r="C23" s="253" t="s">
        <v>1485</v>
      </c>
      <c r="D23" s="176"/>
      <c r="E23" s="253">
        <v>180</v>
      </c>
      <c r="F23" s="253" t="s">
        <v>721</v>
      </c>
      <c r="G23" s="176" t="s">
        <v>722</v>
      </c>
      <c r="H23" s="462" t="s">
        <v>1487</v>
      </c>
      <c r="I23" s="256">
        <v>7722</v>
      </c>
      <c r="J23" s="254" t="s">
        <v>16</v>
      </c>
      <c r="K23" s="253">
        <v>6.6</v>
      </c>
      <c r="L23" s="246"/>
      <c r="M23" s="176">
        <f>2581-2019</f>
        <v>562</v>
      </c>
      <c r="N23" s="176">
        <f>11043-8598</f>
        <v>2445</v>
      </c>
      <c r="O23" s="105">
        <f t="shared" si="0"/>
        <v>3007</v>
      </c>
    </row>
    <row r="24" spans="1:15" ht="29.25">
      <c r="A24" s="460" t="s">
        <v>11</v>
      </c>
      <c r="B24" s="253" t="s">
        <v>162</v>
      </c>
      <c r="C24" s="253" t="s">
        <v>1499</v>
      </c>
      <c r="D24" s="176"/>
      <c r="E24" s="253" t="s">
        <v>723</v>
      </c>
      <c r="F24" s="253" t="s">
        <v>721</v>
      </c>
      <c r="G24" s="176" t="s">
        <v>722</v>
      </c>
      <c r="H24" s="462" t="s">
        <v>1500</v>
      </c>
      <c r="I24" s="256">
        <v>37106</v>
      </c>
      <c r="J24" s="254" t="s">
        <v>16</v>
      </c>
      <c r="K24" s="253">
        <v>6.6</v>
      </c>
      <c r="L24" s="246"/>
      <c r="M24" s="176">
        <f>5840-4811</f>
        <v>1029</v>
      </c>
      <c r="N24" s="176">
        <f>24997-20715</f>
        <v>4282</v>
      </c>
      <c r="O24" s="105">
        <f t="shared" si="0"/>
        <v>5311</v>
      </c>
    </row>
    <row r="25" spans="1:15" ht="29.25">
      <c r="A25" s="460" t="s">
        <v>11</v>
      </c>
      <c r="B25" s="253" t="s">
        <v>162</v>
      </c>
      <c r="C25" s="253" t="s">
        <v>1499</v>
      </c>
      <c r="D25" s="176"/>
      <c r="E25" s="253">
        <v>154</v>
      </c>
      <c r="F25" s="253" t="s">
        <v>721</v>
      </c>
      <c r="G25" s="176" t="s">
        <v>722</v>
      </c>
      <c r="H25" s="462" t="s">
        <v>1501</v>
      </c>
      <c r="I25" s="256">
        <v>37104</v>
      </c>
      <c r="J25" s="254" t="s">
        <v>16</v>
      </c>
      <c r="K25" s="253">
        <v>2.5</v>
      </c>
      <c r="L25" s="246"/>
      <c r="M25" s="176">
        <f>4276-3537</f>
        <v>739</v>
      </c>
      <c r="N25" s="176">
        <f>19336-16071</f>
        <v>3265</v>
      </c>
      <c r="O25" s="105">
        <f t="shared" si="0"/>
        <v>4004</v>
      </c>
    </row>
    <row r="26" spans="1:15" ht="29.25">
      <c r="A26" s="460" t="s">
        <v>11</v>
      </c>
      <c r="B26" s="253" t="s">
        <v>162</v>
      </c>
      <c r="C26" s="253" t="s">
        <v>724</v>
      </c>
      <c r="D26" s="176"/>
      <c r="E26" s="253"/>
      <c r="F26" s="253" t="s">
        <v>721</v>
      </c>
      <c r="G26" s="176" t="s">
        <v>722</v>
      </c>
      <c r="H26" s="462" t="s">
        <v>1502</v>
      </c>
      <c r="I26" s="256">
        <v>1000913</v>
      </c>
      <c r="J26" s="254" t="s">
        <v>16</v>
      </c>
      <c r="K26" s="253">
        <v>2.2</v>
      </c>
      <c r="L26" s="246"/>
      <c r="M26" s="176">
        <f>3566-2950</f>
        <v>616</v>
      </c>
      <c r="N26" s="176">
        <f>15292-12708</f>
        <v>2584</v>
      </c>
      <c r="O26" s="105">
        <f t="shared" si="0"/>
        <v>3200</v>
      </c>
    </row>
    <row r="27" spans="1:15" ht="28.5" customHeight="1">
      <c r="A27" s="460" t="s">
        <v>11</v>
      </c>
      <c r="B27" s="253" t="s">
        <v>162</v>
      </c>
      <c r="C27" s="253" t="s">
        <v>1490</v>
      </c>
      <c r="D27" s="176"/>
      <c r="E27" s="253"/>
      <c r="F27" s="253" t="s">
        <v>721</v>
      </c>
      <c r="G27" s="176" t="s">
        <v>722</v>
      </c>
      <c r="H27" s="462" t="s">
        <v>1503</v>
      </c>
      <c r="I27" s="256">
        <v>41321</v>
      </c>
      <c r="J27" s="254" t="s">
        <v>16</v>
      </c>
      <c r="K27" s="253">
        <v>2.4</v>
      </c>
      <c r="L27" s="246"/>
      <c r="M27" s="176">
        <f>4582-3662</f>
        <v>920</v>
      </c>
      <c r="N27" s="176">
        <f>14064-11733</f>
        <v>2331</v>
      </c>
      <c r="O27" s="105">
        <f t="shared" si="0"/>
        <v>3251</v>
      </c>
    </row>
    <row r="28" spans="1:15" ht="29.25">
      <c r="A28" s="460" t="s">
        <v>11</v>
      </c>
      <c r="B28" s="253" t="s">
        <v>162</v>
      </c>
      <c r="C28" s="253" t="s">
        <v>725</v>
      </c>
      <c r="D28" s="176"/>
      <c r="E28" s="253"/>
      <c r="F28" s="253" t="s">
        <v>721</v>
      </c>
      <c r="G28" s="176" t="s">
        <v>722</v>
      </c>
      <c r="H28" s="462" t="s">
        <v>1489</v>
      </c>
      <c r="I28" s="256">
        <v>1001828</v>
      </c>
      <c r="J28" s="254" t="s">
        <v>16</v>
      </c>
      <c r="K28" s="321">
        <v>2</v>
      </c>
      <c r="L28" s="246"/>
      <c r="M28" s="176">
        <f>8055-6281</f>
        <v>1774</v>
      </c>
      <c r="N28" s="176">
        <f>34639-27046</f>
        <v>7593</v>
      </c>
      <c r="O28" s="105">
        <f t="shared" si="0"/>
        <v>9367</v>
      </c>
    </row>
    <row r="29" spans="1:15" ht="29.25">
      <c r="A29" s="460" t="s">
        <v>11</v>
      </c>
      <c r="B29" s="253" t="s">
        <v>162</v>
      </c>
      <c r="C29" s="253" t="s">
        <v>1490</v>
      </c>
      <c r="D29" s="176"/>
      <c r="E29" s="253"/>
      <c r="F29" s="253" t="s">
        <v>721</v>
      </c>
      <c r="G29" s="176" t="s">
        <v>722</v>
      </c>
      <c r="H29" s="462" t="s">
        <v>1491</v>
      </c>
      <c r="I29" s="256">
        <v>1000900</v>
      </c>
      <c r="J29" s="254" t="s">
        <v>16</v>
      </c>
      <c r="K29" s="253">
        <v>1.1</v>
      </c>
      <c r="L29" s="246"/>
      <c r="M29" s="176">
        <f>4980-4048</f>
        <v>932</v>
      </c>
      <c r="N29" s="176">
        <f>21528-17578</f>
        <v>3950</v>
      </c>
      <c r="O29" s="105">
        <f t="shared" si="0"/>
        <v>4882</v>
      </c>
    </row>
    <row r="30" spans="1:15" ht="29.25">
      <c r="A30" s="460" t="s">
        <v>11</v>
      </c>
      <c r="B30" s="253" t="s">
        <v>162</v>
      </c>
      <c r="C30" s="253" t="s">
        <v>726</v>
      </c>
      <c r="D30" s="176"/>
      <c r="E30" s="253"/>
      <c r="F30" s="253" t="s">
        <v>721</v>
      </c>
      <c r="G30" s="176" t="s">
        <v>722</v>
      </c>
      <c r="H30" s="462" t="s">
        <v>1492</v>
      </c>
      <c r="I30" s="256">
        <v>1001207</v>
      </c>
      <c r="J30" s="254" t="s">
        <v>16</v>
      </c>
      <c r="K30" s="253">
        <v>2.2</v>
      </c>
      <c r="L30" s="246"/>
      <c r="M30" s="176">
        <f>2527-2025</f>
        <v>502</v>
      </c>
      <c r="N30" s="176">
        <f>11052-8861</f>
        <v>2191</v>
      </c>
      <c r="O30" s="105">
        <f t="shared" si="0"/>
        <v>2693</v>
      </c>
    </row>
    <row r="31" spans="1:15" ht="29.25">
      <c r="A31" s="460" t="s">
        <v>11</v>
      </c>
      <c r="B31" s="253" t="s">
        <v>162</v>
      </c>
      <c r="C31" s="253" t="s">
        <v>726</v>
      </c>
      <c r="D31" s="176"/>
      <c r="E31" s="253">
        <v>1</v>
      </c>
      <c r="F31" s="253" t="s">
        <v>721</v>
      </c>
      <c r="G31" s="176" t="s">
        <v>722</v>
      </c>
      <c r="H31" s="462" t="s">
        <v>1493</v>
      </c>
      <c r="I31" s="256">
        <v>1000638</v>
      </c>
      <c r="J31" s="254" t="s">
        <v>16</v>
      </c>
      <c r="K31" s="253">
        <v>2.2</v>
      </c>
      <c r="L31" s="246"/>
      <c r="M31" s="176">
        <f>5792-4750</f>
        <v>1042</v>
      </c>
      <c r="N31" s="176">
        <f>25059-20761</f>
        <v>4298</v>
      </c>
      <c r="O31" s="105">
        <f t="shared" si="0"/>
        <v>5340</v>
      </c>
    </row>
    <row r="32" spans="1:15" ht="29.25">
      <c r="A32" s="460" t="s">
        <v>11</v>
      </c>
      <c r="B32" s="253" t="s">
        <v>162</v>
      </c>
      <c r="C32" s="253" t="s">
        <v>726</v>
      </c>
      <c r="D32" s="176"/>
      <c r="E32" s="253">
        <v>4</v>
      </c>
      <c r="F32" s="253" t="s">
        <v>721</v>
      </c>
      <c r="G32" s="176" t="s">
        <v>722</v>
      </c>
      <c r="H32" s="462" t="s">
        <v>1494</v>
      </c>
      <c r="I32" s="256">
        <v>1001836</v>
      </c>
      <c r="J32" s="254" t="s">
        <v>16</v>
      </c>
      <c r="K32" s="253">
        <v>2.2</v>
      </c>
      <c r="L32" s="246"/>
      <c r="M32" s="176">
        <f>5713-4686</f>
        <v>1027</v>
      </c>
      <c r="N32" s="176">
        <f>25277-20791</f>
        <v>4486</v>
      </c>
      <c r="O32" s="105">
        <f t="shared" si="0"/>
        <v>5513</v>
      </c>
    </row>
    <row r="33" spans="1:15" ht="29.25">
      <c r="A33" s="460" t="s">
        <v>11</v>
      </c>
      <c r="B33" s="253" t="s">
        <v>162</v>
      </c>
      <c r="C33" s="253" t="s">
        <v>726</v>
      </c>
      <c r="D33" s="176"/>
      <c r="E33" s="253">
        <v>3</v>
      </c>
      <c r="F33" s="253" t="s">
        <v>721</v>
      </c>
      <c r="G33" s="176" t="s">
        <v>722</v>
      </c>
      <c r="H33" s="462" t="s">
        <v>1505</v>
      </c>
      <c r="I33" s="256">
        <v>1000896</v>
      </c>
      <c r="J33" s="254" t="s">
        <v>16</v>
      </c>
      <c r="K33" s="253">
        <v>2.2</v>
      </c>
      <c r="L33" s="246"/>
      <c r="M33" s="176">
        <f>2871-2375</f>
        <v>496</v>
      </c>
      <c r="N33" s="176">
        <f>12449-10396</f>
        <v>2053</v>
      </c>
      <c r="O33" s="105">
        <f t="shared" si="0"/>
        <v>2549</v>
      </c>
    </row>
    <row r="34" spans="1:15" ht="29.25">
      <c r="A34" s="460" t="s">
        <v>11</v>
      </c>
      <c r="B34" s="253" t="s">
        <v>162</v>
      </c>
      <c r="C34" s="253" t="s">
        <v>727</v>
      </c>
      <c r="D34" s="176"/>
      <c r="E34" s="253"/>
      <c r="F34" s="253" t="s">
        <v>721</v>
      </c>
      <c r="G34" s="176" t="s">
        <v>722</v>
      </c>
      <c r="H34" s="462" t="s">
        <v>1506</v>
      </c>
      <c r="I34" s="256">
        <v>1000630</v>
      </c>
      <c r="J34" s="254" t="s">
        <v>16</v>
      </c>
      <c r="K34" s="253">
        <v>2.2</v>
      </c>
      <c r="L34" s="246"/>
      <c r="M34" s="176">
        <f>4773-4002</f>
        <v>771</v>
      </c>
      <c r="N34" s="176">
        <f>21012-17583</f>
        <v>3429</v>
      </c>
      <c r="O34" s="105">
        <f t="shared" si="0"/>
        <v>4200</v>
      </c>
    </row>
    <row r="35" spans="1:15" ht="29.25">
      <c r="A35" s="460" t="s">
        <v>11</v>
      </c>
      <c r="B35" s="253" t="s">
        <v>162</v>
      </c>
      <c r="C35" s="253" t="s">
        <v>728</v>
      </c>
      <c r="D35" s="176"/>
      <c r="E35" s="253"/>
      <c r="F35" s="253" t="s">
        <v>721</v>
      </c>
      <c r="G35" s="176" t="s">
        <v>722</v>
      </c>
      <c r="H35" s="462" t="s">
        <v>1507</v>
      </c>
      <c r="I35" s="256">
        <v>1001219</v>
      </c>
      <c r="J35" s="254" t="s">
        <v>16</v>
      </c>
      <c r="K35" s="253">
        <v>2.2</v>
      </c>
      <c r="L35" s="246"/>
      <c r="M35" s="176">
        <f>5516-4534</f>
        <v>982</v>
      </c>
      <c r="N35" s="176">
        <f>23766-19645</f>
        <v>4121</v>
      </c>
      <c r="O35" s="105">
        <f t="shared" si="0"/>
        <v>5103</v>
      </c>
    </row>
    <row r="36" spans="1:15" ht="29.25">
      <c r="A36" s="460" t="s">
        <v>11</v>
      </c>
      <c r="B36" s="253" t="s">
        <v>162</v>
      </c>
      <c r="C36" s="253" t="s">
        <v>729</v>
      </c>
      <c r="D36" s="176"/>
      <c r="E36" s="253">
        <v>207</v>
      </c>
      <c r="F36" s="253" t="s">
        <v>721</v>
      </c>
      <c r="G36" s="176" t="s">
        <v>722</v>
      </c>
      <c r="H36" s="462" t="s">
        <v>1508</v>
      </c>
      <c r="I36" s="256">
        <v>41207</v>
      </c>
      <c r="J36" s="254" t="s">
        <v>16</v>
      </c>
      <c r="K36" s="253">
        <v>2.2</v>
      </c>
      <c r="L36" s="246"/>
      <c r="M36" s="176">
        <f>4657-3652</f>
        <v>1005</v>
      </c>
      <c r="N36" s="176">
        <f>14470-11882</f>
        <v>2588</v>
      </c>
      <c r="O36" s="105">
        <f t="shared" si="0"/>
        <v>3593</v>
      </c>
    </row>
    <row r="37" spans="1:15" ht="29.25">
      <c r="A37" s="460" t="s">
        <v>11</v>
      </c>
      <c r="B37" s="253" t="s">
        <v>162</v>
      </c>
      <c r="C37" s="253" t="s">
        <v>730</v>
      </c>
      <c r="D37" s="176"/>
      <c r="E37" s="253"/>
      <c r="F37" s="253" t="s">
        <v>721</v>
      </c>
      <c r="G37" s="176" t="s">
        <v>722</v>
      </c>
      <c r="H37" s="462" t="s">
        <v>1509</v>
      </c>
      <c r="I37" s="256">
        <v>41204</v>
      </c>
      <c r="J37" s="254" t="s">
        <v>16</v>
      </c>
      <c r="K37" s="253">
        <v>2.2</v>
      </c>
      <c r="L37" s="246"/>
      <c r="M37" s="176">
        <f>5693-4547</f>
        <v>1146</v>
      </c>
      <c r="N37" s="176">
        <f>17452-14650</f>
        <v>2802</v>
      </c>
      <c r="O37" s="105">
        <f t="shared" si="0"/>
        <v>3948</v>
      </c>
    </row>
    <row r="38" spans="1:15" ht="29.25">
      <c r="A38" s="460" t="s">
        <v>11</v>
      </c>
      <c r="B38" s="253" t="s">
        <v>162</v>
      </c>
      <c r="C38" s="253" t="s">
        <v>731</v>
      </c>
      <c r="D38" s="176"/>
      <c r="E38" s="253"/>
      <c r="F38" s="253" t="s">
        <v>721</v>
      </c>
      <c r="G38" s="176" t="s">
        <v>722</v>
      </c>
      <c r="H38" s="462" t="s">
        <v>1510</v>
      </c>
      <c r="I38" s="256">
        <v>41206</v>
      </c>
      <c r="J38" s="254" t="s">
        <v>16</v>
      </c>
      <c r="K38" s="253">
        <v>2.2</v>
      </c>
      <c r="L38" s="246"/>
      <c r="M38" s="176">
        <f>6136-4886</f>
        <v>1250</v>
      </c>
      <c r="N38" s="176">
        <f>18802-15479</f>
        <v>3323</v>
      </c>
      <c r="O38" s="105">
        <f t="shared" si="0"/>
        <v>4573</v>
      </c>
    </row>
    <row r="39" spans="1:15" ht="29.25">
      <c r="A39" s="460" t="s">
        <v>11</v>
      </c>
      <c r="B39" s="253" t="s">
        <v>162</v>
      </c>
      <c r="C39" s="253" t="s">
        <v>732</v>
      </c>
      <c r="D39" s="176"/>
      <c r="E39" s="253"/>
      <c r="F39" s="253" t="s">
        <v>721</v>
      </c>
      <c r="G39" s="176" t="s">
        <v>722</v>
      </c>
      <c r="H39" s="462" t="s">
        <v>1511</v>
      </c>
      <c r="I39" s="256">
        <v>37200</v>
      </c>
      <c r="J39" s="254" t="s">
        <v>16</v>
      </c>
      <c r="K39" s="253">
        <v>6.6</v>
      </c>
      <c r="L39" s="246"/>
      <c r="M39" s="176">
        <f>3366-2886</f>
        <v>480</v>
      </c>
      <c r="N39" s="176">
        <f>16444-13187</f>
        <v>3257</v>
      </c>
      <c r="O39" s="105">
        <f t="shared" si="0"/>
        <v>3737</v>
      </c>
    </row>
    <row r="40" spans="1:15" ht="29.25">
      <c r="A40" s="460" t="s">
        <v>11</v>
      </c>
      <c r="B40" s="253" t="s">
        <v>162</v>
      </c>
      <c r="C40" s="251" t="s">
        <v>722</v>
      </c>
      <c r="D40" s="253" t="s">
        <v>1512</v>
      </c>
      <c r="E40" s="253"/>
      <c r="F40" s="253" t="s">
        <v>721</v>
      </c>
      <c r="G40" s="176" t="s">
        <v>722</v>
      </c>
      <c r="H40" s="462" t="s">
        <v>1513</v>
      </c>
      <c r="I40" s="256">
        <v>41143</v>
      </c>
      <c r="J40" s="254" t="s">
        <v>16</v>
      </c>
      <c r="K40" s="321">
        <v>3</v>
      </c>
      <c r="L40" s="246"/>
      <c r="M40" s="176">
        <f>10869-8756</f>
        <v>2113</v>
      </c>
      <c r="N40" s="176">
        <f>33817-28318</f>
        <v>5499</v>
      </c>
      <c r="O40" s="105">
        <f t="shared" si="0"/>
        <v>7612</v>
      </c>
    </row>
    <row r="41" spans="1:15" ht="29.25">
      <c r="A41" s="460" t="s">
        <v>11</v>
      </c>
      <c r="B41" s="253" t="s">
        <v>162</v>
      </c>
      <c r="C41" s="251" t="s">
        <v>722</v>
      </c>
      <c r="D41" s="253" t="s">
        <v>1514</v>
      </c>
      <c r="E41" s="253"/>
      <c r="F41" s="253" t="s">
        <v>721</v>
      </c>
      <c r="G41" s="176" t="s">
        <v>722</v>
      </c>
      <c r="H41" s="462" t="s">
        <v>1515</v>
      </c>
      <c r="I41" s="256">
        <v>37112</v>
      </c>
      <c r="J41" s="254" t="s">
        <v>16</v>
      </c>
      <c r="K41" s="253">
        <v>2.7</v>
      </c>
      <c r="L41" s="246"/>
      <c r="M41" s="176">
        <f>30249-24612</f>
        <v>5637</v>
      </c>
      <c r="N41" s="176">
        <f>126684-103103</f>
        <v>23581</v>
      </c>
      <c r="O41" s="105">
        <f t="shared" si="0"/>
        <v>29218</v>
      </c>
    </row>
    <row r="42" spans="1:15" ht="29.25">
      <c r="A42" s="460" t="s">
        <v>11</v>
      </c>
      <c r="B42" s="253" t="s">
        <v>162</v>
      </c>
      <c r="C42" s="251" t="s">
        <v>722</v>
      </c>
      <c r="D42" s="253" t="s">
        <v>1516</v>
      </c>
      <c r="E42" s="253"/>
      <c r="F42" s="253" t="s">
        <v>721</v>
      </c>
      <c r="G42" s="176" t="s">
        <v>722</v>
      </c>
      <c r="H42" s="462" t="s">
        <v>1517</v>
      </c>
      <c r="I42" s="256">
        <v>39137</v>
      </c>
      <c r="J42" s="254" t="s">
        <v>16</v>
      </c>
      <c r="K42" s="253">
        <v>6.6</v>
      </c>
      <c r="L42" s="246"/>
      <c r="M42" s="176">
        <f>27143-22162</f>
        <v>4981</v>
      </c>
      <c r="N42" s="176">
        <f>114278-93778</f>
        <v>20500</v>
      </c>
      <c r="O42" s="105">
        <f t="shared" si="0"/>
        <v>25481</v>
      </c>
    </row>
    <row r="43" spans="1:15" ht="29.25">
      <c r="A43" s="460" t="s">
        <v>11</v>
      </c>
      <c r="B43" s="253" t="s">
        <v>162</v>
      </c>
      <c r="C43" s="251" t="s">
        <v>722</v>
      </c>
      <c r="D43" s="253" t="s">
        <v>1518</v>
      </c>
      <c r="E43" s="253"/>
      <c r="F43" s="253" t="s">
        <v>721</v>
      </c>
      <c r="G43" s="176" t="s">
        <v>722</v>
      </c>
      <c r="H43" s="462" t="s">
        <v>1519</v>
      </c>
      <c r="I43" s="256">
        <v>41145</v>
      </c>
      <c r="J43" s="254" t="s">
        <v>16</v>
      </c>
      <c r="K43" s="253">
        <v>2.2</v>
      </c>
      <c r="L43" s="246"/>
      <c r="M43" s="176">
        <f>5354-4225</f>
        <v>1129</v>
      </c>
      <c r="N43" s="176">
        <f>16817-13959</f>
        <v>2858</v>
      </c>
      <c r="O43" s="105">
        <f t="shared" si="0"/>
        <v>3987</v>
      </c>
    </row>
    <row r="44" spans="1:15" ht="29.25">
      <c r="A44" s="460" t="s">
        <v>11</v>
      </c>
      <c r="B44" s="253" t="s">
        <v>162</v>
      </c>
      <c r="C44" s="251" t="s">
        <v>722</v>
      </c>
      <c r="D44" s="253" t="s">
        <v>169</v>
      </c>
      <c r="E44" s="253"/>
      <c r="F44" s="253" t="s">
        <v>721</v>
      </c>
      <c r="G44" s="176" t="s">
        <v>722</v>
      </c>
      <c r="H44" s="462" t="s">
        <v>1520</v>
      </c>
      <c r="I44" s="256">
        <v>1002303</v>
      </c>
      <c r="J44" s="254" t="s">
        <v>16</v>
      </c>
      <c r="K44" s="253">
        <v>1.1</v>
      </c>
      <c r="L44" s="246"/>
      <c r="M44" s="176">
        <f>4070-3341</f>
        <v>729</v>
      </c>
      <c r="N44" s="176">
        <f>17465-14192</f>
        <v>3273</v>
      </c>
      <c r="O44" s="105">
        <f t="shared" si="0"/>
        <v>4002</v>
      </c>
    </row>
    <row r="45" spans="1:15" ht="29.25">
      <c r="A45" s="460" t="s">
        <v>11</v>
      </c>
      <c r="B45" s="253" t="s">
        <v>162</v>
      </c>
      <c r="C45" s="251" t="s">
        <v>722</v>
      </c>
      <c r="D45" s="253" t="s">
        <v>1521</v>
      </c>
      <c r="E45" s="253"/>
      <c r="F45" s="253" t="s">
        <v>721</v>
      </c>
      <c r="G45" s="176" t="s">
        <v>722</v>
      </c>
      <c r="H45" s="462" t="s">
        <v>1522</v>
      </c>
      <c r="I45" s="256">
        <v>41146</v>
      </c>
      <c r="J45" s="254" t="s">
        <v>16</v>
      </c>
      <c r="K45" s="321">
        <v>4</v>
      </c>
      <c r="L45" s="246"/>
      <c r="M45" s="176">
        <f>28882-23160</f>
        <v>5722</v>
      </c>
      <c r="N45" s="176">
        <f>85833-71867</f>
        <v>13966</v>
      </c>
      <c r="O45" s="105">
        <f t="shared" si="0"/>
        <v>19688</v>
      </c>
    </row>
    <row r="46" spans="1:15" ht="29.25">
      <c r="A46" s="460" t="s">
        <v>11</v>
      </c>
      <c r="B46" s="253" t="s">
        <v>162</v>
      </c>
      <c r="C46" s="251" t="s">
        <v>722</v>
      </c>
      <c r="D46" s="253" t="s">
        <v>733</v>
      </c>
      <c r="E46" s="253"/>
      <c r="F46" s="253" t="s">
        <v>721</v>
      </c>
      <c r="G46" s="176" t="s">
        <v>722</v>
      </c>
      <c r="H46" s="462" t="s">
        <v>1523</v>
      </c>
      <c r="I46" s="256">
        <v>41205</v>
      </c>
      <c r="J46" s="254" t="s">
        <v>16</v>
      </c>
      <c r="K46" s="253">
        <v>0.2</v>
      </c>
      <c r="L46" s="246"/>
      <c r="M46" s="176">
        <f>6977-5465</f>
        <v>1512</v>
      </c>
      <c r="N46" s="176">
        <f>22221-18180</f>
        <v>4041</v>
      </c>
      <c r="O46" s="105">
        <f t="shared" si="0"/>
        <v>5553</v>
      </c>
    </row>
    <row r="47" spans="1:15" ht="29.25">
      <c r="A47" s="460" t="s">
        <v>11</v>
      </c>
      <c r="B47" s="253" t="s">
        <v>162</v>
      </c>
      <c r="C47" s="251" t="s">
        <v>722</v>
      </c>
      <c r="D47" s="253" t="s">
        <v>94</v>
      </c>
      <c r="E47" s="253"/>
      <c r="F47" s="253" t="s">
        <v>721</v>
      </c>
      <c r="G47" s="176" t="s">
        <v>722</v>
      </c>
      <c r="H47" s="462" t="s">
        <v>1524</v>
      </c>
      <c r="I47" s="256">
        <v>1000813</v>
      </c>
      <c r="J47" s="254" t="s">
        <v>16</v>
      </c>
      <c r="K47" s="253">
        <v>2.2</v>
      </c>
      <c r="L47" s="246"/>
      <c r="M47" s="176">
        <f>7025-5864</f>
        <v>1161</v>
      </c>
      <c r="N47" s="176">
        <f>29705-24723</f>
        <v>4982</v>
      </c>
      <c r="O47" s="105">
        <f t="shared" si="0"/>
        <v>6143</v>
      </c>
    </row>
    <row r="48" spans="1:15" ht="29.25">
      <c r="A48" s="460" t="s">
        <v>11</v>
      </c>
      <c r="B48" s="253" t="s">
        <v>162</v>
      </c>
      <c r="C48" s="253" t="s">
        <v>404</v>
      </c>
      <c r="D48" s="176"/>
      <c r="E48" s="253"/>
      <c r="F48" s="253" t="s">
        <v>721</v>
      </c>
      <c r="G48" s="176" t="s">
        <v>722</v>
      </c>
      <c r="H48" s="462" t="s">
        <v>1525</v>
      </c>
      <c r="I48" s="256">
        <v>1000803</v>
      </c>
      <c r="J48" s="254" t="s">
        <v>16</v>
      </c>
      <c r="K48" s="253">
        <v>2.5</v>
      </c>
      <c r="L48" s="246"/>
      <c r="M48" s="176">
        <f>6914-5770</f>
        <v>1144</v>
      </c>
      <c r="N48" s="176">
        <f>29792-24940</f>
        <v>4852</v>
      </c>
      <c r="O48" s="105">
        <f t="shared" si="0"/>
        <v>5996</v>
      </c>
    </row>
    <row r="49" spans="1:15" ht="29.25">
      <c r="A49" s="460" t="s">
        <v>11</v>
      </c>
      <c r="B49" s="253" t="s">
        <v>162</v>
      </c>
      <c r="C49" s="253" t="s">
        <v>734</v>
      </c>
      <c r="D49" s="176"/>
      <c r="E49" s="253"/>
      <c r="F49" s="253" t="s">
        <v>721</v>
      </c>
      <c r="G49" s="176" t="s">
        <v>722</v>
      </c>
      <c r="H49" s="462" t="s">
        <v>1526</v>
      </c>
      <c r="I49" s="256">
        <v>1393856</v>
      </c>
      <c r="J49" s="254" t="s">
        <v>16</v>
      </c>
      <c r="K49" s="253">
        <v>0.6</v>
      </c>
      <c r="L49" s="246"/>
      <c r="M49" s="176">
        <f>3033-2614</f>
        <v>419</v>
      </c>
      <c r="N49" s="176">
        <f>13255-11133</f>
        <v>2122</v>
      </c>
      <c r="O49" s="105">
        <f t="shared" si="0"/>
        <v>2541</v>
      </c>
    </row>
    <row r="50" spans="1:15" ht="29.25">
      <c r="A50" s="460" t="s">
        <v>11</v>
      </c>
      <c r="B50" s="253" t="s">
        <v>162</v>
      </c>
      <c r="C50" s="253" t="s">
        <v>735</v>
      </c>
      <c r="D50" s="176"/>
      <c r="E50" s="253"/>
      <c r="F50" s="253" t="s">
        <v>721</v>
      </c>
      <c r="G50" s="176" t="s">
        <v>722</v>
      </c>
      <c r="H50" s="462" t="s">
        <v>1527</v>
      </c>
      <c r="I50" s="256">
        <v>1000646</v>
      </c>
      <c r="J50" s="254" t="s">
        <v>16</v>
      </c>
      <c r="K50" s="253">
        <v>1.1</v>
      </c>
      <c r="L50" s="246"/>
      <c r="M50" s="176">
        <f>6096-5058</f>
        <v>1038</v>
      </c>
      <c r="N50" s="176">
        <f>25973-21663</f>
        <v>4310</v>
      </c>
      <c r="O50" s="105">
        <f t="shared" si="0"/>
        <v>5348</v>
      </c>
    </row>
    <row r="51" spans="1:15" ht="29.25">
      <c r="A51" s="460" t="s">
        <v>11</v>
      </c>
      <c r="B51" s="253" t="s">
        <v>162</v>
      </c>
      <c r="C51" s="253" t="s">
        <v>736</v>
      </c>
      <c r="D51" s="176"/>
      <c r="E51" s="253">
        <v>2</v>
      </c>
      <c r="F51" s="253" t="s">
        <v>721</v>
      </c>
      <c r="G51" s="176" t="s">
        <v>722</v>
      </c>
      <c r="H51" s="462" t="s">
        <v>1528</v>
      </c>
      <c r="I51" s="256">
        <v>41594</v>
      </c>
      <c r="J51" s="254" t="s">
        <v>16</v>
      </c>
      <c r="K51" s="253">
        <v>2.2</v>
      </c>
      <c r="L51" s="246"/>
      <c r="M51" s="176">
        <f>13523-10922</f>
        <v>2601</v>
      </c>
      <c r="N51" s="176">
        <f>40930-34530</f>
        <v>6400</v>
      </c>
      <c r="O51" s="105">
        <f t="shared" si="0"/>
        <v>9001</v>
      </c>
    </row>
    <row r="52" spans="1:15" ht="29.25">
      <c r="A52" s="460" t="s">
        <v>11</v>
      </c>
      <c r="B52" s="253" t="s">
        <v>162</v>
      </c>
      <c r="C52" s="253" t="s">
        <v>736</v>
      </c>
      <c r="D52" s="176"/>
      <c r="E52" s="253">
        <v>1</v>
      </c>
      <c r="F52" s="253" t="s">
        <v>721</v>
      </c>
      <c r="G52" s="176" t="s">
        <v>722</v>
      </c>
      <c r="H52" s="462" t="s">
        <v>1529</v>
      </c>
      <c r="I52" s="256">
        <v>41593</v>
      </c>
      <c r="J52" s="254" t="s">
        <v>16</v>
      </c>
      <c r="K52" s="253">
        <v>2.2</v>
      </c>
      <c r="L52" s="246"/>
      <c r="M52" s="176">
        <f>7862-6257</f>
        <v>1605</v>
      </c>
      <c r="N52" s="176">
        <f>23540-19755</f>
        <v>3785</v>
      </c>
      <c r="O52" s="105">
        <f t="shared" si="0"/>
        <v>5390</v>
      </c>
    </row>
    <row r="53" spans="1:15" ht="29.25">
      <c r="A53" s="460" t="s">
        <v>11</v>
      </c>
      <c r="B53" s="253" t="s">
        <v>162</v>
      </c>
      <c r="C53" s="253" t="s">
        <v>737</v>
      </c>
      <c r="D53" s="176"/>
      <c r="E53" s="253"/>
      <c r="F53" s="253" t="s">
        <v>721</v>
      </c>
      <c r="G53" s="176" t="s">
        <v>722</v>
      </c>
      <c r="H53" s="462" t="s">
        <v>1530</v>
      </c>
      <c r="I53" s="256">
        <v>39142</v>
      </c>
      <c r="J53" s="254" t="s">
        <v>16</v>
      </c>
      <c r="K53" s="321">
        <v>2</v>
      </c>
      <c r="L53" s="246"/>
      <c r="M53" s="176">
        <f>6815-5563</f>
        <v>1252</v>
      </c>
      <c r="N53" s="176">
        <f>27797-22870</f>
        <v>4927</v>
      </c>
      <c r="O53" s="105">
        <f t="shared" si="0"/>
        <v>6179</v>
      </c>
    </row>
    <row r="54" spans="1:15" ht="29.25">
      <c r="A54" s="460" t="s">
        <v>11</v>
      </c>
      <c r="B54" s="253" t="s">
        <v>162</v>
      </c>
      <c r="C54" s="253" t="s">
        <v>738</v>
      </c>
      <c r="D54" s="176"/>
      <c r="E54" s="253"/>
      <c r="F54" s="253" t="s">
        <v>721</v>
      </c>
      <c r="G54" s="176" t="s">
        <v>722</v>
      </c>
      <c r="H54" s="462" t="s">
        <v>1531</v>
      </c>
      <c r="I54" s="256">
        <v>131968</v>
      </c>
      <c r="J54" s="254" t="s">
        <v>16</v>
      </c>
      <c r="K54" s="253">
        <v>2.2</v>
      </c>
      <c r="L54" s="246"/>
      <c r="M54" s="176">
        <f>777-558</f>
        <v>219</v>
      </c>
      <c r="N54" s="176">
        <f>3428-2401</f>
        <v>1027</v>
      </c>
      <c r="O54" s="105">
        <f t="shared" si="0"/>
        <v>1246</v>
      </c>
    </row>
    <row r="55" spans="1:15" ht="29.25">
      <c r="A55" s="460" t="s">
        <v>11</v>
      </c>
      <c r="B55" s="253" t="s">
        <v>162</v>
      </c>
      <c r="C55" s="253" t="s">
        <v>739</v>
      </c>
      <c r="D55" s="176"/>
      <c r="E55" s="253"/>
      <c r="F55" s="253" t="s">
        <v>721</v>
      </c>
      <c r="G55" s="176" t="s">
        <v>722</v>
      </c>
      <c r="H55" s="462" t="s">
        <v>1532</v>
      </c>
      <c r="I55" s="256">
        <v>1001824</v>
      </c>
      <c r="J55" s="254" t="s">
        <v>16</v>
      </c>
      <c r="K55" s="253">
        <v>2.2</v>
      </c>
      <c r="L55" s="246"/>
      <c r="M55" s="176">
        <f>1656-1322</f>
        <v>334</v>
      </c>
      <c r="N55" s="176">
        <f>6769-5615</f>
        <v>1154</v>
      </c>
      <c r="O55" s="105">
        <f t="shared" si="0"/>
        <v>1488</v>
      </c>
    </row>
    <row r="56" spans="1:15" ht="29.25">
      <c r="A56" s="460" t="s">
        <v>11</v>
      </c>
      <c r="B56" s="253" t="s">
        <v>162</v>
      </c>
      <c r="C56" s="253" t="s">
        <v>740</v>
      </c>
      <c r="D56" s="176"/>
      <c r="E56" s="253"/>
      <c r="F56" s="253" t="s">
        <v>721</v>
      </c>
      <c r="G56" s="176" t="s">
        <v>722</v>
      </c>
      <c r="H56" s="462" t="s">
        <v>1533</v>
      </c>
      <c r="I56" s="256">
        <v>41601</v>
      </c>
      <c r="J56" s="254" t="s">
        <v>16</v>
      </c>
      <c r="K56" s="253">
        <v>2.2</v>
      </c>
      <c r="L56" s="246"/>
      <c r="M56" s="176">
        <f>2500-1973</f>
        <v>527</v>
      </c>
      <c r="N56" s="176">
        <f>7550-6262</f>
        <v>1288</v>
      </c>
      <c r="O56" s="105">
        <f t="shared" si="0"/>
        <v>1815</v>
      </c>
    </row>
    <row r="57" spans="1:15" ht="29.25">
      <c r="A57" s="460" t="s">
        <v>11</v>
      </c>
      <c r="B57" s="253" t="s">
        <v>162</v>
      </c>
      <c r="C57" s="253" t="s">
        <v>741</v>
      </c>
      <c r="D57" s="176"/>
      <c r="E57" s="253"/>
      <c r="F57" s="253" t="s">
        <v>721</v>
      </c>
      <c r="G57" s="176" t="s">
        <v>722</v>
      </c>
      <c r="H57" s="462" t="s">
        <v>1534</v>
      </c>
      <c r="I57" s="256">
        <v>41600</v>
      </c>
      <c r="J57" s="254" t="s">
        <v>16</v>
      </c>
      <c r="K57" s="253">
        <v>2.2</v>
      </c>
      <c r="L57" s="246"/>
      <c r="M57" s="176">
        <f>3401-2703</f>
        <v>698</v>
      </c>
      <c r="N57" s="176">
        <f>10266-8540</f>
        <v>1726</v>
      </c>
      <c r="O57" s="105">
        <f t="shared" si="0"/>
        <v>2424</v>
      </c>
    </row>
    <row r="58" spans="1:15" ht="29.25">
      <c r="A58" s="460" t="s">
        <v>11</v>
      </c>
      <c r="B58" s="253" t="s">
        <v>162</v>
      </c>
      <c r="C58" s="253" t="s">
        <v>742</v>
      </c>
      <c r="D58" s="176"/>
      <c r="E58" s="253"/>
      <c r="F58" s="253" t="s">
        <v>721</v>
      </c>
      <c r="G58" s="176" t="s">
        <v>722</v>
      </c>
      <c r="H58" s="462" t="s">
        <v>1504</v>
      </c>
      <c r="I58" s="256">
        <v>41597</v>
      </c>
      <c r="J58" s="254" t="s">
        <v>16</v>
      </c>
      <c r="K58" s="253">
        <v>2.1</v>
      </c>
      <c r="L58" s="246"/>
      <c r="M58" s="176">
        <f>11516-9428</f>
        <v>2088</v>
      </c>
      <c r="N58" s="176">
        <f>35239-29878</f>
        <v>5361</v>
      </c>
      <c r="O58" s="105">
        <f t="shared" si="0"/>
        <v>7449</v>
      </c>
    </row>
    <row r="59" spans="1:15" ht="29.25">
      <c r="A59" s="460" t="s">
        <v>11</v>
      </c>
      <c r="B59" s="253" t="s">
        <v>162</v>
      </c>
      <c r="C59" s="253" t="s">
        <v>743</v>
      </c>
      <c r="D59" s="176"/>
      <c r="E59" s="253"/>
      <c r="F59" s="253" t="s">
        <v>721</v>
      </c>
      <c r="G59" s="176" t="s">
        <v>722</v>
      </c>
      <c r="H59" s="462" t="s">
        <v>1535</v>
      </c>
      <c r="I59" s="256">
        <v>1000649</v>
      </c>
      <c r="J59" s="254" t="s">
        <v>16</v>
      </c>
      <c r="K59" s="253">
        <v>2.2</v>
      </c>
      <c r="L59" s="246"/>
      <c r="M59" s="176">
        <f>4042-3329</f>
        <v>713</v>
      </c>
      <c r="N59" s="176">
        <f>17465-14466</f>
        <v>2999</v>
      </c>
      <c r="O59" s="105">
        <f t="shared" si="0"/>
        <v>3712</v>
      </c>
    </row>
    <row r="60" spans="1:15" ht="29.25">
      <c r="A60" s="460" t="s">
        <v>11</v>
      </c>
      <c r="B60" s="253" t="s">
        <v>162</v>
      </c>
      <c r="C60" s="253" t="s">
        <v>744</v>
      </c>
      <c r="D60" s="176"/>
      <c r="E60" s="253"/>
      <c r="F60" s="253" t="s">
        <v>721</v>
      </c>
      <c r="G60" s="176" t="s">
        <v>722</v>
      </c>
      <c r="H60" s="462" t="s">
        <v>1536</v>
      </c>
      <c r="I60" s="256">
        <v>1000632</v>
      </c>
      <c r="J60" s="254" t="s">
        <v>16</v>
      </c>
      <c r="K60" s="253">
        <v>2.2</v>
      </c>
      <c r="L60" s="246"/>
      <c r="M60" s="176">
        <f>3402-2733</f>
        <v>669</v>
      </c>
      <c r="N60" s="176">
        <f>14356-11622</f>
        <v>2734</v>
      </c>
      <c r="O60" s="105">
        <f t="shared" si="0"/>
        <v>3403</v>
      </c>
    </row>
    <row r="61" spans="1:15" ht="29.25">
      <c r="A61" s="460" t="s">
        <v>11</v>
      </c>
      <c r="B61" s="253" t="s">
        <v>162</v>
      </c>
      <c r="C61" s="253" t="s">
        <v>745</v>
      </c>
      <c r="D61" s="176"/>
      <c r="E61" s="253">
        <v>26</v>
      </c>
      <c r="F61" s="253" t="s">
        <v>721</v>
      </c>
      <c r="G61" s="176" t="s">
        <v>722</v>
      </c>
      <c r="H61" s="462" t="s">
        <v>1537</v>
      </c>
      <c r="I61" s="256">
        <v>41595</v>
      </c>
      <c r="J61" s="254" t="s">
        <v>16</v>
      </c>
      <c r="K61" s="253">
        <v>2.2</v>
      </c>
      <c r="L61" s="246"/>
      <c r="M61" s="176">
        <f>3742-2992</f>
        <v>750</v>
      </c>
      <c r="N61" s="176">
        <f>11713-9800</f>
        <v>1913</v>
      </c>
      <c r="O61" s="105">
        <f t="shared" si="0"/>
        <v>2663</v>
      </c>
    </row>
    <row r="62" spans="1:15" ht="29.25">
      <c r="A62" s="460" t="s">
        <v>11</v>
      </c>
      <c r="B62" s="253" t="s">
        <v>162</v>
      </c>
      <c r="C62" s="253" t="s">
        <v>745</v>
      </c>
      <c r="D62" s="176"/>
      <c r="E62" s="253">
        <v>1</v>
      </c>
      <c r="F62" s="253" t="s">
        <v>721</v>
      </c>
      <c r="G62" s="176" t="s">
        <v>722</v>
      </c>
      <c r="H62" s="462" t="s">
        <v>1538</v>
      </c>
      <c r="I62" s="256">
        <v>41599</v>
      </c>
      <c r="J62" s="254" t="s">
        <v>16</v>
      </c>
      <c r="K62" s="253">
        <v>0.8</v>
      </c>
      <c r="L62" s="246"/>
      <c r="M62" s="176">
        <f>1316-1039</f>
        <v>277</v>
      </c>
      <c r="N62" s="176">
        <f>4325-3593</f>
        <v>732</v>
      </c>
      <c r="O62" s="105">
        <f t="shared" si="0"/>
        <v>1009</v>
      </c>
    </row>
    <row r="63" spans="1:15" ht="29.25">
      <c r="A63" s="460" t="s">
        <v>11</v>
      </c>
      <c r="B63" s="253" t="s">
        <v>162</v>
      </c>
      <c r="C63" s="253" t="s">
        <v>746</v>
      </c>
      <c r="D63" s="176"/>
      <c r="E63" s="253"/>
      <c r="F63" s="253" t="s">
        <v>721</v>
      </c>
      <c r="G63" s="176" t="s">
        <v>722</v>
      </c>
      <c r="H63" s="462" t="s">
        <v>1539</v>
      </c>
      <c r="I63" s="256">
        <v>1000640</v>
      </c>
      <c r="J63" s="254" t="s">
        <v>16</v>
      </c>
      <c r="K63" s="253">
        <v>2.2</v>
      </c>
      <c r="L63" s="246"/>
      <c r="M63" s="176">
        <f>4896-4051</f>
        <v>845</v>
      </c>
      <c r="N63" s="176">
        <f>21527-17767</f>
        <v>3760</v>
      </c>
      <c r="O63" s="105">
        <f t="shared" si="0"/>
        <v>4605</v>
      </c>
    </row>
    <row r="64" spans="1:15" ht="29.25">
      <c r="A64" s="460" t="s">
        <v>11</v>
      </c>
      <c r="B64" s="253" t="s">
        <v>162</v>
      </c>
      <c r="C64" s="253" t="s">
        <v>747</v>
      </c>
      <c r="D64" s="176"/>
      <c r="E64" s="253"/>
      <c r="F64" s="253" t="s">
        <v>721</v>
      </c>
      <c r="G64" s="176" t="s">
        <v>722</v>
      </c>
      <c r="H64" s="462" t="s">
        <v>1540</v>
      </c>
      <c r="I64" s="256">
        <v>41210</v>
      </c>
      <c r="J64" s="254" t="s">
        <v>16</v>
      </c>
      <c r="K64" s="253">
        <v>2.2</v>
      </c>
      <c r="L64" s="246"/>
      <c r="M64" s="176">
        <f>4053-3323</f>
        <v>730</v>
      </c>
      <c r="N64" s="176">
        <f>12777-10151</f>
        <v>2626</v>
      </c>
      <c r="O64" s="105">
        <f t="shared" si="0"/>
        <v>3356</v>
      </c>
    </row>
    <row r="65" spans="1:15" ht="29.25">
      <c r="A65" s="460" t="s">
        <v>11</v>
      </c>
      <c r="B65" s="253" t="s">
        <v>162</v>
      </c>
      <c r="C65" s="253" t="s">
        <v>748</v>
      </c>
      <c r="D65" s="176"/>
      <c r="E65" s="253"/>
      <c r="F65" s="253" t="s">
        <v>721</v>
      </c>
      <c r="G65" s="176" t="s">
        <v>722</v>
      </c>
      <c r="H65" s="462" t="s">
        <v>1542</v>
      </c>
      <c r="I65" s="256">
        <v>41598</v>
      </c>
      <c r="J65" s="254" t="s">
        <v>16</v>
      </c>
      <c r="K65" s="253">
        <v>1.2</v>
      </c>
      <c r="L65" s="246"/>
      <c r="M65" s="176">
        <f>4702-3836</f>
        <v>866</v>
      </c>
      <c r="N65" s="176">
        <f>13747-11551</f>
        <v>2196</v>
      </c>
      <c r="O65" s="105">
        <f t="shared" si="0"/>
        <v>3062</v>
      </c>
    </row>
    <row r="66" spans="1:15" ht="29.25">
      <c r="A66" s="460" t="s">
        <v>11</v>
      </c>
      <c r="B66" s="253" t="s">
        <v>162</v>
      </c>
      <c r="C66" s="253" t="s">
        <v>749</v>
      </c>
      <c r="D66" s="176"/>
      <c r="E66" s="253"/>
      <c r="F66" s="253" t="s">
        <v>721</v>
      </c>
      <c r="G66" s="176" t="s">
        <v>722</v>
      </c>
      <c r="H66" s="462" t="s">
        <v>1543</v>
      </c>
      <c r="I66" s="256">
        <v>41592</v>
      </c>
      <c r="J66" s="254" t="s">
        <v>16</v>
      </c>
      <c r="K66" s="253">
        <v>1.7</v>
      </c>
      <c r="L66" s="247"/>
      <c r="M66" s="248">
        <f>6931-5531</f>
        <v>1400</v>
      </c>
      <c r="N66" s="248">
        <f>21080-17660</f>
        <v>3420</v>
      </c>
      <c r="O66" s="105">
        <f t="shared" si="0"/>
        <v>4820</v>
      </c>
    </row>
    <row r="67" spans="1:15" ht="29.25">
      <c r="A67" s="460" t="s">
        <v>11</v>
      </c>
      <c r="B67" s="253" t="s">
        <v>162</v>
      </c>
      <c r="C67" s="253" t="s">
        <v>750</v>
      </c>
      <c r="D67" s="176"/>
      <c r="E67" s="253"/>
      <c r="F67" s="253" t="s">
        <v>721</v>
      </c>
      <c r="G67" s="176" t="s">
        <v>722</v>
      </c>
      <c r="H67" s="462" t="s">
        <v>1544</v>
      </c>
      <c r="I67" s="256">
        <v>41038</v>
      </c>
      <c r="J67" s="254" t="s">
        <v>16</v>
      </c>
      <c r="K67" s="253">
        <v>2.2</v>
      </c>
      <c r="L67" s="247"/>
      <c r="M67" s="248">
        <f>14952-12021</f>
        <v>2931</v>
      </c>
      <c r="N67" s="248">
        <f>45782-38219</f>
        <v>7563</v>
      </c>
      <c r="O67" s="105">
        <f t="shared" si="0"/>
        <v>10494</v>
      </c>
    </row>
    <row r="68" spans="1:15" ht="29.25">
      <c r="A68" s="460" t="s">
        <v>11</v>
      </c>
      <c r="B68" s="255" t="s">
        <v>162</v>
      </c>
      <c r="C68" s="255" t="s">
        <v>751</v>
      </c>
      <c r="D68" s="249"/>
      <c r="E68" s="253"/>
      <c r="F68" s="253" t="s">
        <v>721</v>
      </c>
      <c r="G68" s="176" t="s">
        <v>722</v>
      </c>
      <c r="H68" s="462" t="s">
        <v>1541</v>
      </c>
      <c r="I68" s="256">
        <v>41596</v>
      </c>
      <c r="J68" s="254" t="s">
        <v>16</v>
      </c>
      <c r="K68" s="253">
        <v>1.5</v>
      </c>
      <c r="L68" s="247"/>
      <c r="M68" s="248">
        <f>6091-4672</f>
        <v>1419</v>
      </c>
      <c r="N68" s="250">
        <f>18267-14792</f>
        <v>3475</v>
      </c>
      <c r="O68" s="105">
        <f t="shared" si="0"/>
        <v>4894</v>
      </c>
    </row>
    <row r="69" spans="1:20" ht="29.25">
      <c r="A69" s="460" t="s">
        <v>11</v>
      </c>
      <c r="B69" s="255" t="s">
        <v>162</v>
      </c>
      <c r="C69" s="176" t="s">
        <v>755</v>
      </c>
      <c r="D69" s="176"/>
      <c r="E69" s="176"/>
      <c r="F69" s="251" t="s">
        <v>721</v>
      </c>
      <c r="G69" s="176" t="s">
        <v>722</v>
      </c>
      <c r="H69" s="462" t="s">
        <v>1488</v>
      </c>
      <c r="I69" s="257">
        <v>1441103</v>
      </c>
      <c r="J69" s="272" t="s">
        <v>16</v>
      </c>
      <c r="K69" s="251">
        <v>0.3</v>
      </c>
      <c r="L69" s="466"/>
      <c r="M69" s="465">
        <f>(12+13)*12</f>
        <v>300</v>
      </c>
      <c r="N69" s="465">
        <f>(40+116)*12</f>
        <v>1872</v>
      </c>
      <c r="O69" s="248">
        <f>SUM(M69:N69)</f>
        <v>2172</v>
      </c>
      <c r="P69" s="31"/>
      <c r="Q69" s="31"/>
      <c r="R69" s="31"/>
      <c r="S69" s="169"/>
      <c r="T69" s="169"/>
    </row>
    <row r="70" spans="1:20" ht="30" thickBot="1">
      <c r="A70" s="461" t="s">
        <v>11</v>
      </c>
      <c r="B70" s="253" t="s">
        <v>162</v>
      </c>
      <c r="C70" s="463" t="s">
        <v>1490</v>
      </c>
      <c r="D70" s="186"/>
      <c r="E70" s="200"/>
      <c r="F70" s="53" t="s">
        <v>721</v>
      </c>
      <c r="G70" s="53" t="s">
        <v>722</v>
      </c>
      <c r="H70" s="462" t="s">
        <v>1832</v>
      </c>
      <c r="I70" s="53">
        <v>83246554</v>
      </c>
      <c r="J70" s="165" t="s">
        <v>16</v>
      </c>
      <c r="K70" s="408">
        <v>2</v>
      </c>
      <c r="L70" s="55"/>
      <c r="M70" s="431">
        <f>14*12</f>
        <v>168</v>
      </c>
      <c r="N70" s="431">
        <f>75*12</f>
        <v>900</v>
      </c>
      <c r="O70" s="464">
        <f>SUM(M70:N70)</f>
        <v>1068</v>
      </c>
      <c r="P70" s="31"/>
      <c r="Q70" s="31"/>
      <c r="R70" s="31"/>
      <c r="S70" s="169"/>
      <c r="T70" s="169"/>
    </row>
    <row r="71" spans="1:15" ht="22.5" customHeight="1">
      <c r="A71" s="194"/>
      <c r="B71" s="570" t="s">
        <v>155</v>
      </c>
      <c r="C71" s="66" t="s">
        <v>1817</v>
      </c>
      <c r="D71" s="35"/>
      <c r="E71" s="293"/>
      <c r="F71" s="602"/>
      <c r="G71" s="570" t="s">
        <v>1998</v>
      </c>
      <c r="H71" s="35" t="s">
        <v>1817</v>
      </c>
      <c r="I71" s="258"/>
      <c r="J71" s="175"/>
      <c r="K71" s="194"/>
      <c r="L71" s="252"/>
      <c r="M71" s="252"/>
      <c r="N71" s="248" t="s">
        <v>160</v>
      </c>
      <c r="O71" s="347">
        <f>SUM(O19:O70)</f>
        <v>292253</v>
      </c>
    </row>
    <row r="72" spans="1:15" ht="15">
      <c r="A72" s="194"/>
      <c r="B72" s="282"/>
      <c r="C72" s="69" t="s">
        <v>1829</v>
      </c>
      <c r="D72" s="39"/>
      <c r="E72" s="293"/>
      <c r="F72" s="304"/>
      <c r="G72" s="51"/>
      <c r="H72" s="39" t="s">
        <v>1829</v>
      </c>
      <c r="I72" s="258"/>
      <c r="J72" s="175"/>
      <c r="K72" s="194"/>
      <c r="L72" s="252"/>
      <c r="M72" s="252"/>
      <c r="N72" s="252"/>
      <c r="O72" s="252"/>
    </row>
    <row r="73" spans="1:15" ht="15.75" thickBot="1">
      <c r="A73" s="194"/>
      <c r="B73" s="282"/>
      <c r="C73" s="69" t="s">
        <v>752</v>
      </c>
      <c r="D73" s="39"/>
      <c r="E73" s="293"/>
      <c r="F73" s="320"/>
      <c r="G73" s="603"/>
      <c r="H73" s="42" t="s">
        <v>752</v>
      </c>
      <c r="I73" s="258"/>
      <c r="J73" s="175"/>
      <c r="K73" s="194"/>
      <c r="L73" s="252"/>
      <c r="M73" s="252"/>
      <c r="N73" s="252"/>
      <c r="O73" s="252"/>
    </row>
    <row r="74" spans="1:15" ht="15">
      <c r="A74" s="194"/>
      <c r="B74" s="282" t="s">
        <v>1689</v>
      </c>
      <c r="C74" s="69" t="s">
        <v>1831</v>
      </c>
      <c r="D74" s="39"/>
      <c r="E74" s="293"/>
      <c r="I74" s="258"/>
      <c r="J74" s="175"/>
      <c r="K74" s="194"/>
      <c r="L74" s="252"/>
      <c r="M74" s="252"/>
      <c r="N74" s="252"/>
      <c r="O74" s="252"/>
    </row>
    <row r="75" spans="1:15" ht="15.75" thickBot="1">
      <c r="A75" s="194"/>
      <c r="B75" s="240" t="s">
        <v>1693</v>
      </c>
      <c r="C75" s="72" t="s">
        <v>1830</v>
      </c>
      <c r="D75" s="42"/>
      <c r="E75" s="293"/>
      <c r="I75" s="175"/>
      <c r="J75" s="175"/>
      <c r="K75" s="194"/>
      <c r="L75" s="252"/>
      <c r="M75" s="252"/>
      <c r="N75" s="252"/>
      <c r="O75" s="252"/>
    </row>
    <row r="76" spans="1:15" ht="15">
      <c r="A76" s="194"/>
      <c r="B76" s="69"/>
      <c r="C76" s="69"/>
      <c r="D76" s="69"/>
      <c r="E76" s="175"/>
      <c r="F76" s="175"/>
      <c r="G76" s="175"/>
      <c r="H76" s="175"/>
      <c r="I76" s="175"/>
      <c r="J76" s="175"/>
      <c r="K76" s="194"/>
      <c r="L76" s="252"/>
      <c r="M76" s="252"/>
      <c r="N76" s="252"/>
      <c r="O76" s="252"/>
    </row>
    <row r="77" spans="1:15" ht="15.75" thickBot="1">
      <c r="A77" s="194"/>
      <c r="B77" s="69"/>
      <c r="C77" s="69"/>
      <c r="D77" s="69"/>
      <c r="E77" s="175"/>
      <c r="F77" s="175"/>
      <c r="G77" s="175"/>
      <c r="H77" s="175"/>
      <c r="I77" s="175"/>
      <c r="J77" s="175"/>
      <c r="K77" s="194"/>
      <c r="L77" s="252"/>
      <c r="M77" s="252"/>
      <c r="N77" s="252"/>
      <c r="O77" s="252"/>
    </row>
    <row r="78" spans="1:20" ht="39.75" customHeight="1">
      <c r="A78" s="718" t="s">
        <v>0</v>
      </c>
      <c r="B78" s="686" t="s">
        <v>1</v>
      </c>
      <c r="C78" s="686" t="s">
        <v>2</v>
      </c>
      <c r="D78" s="686" t="s">
        <v>3</v>
      </c>
      <c r="E78" s="686" t="s">
        <v>4</v>
      </c>
      <c r="F78" s="686" t="s">
        <v>5</v>
      </c>
      <c r="G78" s="686" t="s">
        <v>6</v>
      </c>
      <c r="H78" s="686" t="s">
        <v>8</v>
      </c>
      <c r="I78" s="686" t="s">
        <v>753</v>
      </c>
      <c r="J78" s="686" t="s">
        <v>157</v>
      </c>
      <c r="K78" s="721" t="s">
        <v>9</v>
      </c>
      <c r="L78" s="724" t="s">
        <v>1043</v>
      </c>
      <c r="M78" s="724"/>
      <c r="N78" s="724"/>
      <c r="O78" s="724"/>
      <c r="P78" s="724" t="s">
        <v>1044</v>
      </c>
      <c r="Q78" s="724"/>
      <c r="R78" s="724"/>
      <c r="S78" s="724"/>
      <c r="T78" s="733" t="s">
        <v>1833</v>
      </c>
    </row>
    <row r="79" spans="1:20" ht="14.25">
      <c r="A79" s="719"/>
      <c r="B79" s="687"/>
      <c r="C79" s="687"/>
      <c r="D79" s="687"/>
      <c r="E79" s="687"/>
      <c r="F79" s="687"/>
      <c r="G79" s="687"/>
      <c r="H79" s="687"/>
      <c r="I79" s="687"/>
      <c r="J79" s="687"/>
      <c r="K79" s="722"/>
      <c r="L79" s="690" t="s">
        <v>1041</v>
      </c>
      <c r="M79" s="690" t="s">
        <v>1035</v>
      </c>
      <c r="N79" s="690" t="s">
        <v>1036</v>
      </c>
      <c r="O79" s="690" t="s">
        <v>1046</v>
      </c>
      <c r="P79" s="690" t="s">
        <v>1041</v>
      </c>
      <c r="Q79" s="690" t="s">
        <v>1035</v>
      </c>
      <c r="R79" s="690" t="s">
        <v>1036</v>
      </c>
      <c r="S79" s="690" t="s">
        <v>1046</v>
      </c>
      <c r="T79" s="734"/>
    </row>
    <row r="80" spans="1:20" ht="15" thickBot="1">
      <c r="A80" s="720"/>
      <c r="B80" s="688"/>
      <c r="C80" s="688"/>
      <c r="D80" s="688"/>
      <c r="E80" s="688"/>
      <c r="F80" s="688"/>
      <c r="G80" s="688"/>
      <c r="H80" s="688"/>
      <c r="I80" s="688"/>
      <c r="J80" s="688"/>
      <c r="K80" s="723"/>
      <c r="L80" s="725"/>
      <c r="M80" s="725"/>
      <c r="N80" s="725"/>
      <c r="O80" s="725"/>
      <c r="P80" s="725"/>
      <c r="Q80" s="725"/>
      <c r="R80" s="725"/>
      <c r="S80" s="725"/>
      <c r="T80" s="739"/>
    </row>
    <row r="81" spans="1:20" ht="44.25" thickBot="1">
      <c r="A81" s="291" t="s">
        <v>754</v>
      </c>
      <c r="B81" s="363" t="s">
        <v>162</v>
      </c>
      <c r="C81" s="538" t="s">
        <v>750</v>
      </c>
      <c r="D81" s="473"/>
      <c r="E81" s="200"/>
      <c r="F81" s="53" t="s">
        <v>721</v>
      </c>
      <c r="G81" s="53" t="s">
        <v>722</v>
      </c>
      <c r="H81" s="396">
        <v>53682003</v>
      </c>
      <c r="I81" s="53"/>
      <c r="J81" s="165" t="s">
        <v>16</v>
      </c>
      <c r="K81" s="192">
        <v>0.5</v>
      </c>
      <c r="L81" s="55"/>
      <c r="M81" s="431">
        <v>150</v>
      </c>
      <c r="N81" s="431">
        <v>350</v>
      </c>
      <c r="O81" s="464">
        <f>SUM(M81:N81)</f>
        <v>500</v>
      </c>
      <c r="P81" s="55"/>
      <c r="Q81" s="431">
        <f>M81</f>
        <v>150</v>
      </c>
      <c r="R81" s="431">
        <f>N81</f>
        <v>350</v>
      </c>
      <c r="S81" s="464">
        <f>SUM(Q81:R81)</f>
        <v>500</v>
      </c>
      <c r="T81" s="140" t="s">
        <v>1834</v>
      </c>
    </row>
    <row r="82" spans="1:19" ht="15">
      <c r="A82" s="194"/>
      <c r="B82" s="75" t="s">
        <v>155</v>
      </c>
      <c r="C82" s="66" t="s">
        <v>1817</v>
      </c>
      <c r="D82" s="35"/>
      <c r="E82" s="175"/>
      <c r="F82" s="602"/>
      <c r="G82" s="570" t="s">
        <v>1998</v>
      </c>
      <c r="H82" s="35" t="s">
        <v>1817</v>
      </c>
      <c r="I82" s="175"/>
      <c r="J82" s="175"/>
      <c r="K82" s="194"/>
      <c r="L82" s="252"/>
      <c r="M82" s="252"/>
      <c r="N82" s="252"/>
      <c r="O82" s="252"/>
      <c r="R82" s="248" t="s">
        <v>160</v>
      </c>
      <c r="S82" s="347">
        <f>SUM(S30:S81)</f>
        <v>500</v>
      </c>
    </row>
    <row r="83" spans="1:15" ht="15">
      <c r="A83" s="194"/>
      <c r="B83" s="37"/>
      <c r="C83" s="69" t="s">
        <v>1829</v>
      </c>
      <c r="D83" s="39"/>
      <c r="E83" s="175"/>
      <c r="F83" s="304"/>
      <c r="G83" s="51"/>
      <c r="H83" s="39" t="s">
        <v>1829</v>
      </c>
      <c r="I83" s="175"/>
      <c r="J83" s="175"/>
      <c r="K83" s="194"/>
      <c r="L83" s="252"/>
      <c r="M83" s="252"/>
      <c r="N83" s="252"/>
      <c r="O83" s="252"/>
    </row>
    <row r="84" spans="1:15" ht="15.75" thickBot="1">
      <c r="A84" s="194"/>
      <c r="B84" s="37"/>
      <c r="C84" s="69" t="s">
        <v>752</v>
      </c>
      <c r="D84" s="39"/>
      <c r="E84" s="175"/>
      <c r="F84" s="320"/>
      <c r="G84" s="603"/>
      <c r="H84" s="42" t="s">
        <v>752</v>
      </c>
      <c r="I84" s="175"/>
      <c r="J84" s="175"/>
      <c r="K84" s="194"/>
      <c r="L84" s="252"/>
      <c r="M84" s="252"/>
      <c r="N84" s="252"/>
      <c r="O84" s="252"/>
    </row>
    <row r="85" spans="1:15" ht="15.75" thickBot="1">
      <c r="A85" s="194"/>
      <c r="B85" s="40" t="s">
        <v>1689</v>
      </c>
      <c r="C85" s="72" t="s">
        <v>1831</v>
      </c>
      <c r="D85" s="42"/>
      <c r="E85" s="175"/>
      <c r="F85" s="175"/>
      <c r="G85" s="175"/>
      <c r="H85" s="175"/>
      <c r="I85" s="175"/>
      <c r="J85" s="175"/>
      <c r="K85" s="194"/>
      <c r="L85" s="252"/>
      <c r="M85" s="252" t="s">
        <v>160</v>
      </c>
      <c r="N85" s="252">
        <f>O71+S82</f>
        <v>292753</v>
      </c>
      <c r="O85" s="252"/>
    </row>
    <row r="86" spans="1:15" ht="15.75" thickBot="1">
      <c r="A86" s="194"/>
      <c r="B86" s="421"/>
      <c r="C86" s="69"/>
      <c r="D86" s="422"/>
      <c r="E86" s="175"/>
      <c r="F86" s="175"/>
      <c r="G86" s="175"/>
      <c r="H86" s="175"/>
      <c r="I86" s="175"/>
      <c r="J86" s="175"/>
      <c r="K86" s="194"/>
      <c r="L86" s="252"/>
      <c r="M86" s="252"/>
      <c r="N86" s="252"/>
      <c r="O86" s="252"/>
    </row>
    <row r="87" spans="1:15" ht="47.25" customHeight="1">
      <c r="A87" s="194"/>
      <c r="B87" s="175"/>
      <c r="C87" s="175"/>
      <c r="D87" s="175"/>
      <c r="E87" s="175"/>
      <c r="F87" s="175"/>
      <c r="G87" s="175"/>
      <c r="H87" s="175"/>
      <c r="I87" s="175"/>
      <c r="J87" s="175"/>
      <c r="K87" s="737" t="s">
        <v>157</v>
      </c>
      <c r="L87" s="702" t="s">
        <v>1034</v>
      </c>
      <c r="M87" s="703"/>
      <c r="N87" s="704"/>
      <c r="O87" s="713" t="s">
        <v>158</v>
      </c>
    </row>
    <row r="88" spans="1:15" ht="21.75" customHeight="1">
      <c r="A88" s="194"/>
      <c r="B88" s="175"/>
      <c r="C88" s="175"/>
      <c r="D88" s="175"/>
      <c r="E88" s="175"/>
      <c r="F88" s="175"/>
      <c r="G88" s="175"/>
      <c r="H88" s="175"/>
      <c r="I88" s="175"/>
      <c r="J88" s="175"/>
      <c r="K88" s="740"/>
      <c r="L88" s="432" t="s">
        <v>159</v>
      </c>
      <c r="M88" s="432" t="s">
        <v>1035</v>
      </c>
      <c r="N88" s="432" t="s">
        <v>1036</v>
      </c>
      <c r="O88" s="741"/>
    </row>
    <row r="89" spans="1:16" ht="15" thickBot="1">
      <c r="A89" s="194"/>
      <c r="B89" s="175"/>
      <c r="C89" s="175"/>
      <c r="D89" s="175"/>
      <c r="E89" s="175"/>
      <c r="F89" s="175"/>
      <c r="G89" s="175"/>
      <c r="H89" s="175"/>
      <c r="I89" s="175"/>
      <c r="J89" s="260"/>
      <c r="K89" s="433" t="s">
        <v>16</v>
      </c>
      <c r="L89" s="434"/>
      <c r="M89" s="435">
        <f>SUM(M19:M70,M81)</f>
        <v>66126</v>
      </c>
      <c r="N89" s="436">
        <f>SUM(N19:N70,N81)</f>
        <v>226627</v>
      </c>
      <c r="O89" s="437">
        <v>53</v>
      </c>
      <c r="P89" s="31"/>
    </row>
    <row r="90" spans="1:16" ht="15" thickBot="1">
      <c r="A90" s="194"/>
      <c r="B90" s="175"/>
      <c r="C90" s="175"/>
      <c r="D90" s="175"/>
      <c r="E90" s="175"/>
      <c r="F90" s="175"/>
      <c r="G90" s="175"/>
      <c r="H90" s="175"/>
      <c r="I90" s="175"/>
      <c r="J90" s="260"/>
      <c r="K90" s="16" t="s">
        <v>160</v>
      </c>
      <c r="L90" s="17">
        <f>SUM(L89:L89)</f>
        <v>0</v>
      </c>
      <c r="M90" s="18">
        <f>M89</f>
        <v>66126</v>
      </c>
      <c r="N90" s="19">
        <f>N89</f>
        <v>226627</v>
      </c>
      <c r="O90" s="438">
        <f>SUM(O89:O89)</f>
        <v>53</v>
      </c>
      <c r="P90" s="31"/>
    </row>
    <row r="91" spans="1:16" ht="18.75" thickBot="1">
      <c r="A91" s="194"/>
      <c r="B91" s="175"/>
      <c r="C91" s="175"/>
      <c r="D91" s="175"/>
      <c r="E91" s="175"/>
      <c r="F91" s="175"/>
      <c r="G91" s="175"/>
      <c r="H91" s="175"/>
      <c r="I91" s="175"/>
      <c r="J91" s="260"/>
      <c r="K91"/>
      <c r="L91" s="59" t="s">
        <v>161</v>
      </c>
      <c r="M91" s="346">
        <f>SUM(L90:N90)</f>
        <v>292753</v>
      </c>
      <c r="P91" s="31"/>
    </row>
    <row r="92" spans="1:16" ht="14.25">
      <c r="A92" s="194"/>
      <c r="B92" s="175"/>
      <c r="C92" s="175"/>
      <c r="D92" s="175"/>
      <c r="E92" s="175"/>
      <c r="F92" s="175"/>
      <c r="G92" s="175"/>
      <c r="H92" s="175"/>
      <c r="I92" s="175"/>
      <c r="J92" s="260"/>
      <c r="K92"/>
      <c r="M92" s="2"/>
      <c r="P92" s="31"/>
    </row>
    <row r="93" spans="1:16" ht="14.25">
      <c r="A93" s="194"/>
      <c r="B93" s="175"/>
      <c r="C93" s="175"/>
      <c r="D93" s="175"/>
      <c r="E93" s="175"/>
      <c r="F93" s="175"/>
      <c r="G93" s="175"/>
      <c r="H93" s="175"/>
      <c r="I93" s="175"/>
      <c r="J93" s="260"/>
      <c r="K93" s="262"/>
      <c r="L93" s="259"/>
      <c r="M93" s="259"/>
      <c r="N93" s="259"/>
      <c r="O93" s="260"/>
      <c r="P93" s="31"/>
    </row>
    <row r="94" spans="1:16" ht="15">
      <c r="A94" s="194"/>
      <c r="B94" s="175"/>
      <c r="C94" s="175"/>
      <c r="D94" s="175"/>
      <c r="E94" s="175"/>
      <c r="F94" s="175"/>
      <c r="G94" s="175"/>
      <c r="H94" s="175"/>
      <c r="I94" s="175"/>
      <c r="J94" s="260"/>
      <c r="K94" s="260"/>
      <c r="L94" s="261"/>
      <c r="M94" s="263"/>
      <c r="N94" s="260"/>
      <c r="O94" s="260"/>
      <c r="P94" s="31"/>
    </row>
    <row r="95" spans="1:16" ht="14.25">
      <c r="A95" s="194"/>
      <c r="B95" s="175"/>
      <c r="C95" s="175"/>
      <c r="D95" s="175"/>
      <c r="E95" s="175"/>
      <c r="F95" s="175"/>
      <c r="G95" s="175"/>
      <c r="H95" s="175"/>
      <c r="I95" s="175"/>
      <c r="J95" s="260"/>
      <c r="K95" s="260"/>
      <c r="L95" s="260"/>
      <c r="M95" s="259"/>
      <c r="N95" s="260"/>
      <c r="O95" s="260"/>
      <c r="P95" s="31"/>
    </row>
    <row r="96" spans="10:16" ht="14.25">
      <c r="J96" s="31"/>
      <c r="K96" s="88"/>
      <c r="L96" s="31"/>
      <c r="M96" s="31"/>
      <c r="N96" s="31"/>
      <c r="O96" s="31"/>
      <c r="P96" s="31"/>
    </row>
    <row r="97" spans="10:16" ht="14.25">
      <c r="J97" s="31"/>
      <c r="K97" s="88"/>
      <c r="L97" s="31"/>
      <c r="M97" s="31"/>
      <c r="N97" s="31"/>
      <c r="O97" s="31"/>
      <c r="P97" s="31"/>
    </row>
    <row r="98" spans="10:16" ht="14.25">
      <c r="J98" s="31"/>
      <c r="K98" s="88"/>
      <c r="L98" s="31"/>
      <c r="M98" s="31"/>
      <c r="N98" s="31"/>
      <c r="O98" s="31"/>
      <c r="P98" s="31"/>
    </row>
  </sheetData>
  <sheetProtection/>
  <mergeCells count="41">
    <mergeCell ref="K16:K18"/>
    <mergeCell ref="B3:I3"/>
    <mergeCell ref="B5:I5"/>
    <mergeCell ref="I16:I18"/>
    <mergeCell ref="A16:A18"/>
    <mergeCell ref="B16:B18"/>
    <mergeCell ref="C16:C18"/>
    <mergeCell ref="D16:D18"/>
    <mergeCell ref="H16:H18"/>
    <mergeCell ref="B1:K1"/>
    <mergeCell ref="K87:K88"/>
    <mergeCell ref="L87:N87"/>
    <mergeCell ref="O87:O88"/>
    <mergeCell ref="L17:O17"/>
    <mergeCell ref="L16:O16"/>
    <mergeCell ref="E16:E18"/>
    <mergeCell ref="F16:F18"/>
    <mergeCell ref="G16:G18"/>
    <mergeCell ref="J16:J18"/>
    <mergeCell ref="A78:A80"/>
    <mergeCell ref="B78:B80"/>
    <mergeCell ref="C78:C80"/>
    <mergeCell ref="D78:D80"/>
    <mergeCell ref="E78:E80"/>
    <mergeCell ref="F78:F80"/>
    <mergeCell ref="G78:G80"/>
    <mergeCell ref="H78:H80"/>
    <mergeCell ref="I78:I80"/>
    <mergeCell ref="J78:J80"/>
    <mergeCell ref="K78:K80"/>
    <mergeCell ref="L78:O78"/>
    <mergeCell ref="P78:S78"/>
    <mergeCell ref="T78:T80"/>
    <mergeCell ref="L79:L80"/>
    <mergeCell ref="M79:M80"/>
    <mergeCell ref="N79:N80"/>
    <mergeCell ref="O79:O80"/>
    <mergeCell ref="P79:P80"/>
    <mergeCell ref="Q79:Q80"/>
    <mergeCell ref="R79:R80"/>
    <mergeCell ref="S79:S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Administrator</cp:lastModifiedBy>
  <dcterms:created xsi:type="dcterms:W3CDTF">2012-09-08T11:04:19Z</dcterms:created>
  <dcterms:modified xsi:type="dcterms:W3CDTF">2016-09-19T07:00:21Z</dcterms:modified>
  <cp:category/>
  <cp:version/>
  <cp:contentType/>
  <cp:contentStatus/>
</cp:coreProperties>
</file>