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1" firstSheet="5" activeTab="7"/>
  </bookViews>
  <sheets>
    <sheet name="Zestawienie ogólne" sheetId="1" r:id="rId1"/>
    <sheet name="Miasto Mińsk!" sheetId="2" r:id="rId2"/>
    <sheet name="Powiat Miński!" sheetId="3" r:id="rId3"/>
    <sheet name="Gmina Halinów!" sheetId="4" r:id="rId4"/>
    <sheet name="Gmina Mrozy!" sheetId="5" r:id="rId5"/>
    <sheet name="Gmina Mińsk!" sheetId="6" r:id="rId6"/>
    <sheet name="Gmina Dębe Wielkie!" sheetId="7" r:id="rId7"/>
    <sheet name="Gmina Siennica!" sheetId="8" r:id="rId8"/>
    <sheet name="Gmina Latowicz!" sheetId="9" r:id="rId9"/>
    <sheet name="Gmina Cegłów!" sheetId="10" r:id="rId10"/>
    <sheet name="Miasto Sulejówek!" sheetId="11" r:id="rId11"/>
    <sheet name="Gmina Dobre!" sheetId="12" r:id="rId12"/>
    <sheet name="Gmina Jakubów!" sheetId="13" r:id="rId13"/>
    <sheet name="Gmina Kałuszyn!" sheetId="14" r:id="rId14"/>
    <sheet name="Gmina Stanisławów!" sheetId="15" r:id="rId15"/>
    <sheet name="Gmina Kotuń" sheetId="16" r:id="rId16"/>
  </sheets>
  <definedNames/>
  <calcPr fullCalcOnLoad="1"/>
</workbook>
</file>

<file path=xl/sharedStrings.xml><?xml version="1.0" encoding="utf-8"?>
<sst xmlns="http://schemas.openxmlformats.org/spreadsheetml/2006/main" count="10428" uniqueCount="1850">
  <si>
    <t>Szczegółowy Opis Przedmiotu Zamówienia - Powiat Miński</t>
  </si>
  <si>
    <t xml:space="preserve">Szczegółowy Opis Przedmiotu Zamówienia zawiera informacje dotyczące: </t>
  </si>
  <si>
    <t>identyfikacji PPE Zamawiającego ze wskazaniem Nabywców</t>
  </si>
  <si>
    <t>P -</t>
  </si>
  <si>
    <t>pierwsza zmiana Sprzedawcy</t>
  </si>
  <si>
    <t>K -</t>
  </si>
  <si>
    <t>kolejna zmiana Sprzedawcy</t>
  </si>
  <si>
    <t>Zmiana sprzedawcy</t>
  </si>
  <si>
    <t>Nazwa obiektu</t>
  </si>
  <si>
    <t>Miejscowość</t>
  </si>
  <si>
    <t>Ulica</t>
  </si>
  <si>
    <t>Nr posesji</t>
  </si>
  <si>
    <t>Kod pocztowy</t>
  </si>
  <si>
    <t>Poczta</t>
  </si>
  <si>
    <t>Kod PPE</t>
  </si>
  <si>
    <t>Numer ewidencyjny</t>
  </si>
  <si>
    <t>Moc umowna   [kW]</t>
  </si>
  <si>
    <t>Zużycie łączne</t>
  </si>
  <si>
    <t>P</t>
  </si>
  <si>
    <t>Mińsk Mazowiecki</t>
  </si>
  <si>
    <t>Budowlana</t>
  </si>
  <si>
    <t>05-300</t>
  </si>
  <si>
    <t>C21</t>
  </si>
  <si>
    <t>Nabywca:</t>
  </si>
  <si>
    <t>Suma</t>
  </si>
  <si>
    <t>Ul. Budowlana 4</t>
  </si>
  <si>
    <t>05-300 Mińsk Mazowiecki</t>
  </si>
  <si>
    <t>K</t>
  </si>
  <si>
    <t>Janów</t>
  </si>
  <si>
    <t>C11</t>
  </si>
  <si>
    <t>Tadeusza Kościuszki</t>
  </si>
  <si>
    <t>PL_ZEWD_1412000031_04</t>
  </si>
  <si>
    <t>Konstytucji 3-go Maja</t>
  </si>
  <si>
    <t>PL_ZEWD_1412000032_06</t>
  </si>
  <si>
    <t>Ul. Tadeusza Kościuszki 3</t>
  </si>
  <si>
    <t xml:space="preserve">Piękna </t>
  </si>
  <si>
    <t>7A</t>
  </si>
  <si>
    <t>PL_ZEWD_1412000005_05</t>
  </si>
  <si>
    <t xml:space="preserve">05-300 </t>
  </si>
  <si>
    <t>PL_ZEWD_1412000006_07</t>
  </si>
  <si>
    <t>Macierzy Szkolnej w Mińsku Mazowieckim</t>
  </si>
  <si>
    <t>Ul. Piękna 7A</t>
  </si>
  <si>
    <t>PL_ZEWD_1412000235_08</t>
  </si>
  <si>
    <t>w Mińsku Mazowieckim</t>
  </si>
  <si>
    <t>1 PLM Warszawa</t>
  </si>
  <si>
    <t>PL_ZEWD_1412000234_06</t>
  </si>
  <si>
    <t>PL_ZEWD_1412000232_02</t>
  </si>
  <si>
    <t>PL_ZEWD_1412000233_04</t>
  </si>
  <si>
    <t>Ul. 1PLM Warszawa 1</t>
  </si>
  <si>
    <t>Zygmunta Kazikowskiego</t>
  </si>
  <si>
    <t>PL_ZEWD_1412000228_05</t>
  </si>
  <si>
    <t>Ul. Zygmunta Kazikowskiego 18</t>
  </si>
  <si>
    <t>Ignaców</t>
  </si>
  <si>
    <t>PL_ZEWD_1412000555_00</t>
  </si>
  <si>
    <t>w Ignacowie</t>
  </si>
  <si>
    <t>Warszawska</t>
  </si>
  <si>
    <t>PL_ZEWD_1412000222_03</t>
  </si>
  <si>
    <t>PL_ZEWD_1412000224_07</t>
  </si>
  <si>
    <t>PL_ZEWD_1412000220_09</t>
  </si>
  <si>
    <t>Ul. Warszawska 219</t>
  </si>
  <si>
    <t>Grupa taryfowa</t>
  </si>
  <si>
    <t>Liczba PPE</t>
  </si>
  <si>
    <t>całodobowe</t>
  </si>
  <si>
    <t>Suma:</t>
  </si>
  <si>
    <t>Suma zużycia:</t>
  </si>
  <si>
    <t>Miejski Ośrodek Sportu i Rekreacji - Kort</t>
  </si>
  <si>
    <t>PL_ZEWD_1412001098_09</t>
  </si>
  <si>
    <t>C12a</t>
  </si>
  <si>
    <t>Miejski Ośrodek Sportu i Rekreacji</t>
  </si>
  <si>
    <t>PL_ZEWD_1412001099_01</t>
  </si>
  <si>
    <t>Miejski Ośrodek Sportu i Rekreacji - Lodowisko</t>
  </si>
  <si>
    <t>PL_ZEWD_1412001103_06</t>
  </si>
  <si>
    <t>C22a</t>
  </si>
  <si>
    <t>PL_ZEWD_1412001102_04</t>
  </si>
  <si>
    <t>Miejski Ośrodek Sportu i Rekreacji - Basen</t>
  </si>
  <si>
    <t>PL_ZEWD_1412001100_00</t>
  </si>
  <si>
    <t>PL_ZEWD_1412001101_02</t>
  </si>
  <si>
    <t>Miejski Dom Kultury</t>
  </si>
  <si>
    <t>PL_ZEWD_1412000866_05</t>
  </si>
  <si>
    <t>ul. Warszawska 173</t>
  </si>
  <si>
    <t>Miejska Biblioteka Publiczna</t>
  </si>
  <si>
    <t xml:space="preserve">Piłsudskiego </t>
  </si>
  <si>
    <t>1A</t>
  </si>
  <si>
    <t>PL_ZEWD_1412000964_09</t>
  </si>
  <si>
    <t>Miejski Dom Kultury Skansen</t>
  </si>
  <si>
    <t>PL_ZEWD_1412000819_06</t>
  </si>
  <si>
    <t>Gimnazjum Miejskie nr 2</t>
  </si>
  <si>
    <t>PL_ZEWD_1412000817_02</t>
  </si>
  <si>
    <t>Im. Jana Pawła II</t>
  </si>
  <si>
    <t>ul. Budowlana 2</t>
  </si>
  <si>
    <t>Siennicka</t>
  </si>
  <si>
    <t>PL_ZEWD_1412000861_05</t>
  </si>
  <si>
    <t>ul. Siennicka 17</t>
  </si>
  <si>
    <t>PL_ZEWD_1412000825_07</t>
  </si>
  <si>
    <t>Przedszkole Miejskie nr 1</t>
  </si>
  <si>
    <t>Kościuszki</t>
  </si>
  <si>
    <t>PL_ZEWD_1412000955_02</t>
  </si>
  <si>
    <t>Im. St. Jachowicza</t>
  </si>
  <si>
    <t>ul. Kościuszki 22</t>
  </si>
  <si>
    <t>Rodziny Nalazków</t>
  </si>
  <si>
    <t>PL_ZEWD_1412000822_01</t>
  </si>
  <si>
    <t>Przedszkole Miejskie nr 3</t>
  </si>
  <si>
    <t>PL_ZEWD_1412000814_06</t>
  </si>
  <si>
    <t>ul. Konstytucji 3-go Maja 10</t>
  </si>
  <si>
    <t>Przedszkole Miejskie nr 4</t>
  </si>
  <si>
    <t>PL_ZEWD_1412000963_07</t>
  </si>
  <si>
    <t>Przedszkole Miejskie z oddziałem</t>
  </si>
  <si>
    <t>specjalnym i oddziałem</t>
  </si>
  <si>
    <t>integracyjnym nr 4</t>
  </si>
  <si>
    <t>Im. Urszuli Smoczyńskiej w Mińsku</t>
  </si>
  <si>
    <t>Mazowieckim</t>
  </si>
  <si>
    <t>Przedszkole Miejskie nr 5</t>
  </si>
  <si>
    <t>PL_ZEWD_1412000871_04</t>
  </si>
  <si>
    <t xml:space="preserve">Przedszkole Miejskie nr 5 </t>
  </si>
  <si>
    <t>"Tęczowa dolina"</t>
  </si>
  <si>
    <t>ul. Konstytucji 3-go Maja 11</t>
  </si>
  <si>
    <t>Przedszkole Miejskie nr 6</t>
  </si>
  <si>
    <t>PL_ZEWD_1412000922_09</t>
  </si>
  <si>
    <t>ul. Warszawska 250 m 81</t>
  </si>
  <si>
    <t>Miejska Szkoła Artystyczna I-stopnia</t>
  </si>
  <si>
    <t>Piękna</t>
  </si>
  <si>
    <t>ul. Armii Ludowej 23</t>
  </si>
  <si>
    <t>PL_ZEWD_1412000916_08</t>
  </si>
  <si>
    <t>Dąbrówki</t>
  </si>
  <si>
    <t>PL_ZEWD_1412000891_02</t>
  </si>
  <si>
    <t>ul. Dąbrówki 10</t>
  </si>
  <si>
    <t>PL_ZEWD_1412000879_00</t>
  </si>
  <si>
    <t>Szkoła Postawowa nr 5</t>
  </si>
  <si>
    <t>Małopolska</t>
  </si>
  <si>
    <t>PL_ZEWD_1412000869_01</t>
  </si>
  <si>
    <t>Im. Józefa Wybickiego</t>
  </si>
  <si>
    <t>ul. Małopolska 11</t>
  </si>
  <si>
    <t>Szkoła podstawowa nr 5</t>
  </si>
  <si>
    <t>PL_ZEWD_1412000826_09</t>
  </si>
  <si>
    <t>Szkola Podstawowa nr 6</t>
  </si>
  <si>
    <t>PL_ZEWD_1412000859_02</t>
  </si>
  <si>
    <t>Im. H. Sienkiewicza</t>
  </si>
  <si>
    <t>ul. Sosnkowskiego 1</t>
  </si>
  <si>
    <t>Muzeum Ziemi Mińskiej</t>
  </si>
  <si>
    <t>Okrzei</t>
  </si>
  <si>
    <t>PL_ZEWD_1412000853_00</t>
  </si>
  <si>
    <t>Sosnkowskiego</t>
  </si>
  <si>
    <t>PL_ZEWD_1412000854_02</t>
  </si>
  <si>
    <t>Budynek Urzędu Miasta</t>
  </si>
  <si>
    <t>PL_ZEWD_1412000965_01</t>
  </si>
  <si>
    <t>Miasto Mińsk Mazowiecki</t>
  </si>
  <si>
    <t>ul. Konstytucji 3-go Maja 1</t>
  </si>
  <si>
    <t>Przepompownia ścieków</t>
  </si>
  <si>
    <t>Miła</t>
  </si>
  <si>
    <t>PL_ZEWD_1412000885_01</t>
  </si>
  <si>
    <t>Obiekt usługowo-kulturowy</t>
  </si>
  <si>
    <t>PL_ZEWD_1412000856_06</t>
  </si>
  <si>
    <t>Florencja</t>
  </si>
  <si>
    <t>PL_ZEWD_1412000884_09</t>
  </si>
  <si>
    <t>Sygnalizacja świetlna</t>
  </si>
  <si>
    <t>PL_ZEWD_1412000867_07</t>
  </si>
  <si>
    <t>Stacja ujmowania i spalania biogazu</t>
  </si>
  <si>
    <t>Przemysłowa</t>
  </si>
  <si>
    <t>PL_ZEWD_1412000862_07</t>
  </si>
  <si>
    <t>8 kamer</t>
  </si>
  <si>
    <t>R</t>
  </si>
  <si>
    <t>Ul. Konstytucji 3-go Maja 1</t>
  </si>
  <si>
    <t>Suma zużycia</t>
  </si>
  <si>
    <t>Szkoła Podstawowa</t>
  </si>
  <si>
    <t>Cisie</t>
  </si>
  <si>
    <t>Halinów</t>
  </si>
  <si>
    <t>05-074</t>
  </si>
  <si>
    <t>Nabywca</t>
  </si>
  <si>
    <t>05-074 Halinów</t>
  </si>
  <si>
    <t>NIP:</t>
  </si>
  <si>
    <t>Zespół Szkolno - Przedszkolny Szkoła Podstawowa</t>
  </si>
  <si>
    <t>Okuniew</t>
  </si>
  <si>
    <t>Szkolna</t>
  </si>
  <si>
    <t>05-079</t>
  </si>
  <si>
    <t>Ul. Szkolna 4</t>
  </si>
  <si>
    <t>05-079 Okuniew</t>
  </si>
  <si>
    <t>1-go Maja</t>
  </si>
  <si>
    <t>Zespół Szkolno - Przedszkolny</t>
  </si>
  <si>
    <t>Przedszkole w Okuniewie</t>
  </si>
  <si>
    <t>Ul. 1-go Maja 3</t>
  </si>
  <si>
    <t>Dom Kultury w Halinowie</t>
  </si>
  <si>
    <t xml:space="preserve">3-go Maja </t>
  </si>
  <si>
    <t>Dom Kultury</t>
  </si>
  <si>
    <t xml:space="preserve">Michałów </t>
  </si>
  <si>
    <t>Ul. Rynek 46/2</t>
  </si>
  <si>
    <t xml:space="preserve">Okuniewska </t>
  </si>
  <si>
    <t>Ul. Okuniewska 115</t>
  </si>
  <si>
    <t>Szkoła Podstawowa Brzeziny</t>
  </si>
  <si>
    <t>Brzeziny</t>
  </si>
  <si>
    <t>Brzeziny 3</t>
  </si>
  <si>
    <t>Chobot</t>
  </si>
  <si>
    <t>Szkoła Podstawowa w Chobocie</t>
  </si>
  <si>
    <t>Chobot 50</t>
  </si>
  <si>
    <t>Biblioteka Publiczna Gminy Halinów</t>
  </si>
  <si>
    <t>Rynek</t>
  </si>
  <si>
    <t>Spółdzielcza</t>
  </si>
  <si>
    <t>Ul. Spółdzielcza 1</t>
  </si>
  <si>
    <t>OSP</t>
  </si>
  <si>
    <t>Topór</t>
  </si>
  <si>
    <t>51 A</t>
  </si>
  <si>
    <t>05-320</t>
  </si>
  <si>
    <t>Mrozy</t>
  </si>
  <si>
    <t>PL_ZEWD_1412000404_05</t>
  </si>
  <si>
    <t>Guzew</t>
  </si>
  <si>
    <t>PL_ZEWD_1412000385_01</t>
  </si>
  <si>
    <t>Trojanów</t>
  </si>
  <si>
    <t>44A</t>
  </si>
  <si>
    <t>PL_ZEWD_1412000400_07</t>
  </si>
  <si>
    <t>Sokolnik</t>
  </si>
  <si>
    <t>37A</t>
  </si>
  <si>
    <t>PL_ZEWD_1412000395_00</t>
  </si>
  <si>
    <t>Dębowce</t>
  </si>
  <si>
    <t>05-317</t>
  </si>
  <si>
    <t>Jeruzal</t>
  </si>
  <si>
    <t>PL_ZEWD_1412000363_09</t>
  </si>
  <si>
    <t>Mickiewicza</t>
  </si>
  <si>
    <t>PL_ZEWD_1412000418_02</t>
  </si>
  <si>
    <t>Grodzisk</t>
  </si>
  <si>
    <t>PL_ZEWD_1412000442_07</t>
  </si>
  <si>
    <t>OSP Garaże</t>
  </si>
  <si>
    <t>51B</t>
  </si>
  <si>
    <t>PL_ZEWD_1412000950_02</t>
  </si>
  <si>
    <t>Wola Rafałowska</t>
  </si>
  <si>
    <t>Tartaczna</t>
  </si>
  <si>
    <t>PL_ZEWD_1412000968_07</t>
  </si>
  <si>
    <t>Lipiny</t>
  </si>
  <si>
    <t>PL_ZEWD_1412000957_06</t>
  </si>
  <si>
    <t>Borki</t>
  </si>
  <si>
    <t>PL_ZEWD_1412000953_08</t>
  </si>
  <si>
    <t>PL_ZEWD_1412000954_00</t>
  </si>
  <si>
    <t>Gminne Centrum Kultury</t>
  </si>
  <si>
    <t>PL_ZEWD_1412000446_05</t>
  </si>
  <si>
    <t>Gminna Biblioteka Publiczna</t>
  </si>
  <si>
    <t>Kilińskiego</t>
  </si>
  <si>
    <t>Biuro</t>
  </si>
  <si>
    <t>PL_ZEWD_1412000371_04</t>
  </si>
  <si>
    <t>PL_ZEWD_1412000374_00</t>
  </si>
  <si>
    <t>Obiekt Gminny</t>
  </si>
  <si>
    <t>PL_ZEWD_1412000361_05</t>
  </si>
  <si>
    <t>Urząd Gminy</t>
  </si>
  <si>
    <t>PL_ZEWD_1412000353_00</t>
  </si>
  <si>
    <t>Świetlica</t>
  </si>
  <si>
    <t>Kruki</t>
  </si>
  <si>
    <t>PL_ZEWD_1412000369_01</t>
  </si>
  <si>
    <t>Boisko "Orlik"</t>
  </si>
  <si>
    <t>dz.722/1</t>
  </si>
  <si>
    <t>PL_ZEWD_1412000969_09</t>
  </si>
  <si>
    <t>Główna</t>
  </si>
  <si>
    <t>PL_ZEWD_1412000940_03</t>
  </si>
  <si>
    <t>Dąbrowa</t>
  </si>
  <si>
    <t>PL_ZEWD_1412000946_05</t>
  </si>
  <si>
    <t>Szkoła Podstawowa w Grodzisku</t>
  </si>
  <si>
    <t>Mazowiecka</t>
  </si>
  <si>
    <t>86</t>
  </si>
  <si>
    <t>PL_ZEWD_1412000472_04</t>
  </si>
  <si>
    <t>Szkoła Podstawowa w Mrozach</t>
  </si>
  <si>
    <t>PL_ZEWD_1412000473_06</t>
  </si>
  <si>
    <t>PL_ZEWD_1412000556_02</t>
  </si>
  <si>
    <t>Zespół Szkół Publicznych w Mrozach</t>
  </si>
  <si>
    <t>Licealna</t>
  </si>
  <si>
    <t>PL_ZEWD_1412000554_08</t>
  </si>
  <si>
    <t>Przedszkole w Mrozach</t>
  </si>
  <si>
    <t>Armii Krajowej</t>
  </si>
  <si>
    <t>PL_ZEWD_1412000445_03</t>
  </si>
  <si>
    <t>Stacja Wodociągowa</t>
  </si>
  <si>
    <t>Piaseczno</t>
  </si>
  <si>
    <t>05-319</t>
  </si>
  <si>
    <t>Cegłów</t>
  </si>
  <si>
    <t>PL_ZEWD_1412000547_05</t>
  </si>
  <si>
    <t>Oczyszczalnia Ścieków</t>
  </si>
  <si>
    <t>Graniczna</t>
  </si>
  <si>
    <t>PL_ZEWD_1412000548_07</t>
  </si>
  <si>
    <t>C22b</t>
  </si>
  <si>
    <t>Przepompownia</t>
  </si>
  <si>
    <t>Nadrzeczna</t>
  </si>
  <si>
    <t>PL_ZEWD_1412000545_01</t>
  </si>
  <si>
    <t>Pokoju</t>
  </si>
  <si>
    <t>dz. 863</t>
  </si>
  <si>
    <t>PL_ZEWD_1412000952_06</t>
  </si>
  <si>
    <t>3-go Maja</t>
  </si>
  <si>
    <t>Łukówiec</t>
  </si>
  <si>
    <t>PL_ZEWD_1412000956_04</t>
  </si>
  <si>
    <t>Numer licznika</t>
  </si>
  <si>
    <t>Targowisko Stojadła</t>
  </si>
  <si>
    <t>Stojadła</t>
  </si>
  <si>
    <t>Gmina Mińsk Mazowiecki</t>
  </si>
  <si>
    <t>ul. Chełmońskiego 14</t>
  </si>
  <si>
    <t>NIP 822-21-46-576</t>
  </si>
  <si>
    <t>Gminny ZGK zasilanie stacji wodociągowej</t>
  </si>
  <si>
    <t>Zamienie</t>
  </si>
  <si>
    <t>PL_ZEWD_1412001408_00</t>
  </si>
  <si>
    <t>Gminny ZGK SUW</t>
  </si>
  <si>
    <t>Arynów</t>
  </si>
  <si>
    <t>PL_ZEWD_1412001407_08</t>
  </si>
  <si>
    <t>Oczyszczalnia ścieków</t>
  </si>
  <si>
    <t>Wspólna</t>
  </si>
  <si>
    <t>PL_ZEWD_1412001403_00</t>
  </si>
  <si>
    <t>Pompownia P-2</t>
  </si>
  <si>
    <t>Strażacka</t>
  </si>
  <si>
    <t>PL_ZEWD_1412001395_07</t>
  </si>
  <si>
    <t>Pompownia P-1</t>
  </si>
  <si>
    <t>PL_ZEWD_1412001396_09</t>
  </si>
  <si>
    <t>Grębiszew przepompownia</t>
  </si>
  <si>
    <t>Grębiszew</t>
  </si>
  <si>
    <t>PL_ZEWD_1412001410_03</t>
  </si>
  <si>
    <t>Gminny ZGK stacja wodociągowa</t>
  </si>
  <si>
    <t>PL_ZEWD_1412001409_02</t>
  </si>
  <si>
    <t>Gminny Zakład Gospodarki Komunalnej</t>
  </si>
  <si>
    <t>Boisko</t>
  </si>
  <si>
    <t>Huta Mińska</t>
  </si>
  <si>
    <t>Budynek administracyjny</t>
  </si>
  <si>
    <t>Chełmońskiego</t>
  </si>
  <si>
    <t>Osiedlowa</t>
  </si>
  <si>
    <t>Targówka</t>
  </si>
  <si>
    <t>Królewiec</t>
  </si>
  <si>
    <t>Barcząca</t>
  </si>
  <si>
    <t>Prosta</t>
  </si>
  <si>
    <t>05-301</t>
  </si>
  <si>
    <t>Marianka</t>
  </si>
  <si>
    <t>Południowa</t>
  </si>
  <si>
    <t>Stara Niedziałka</t>
  </si>
  <si>
    <t>Zespół Szkół w Hucie Mińskiej z siedzibą w Cielechowiźnie</t>
  </si>
  <si>
    <t>Cielechowizna</t>
  </si>
  <si>
    <t>Kołbielska</t>
  </si>
  <si>
    <t>Brzóze</t>
  </si>
  <si>
    <t>Nowe Osiny</t>
  </si>
  <si>
    <t>Dębe Wielkie</t>
  </si>
  <si>
    <t>05-311</t>
  </si>
  <si>
    <t>PL_ZEWD_1412000606_05</t>
  </si>
  <si>
    <t>SUW</t>
  </si>
  <si>
    <t>Batalionu Parasol</t>
  </si>
  <si>
    <t>PL_ZEWD_1412000607_07</t>
  </si>
  <si>
    <t>PL_ZEWD_1412000605_03</t>
  </si>
  <si>
    <t>Kościelna</t>
  </si>
  <si>
    <t>PL_ZEWD_1412000604_01</t>
  </si>
  <si>
    <t>Stacja Uzdatniania</t>
  </si>
  <si>
    <t>Chrośla</t>
  </si>
  <si>
    <t>PL_ZEWD_1412000603_09</t>
  </si>
  <si>
    <t>Braci Tabiszewskich</t>
  </si>
  <si>
    <t>PL_ZEWD_1412000610_02</t>
  </si>
  <si>
    <t>Poprzeczna</t>
  </si>
  <si>
    <t>PL_ZEWD_1412000602_07</t>
  </si>
  <si>
    <t>Powstańców</t>
  </si>
  <si>
    <t>PL_ZEWD_1412000601_05</t>
  </si>
  <si>
    <t>05-311 Dębe Wielkie</t>
  </si>
  <si>
    <t>Ul. Strażacka 3</t>
  </si>
  <si>
    <t>SP ZOZ</t>
  </si>
  <si>
    <t xml:space="preserve">Szkolna </t>
  </si>
  <si>
    <t>Samodzielny Publiczny Zakład Opieki Zdrowotnej</t>
  </si>
  <si>
    <t>Oświetlenie klatki schodowej</t>
  </si>
  <si>
    <t>PL_ZEWD_1412000599_04</t>
  </si>
  <si>
    <t>Szkoła</t>
  </si>
  <si>
    <t>Cyganka</t>
  </si>
  <si>
    <t>PL_ZEWD_1412000597_00</t>
  </si>
  <si>
    <t>Górki</t>
  </si>
  <si>
    <t>PL_ZEWD_1412000584_05</t>
  </si>
  <si>
    <t>PL_ZEWD_1412000596_08</t>
  </si>
  <si>
    <t>Ruda</t>
  </si>
  <si>
    <t>PL_ZEWD_1412000595_06</t>
  </si>
  <si>
    <t>PL_ZEWD_1412000600_03</t>
  </si>
  <si>
    <t>PL_ZEWD_1412000635_00</t>
  </si>
  <si>
    <t>PL_ZEWD_1412000639_08</t>
  </si>
  <si>
    <t xml:space="preserve">OSP </t>
  </si>
  <si>
    <t>PL_ZEWD_1412000642_03</t>
  </si>
  <si>
    <t>Jędrzejnik</t>
  </si>
  <si>
    <t>PL_ZEWD_1412000638_06</t>
  </si>
  <si>
    <t>Hydrofornia</t>
  </si>
  <si>
    <t>Debe Wielkie</t>
  </si>
  <si>
    <t>PL_ZEWD_1412000659_06</t>
  </si>
  <si>
    <t>Studnia</t>
  </si>
  <si>
    <t>Choszczówka Stojecka</t>
  </si>
  <si>
    <t>PL_ZEWD_1412000650_08</t>
  </si>
  <si>
    <t>Aleksandrówka</t>
  </si>
  <si>
    <t>PL_ZEWD_1412000658_04</t>
  </si>
  <si>
    <t>Oświetlenie Biura</t>
  </si>
  <si>
    <t>PL_ZEWD_1412000653_04</t>
  </si>
  <si>
    <t>OSP-Remiza</t>
  </si>
  <si>
    <t>PL_ZEWD_1412000637_04</t>
  </si>
  <si>
    <t>Gmina Dębe Wielkie</t>
  </si>
  <si>
    <t>Ochotnicza Straż Pożarna w Siennicy</t>
  </si>
  <si>
    <t>Siennica</t>
  </si>
  <si>
    <t xml:space="preserve">Strażaka </t>
  </si>
  <si>
    <t>05-332</t>
  </si>
  <si>
    <t>PL_ZEWD_1412000191_06</t>
  </si>
  <si>
    <t>Ochotnicza Straż Pożarna w Łękawicy</t>
  </si>
  <si>
    <t>Łękawica</t>
  </si>
  <si>
    <t>PL_ZEWD_1412000192_08</t>
  </si>
  <si>
    <t>Ochotnicza Straż Pożarna w Pogorzeli</t>
  </si>
  <si>
    <t>Pogorzel</t>
  </si>
  <si>
    <t>Pałacowa</t>
  </si>
  <si>
    <t>PL_ZEWD_1412000194_02</t>
  </si>
  <si>
    <t>Urząd Gminy w Siennicy</t>
  </si>
  <si>
    <t xml:space="preserve">Kołbielska </t>
  </si>
  <si>
    <t>PL_ZEWD_1412000197_08</t>
  </si>
  <si>
    <t>Urząd Gminy w Siennicy- Biuro</t>
  </si>
  <si>
    <t>PL_ZEWD_1412000198_00</t>
  </si>
  <si>
    <t>PL_ZEWD_1412000199_02</t>
  </si>
  <si>
    <t>Świetlica wiejska Bestwiny</t>
  </si>
  <si>
    <t>Bestwiny</t>
  </si>
  <si>
    <t>PL_ZEWD_1412000200_01</t>
  </si>
  <si>
    <t>Świetlica wiejska Siodło</t>
  </si>
  <si>
    <t>Siodło</t>
  </si>
  <si>
    <t>PL_ZEWD_1412000201_03</t>
  </si>
  <si>
    <t>Ochotnicza Straż Pożarna w Dzielniku</t>
  </si>
  <si>
    <t>Dzielnik</t>
  </si>
  <si>
    <t>PL_ZEWD_1412000203_07</t>
  </si>
  <si>
    <t xml:space="preserve">Świetlica Wiejska Wólka Dłużewska </t>
  </si>
  <si>
    <t>Wólka Dłużewska</t>
  </si>
  <si>
    <t>PL_ZEWD_1412000204_09</t>
  </si>
  <si>
    <t>Świetlica Wiejska Dłużew</t>
  </si>
  <si>
    <t>Dłużew</t>
  </si>
  <si>
    <t>PL_ZEWD_1412000205_01</t>
  </si>
  <si>
    <t>Biblioteka Publiczna w Nowym Zglechowie</t>
  </si>
  <si>
    <t>Nowy Zglechów</t>
  </si>
  <si>
    <t>PL_ZEWD_1412000206_03</t>
  </si>
  <si>
    <t>Budynek SPZOZ w Siennicy</t>
  </si>
  <si>
    <t>Akacjowa</t>
  </si>
  <si>
    <t>2a</t>
  </si>
  <si>
    <t>PL_ZEWD_1412000196_06</t>
  </si>
  <si>
    <t>Urząd Gminy Siennica</t>
  </si>
  <si>
    <t>ul. Kołbielska 1</t>
  </si>
  <si>
    <t>05-332 Siennica</t>
  </si>
  <si>
    <t>Żaków</t>
  </si>
  <si>
    <t>PL_ZEWD_1412000207_05</t>
  </si>
  <si>
    <t>48 A</t>
  </si>
  <si>
    <t>PL_ZEWD_1412000208_07</t>
  </si>
  <si>
    <t>Publiczna Szkoła Podstawowa w Grzebowilku</t>
  </si>
  <si>
    <t>Grzebowilk</t>
  </si>
  <si>
    <t>PL_ZEWD_1412000209_09</t>
  </si>
  <si>
    <t>Gminna Bilioteka Publiczna w Siennicy</t>
  </si>
  <si>
    <t xml:space="preserve">Latowicka </t>
  </si>
  <si>
    <t>PL_ZEWD_1412000210_00</t>
  </si>
  <si>
    <t>Publiczna Szkoła Podstwaowa w Starogrodzie</t>
  </si>
  <si>
    <t>Starogród</t>
  </si>
  <si>
    <t>9B</t>
  </si>
  <si>
    <t>PL_ZEWD_1412000214_08</t>
  </si>
  <si>
    <t>Publiczna Szkoła Podstwaowa w Żakowie</t>
  </si>
  <si>
    <t>48A</t>
  </si>
  <si>
    <t>PL_ZEWD_1412000215_00</t>
  </si>
  <si>
    <t xml:space="preserve">Publiczna Szkoła Podstwaowa w Siennicy </t>
  </si>
  <si>
    <t>PL_ZEWD_1412000216_02</t>
  </si>
  <si>
    <t>Gminne Przeszkole Publiczne w Siennicy</t>
  </si>
  <si>
    <t>PL_ZEWD_1412000217_04</t>
  </si>
  <si>
    <t>Świetlica wiejska w Nowodworze</t>
  </si>
  <si>
    <t>Nowodwór</t>
  </si>
  <si>
    <t>Stacja Uzdatniania Wody Zglechów</t>
  </si>
  <si>
    <t>Zglechów</t>
  </si>
  <si>
    <t>PL_ZEWD_1412000202_05</t>
  </si>
  <si>
    <t>Stacja Uzdatniania Wody  Siennica</t>
  </si>
  <si>
    <t>PL_ZEWD_1412000190_04</t>
  </si>
  <si>
    <t>Gmina Siennica</t>
  </si>
  <si>
    <t>Latowicz</t>
  </si>
  <si>
    <t>05-334</t>
  </si>
  <si>
    <t>PL_ZEWD_1412000713_06</t>
  </si>
  <si>
    <t>OSP garaż</t>
  </si>
  <si>
    <t>Św. Ducha</t>
  </si>
  <si>
    <t>PL_ZEWD_1412000692_08</t>
  </si>
  <si>
    <t>C12b</t>
  </si>
  <si>
    <t>Remiza</t>
  </si>
  <si>
    <t>Redzyńskie</t>
  </si>
  <si>
    <t>58A</t>
  </si>
  <si>
    <t>PL_ZEWD_1412000706_03</t>
  </si>
  <si>
    <t>PL_ZEWD_1412000746_09</t>
  </si>
  <si>
    <t>PL_ZEWD_1412000683_01</t>
  </si>
  <si>
    <t>PL_ZEWD_1412000743_03</t>
  </si>
  <si>
    <t>PL_ZEWD_1412000745_07</t>
  </si>
  <si>
    <t>PL_ZEWD_1412000689_03</t>
  </si>
  <si>
    <t>PL_ZEWD_1412000690_04</t>
  </si>
  <si>
    <t>PL_ZEWD_1412000747_01</t>
  </si>
  <si>
    <t>PL_ZEWD_1412000753_02</t>
  </si>
  <si>
    <t>PL_ZEWD_1412000691_06</t>
  </si>
  <si>
    <t>Swietlica</t>
  </si>
  <si>
    <t>PL_ZEWD_1412000702_05</t>
  </si>
  <si>
    <t>Grundowa</t>
  </si>
  <si>
    <t>PL_ZEWD_1412000744_05</t>
  </si>
  <si>
    <t xml:space="preserve">Rynek </t>
  </si>
  <si>
    <t>PL_ZEWD_1412000694_02</t>
  </si>
  <si>
    <t>Gmina Latowicz</t>
  </si>
  <si>
    <t>Ul. Rynek 6</t>
  </si>
  <si>
    <t>NIP: 822-21-48-747</t>
  </si>
  <si>
    <t>Zespół Szkół w Latowiczu Szkola Podstawowa w Latowiczu Szkoła Filialna w Redzyńskiem</t>
  </si>
  <si>
    <t>Zespół Szkół w Latowiczu</t>
  </si>
  <si>
    <t>PL_ZEWD_1412001518_07</t>
  </si>
  <si>
    <t>Ul. Rynek 24</t>
  </si>
  <si>
    <t>05-334 Latowicz</t>
  </si>
  <si>
    <t>Dębe Małe</t>
  </si>
  <si>
    <t>PL_ZEWD_1412001461_00</t>
  </si>
  <si>
    <t>Zespół Szkół w Wielgolesie im. Rodziny Wyleżyńskich</t>
  </si>
  <si>
    <t>Wielgolas</t>
  </si>
  <si>
    <t>PL_ZEWD_1412001465_08</t>
  </si>
  <si>
    <t>Przepompowwnia</t>
  </si>
  <si>
    <t>Dz. 640</t>
  </si>
  <si>
    <t>PL_ZEWD_1412001466_00</t>
  </si>
  <si>
    <t>Latowicz-Rozstanki</t>
  </si>
  <si>
    <t>Dz. 1354</t>
  </si>
  <si>
    <t>PL_ZEWD_1412001453_05</t>
  </si>
  <si>
    <t>Ogrodowa</t>
  </si>
  <si>
    <t>Dz. 537</t>
  </si>
  <si>
    <t>PL_ZEWD_1412001468_04</t>
  </si>
  <si>
    <t>Senatorska</t>
  </si>
  <si>
    <t>PL_ZEWD_1412001463_04</t>
  </si>
  <si>
    <t>PL_ZEWD_1412001526_02</t>
  </si>
  <si>
    <t>05-335 Latowicz</t>
  </si>
  <si>
    <t>Dz. 391/1</t>
  </si>
  <si>
    <t xml:space="preserve">Hydrofornia </t>
  </si>
  <si>
    <t>Chyżyny</t>
  </si>
  <si>
    <t>UG Cegłów</t>
  </si>
  <si>
    <t>Studnia Głębinowa</t>
  </si>
  <si>
    <t>Rososz</t>
  </si>
  <si>
    <t>Pomp</t>
  </si>
  <si>
    <t>Zasilanie Studni</t>
  </si>
  <si>
    <t>Tyborów</t>
  </si>
  <si>
    <t>Pełczanka</t>
  </si>
  <si>
    <t>OSP Posiadły</t>
  </si>
  <si>
    <t>Posiadały</t>
  </si>
  <si>
    <t>OSP SKUPIE</t>
  </si>
  <si>
    <t>Skupie</t>
  </si>
  <si>
    <t>Huta Kuflewska</t>
  </si>
  <si>
    <t>Piłsudskiego Józefa</t>
  </si>
  <si>
    <t>Skwarne</t>
  </si>
  <si>
    <t>Ośrodek Zdrowia</t>
  </si>
  <si>
    <t>Gmina Cegłów</t>
  </si>
  <si>
    <t>PL_ZEWD_1412000549_09</t>
  </si>
  <si>
    <t>PL_ZEWD_1412000550_00</t>
  </si>
  <si>
    <t>Przedszkole</t>
  </si>
  <si>
    <t>Rżysko Stanisława</t>
  </si>
  <si>
    <t>PL_ZEWD_1412000551_02</t>
  </si>
  <si>
    <t>PL_ZEWD_1412000552_04</t>
  </si>
  <si>
    <t>Zespół Szkolny w Cegłowie</t>
  </si>
  <si>
    <t>PL_ZEWD_1412000557_04</t>
  </si>
  <si>
    <t>Podciernie</t>
  </si>
  <si>
    <t>PL_ZEWD_1412001285_00</t>
  </si>
  <si>
    <t>05-319 Cegłów</t>
  </si>
  <si>
    <t>NIP 822-19-03-503</t>
  </si>
  <si>
    <t>PL_ZEWD_1412001700_08</t>
  </si>
  <si>
    <t>PL_ZEWD_1412001666_06</t>
  </si>
  <si>
    <t>Piłsudskiego</t>
  </si>
  <si>
    <t>PL_ZEWD_1412001668_00</t>
  </si>
  <si>
    <t>PL_ZEWD_1412001669_02</t>
  </si>
  <si>
    <t xml:space="preserve">Przepompownia ścieków </t>
  </si>
  <si>
    <t>Wojciecha Oczko</t>
  </si>
  <si>
    <t>PL_ZEWD_1412001667_08</t>
  </si>
  <si>
    <t>Gminna Biblioteka Publiczna w Cegłowie</t>
  </si>
  <si>
    <t>Ul. Piłsudskiego Józefa 22</t>
  </si>
  <si>
    <t>Ul. Kościuszki Tadeusza 4</t>
  </si>
  <si>
    <t>Zespół Szkół licealnych im. I.J. Paderewskiego</t>
  </si>
  <si>
    <t>Sulejówek</t>
  </si>
  <si>
    <t>Paderewskiego Ignacego</t>
  </si>
  <si>
    <t>05-070</t>
  </si>
  <si>
    <t>Zespół Szkół Ponadgimnazjalnych</t>
  </si>
  <si>
    <t>im. Ignacego Jana Paderewskiego</t>
  </si>
  <si>
    <t>05-070 Sulejówek</t>
  </si>
  <si>
    <t>Oczyszczalnia ścieków Sulejówek Poligonowa</t>
  </si>
  <si>
    <t>Poligonowa</t>
  </si>
  <si>
    <t>Ujęcie wody Sulejówek Wodociągowa</t>
  </si>
  <si>
    <t>Wodociągowa</t>
  </si>
  <si>
    <t>Miejski Zakład Wodociągów i Kanalizacji</t>
  </si>
  <si>
    <t>11-Go Listopada</t>
  </si>
  <si>
    <t>Miejski Zakład Wodociągów i Kanalizacji - przepompownia</t>
  </si>
  <si>
    <t>Narutowicza Gabriela</t>
  </si>
  <si>
    <t>Miejski Zakład Wodociągów i Kanalizacji w Sulejówku</t>
  </si>
  <si>
    <t>Sobieskiego Jana III</t>
  </si>
  <si>
    <t>dz.62</t>
  </si>
  <si>
    <t>dz.52</t>
  </si>
  <si>
    <t xml:space="preserve">Miejski Zakład Wodociągów i Kanalizacji </t>
  </si>
  <si>
    <t>Szosowa</t>
  </si>
  <si>
    <t>Szosowa/Szekspira</t>
  </si>
  <si>
    <t>Świętochowskiego A.</t>
  </si>
  <si>
    <t>Wrońskiego</t>
  </si>
  <si>
    <t>Idzikowskiego Ludwika</t>
  </si>
  <si>
    <t>Czarnieckiego Stefana</t>
  </si>
  <si>
    <t>Piaskowa</t>
  </si>
  <si>
    <t>Ogińskiego M.K.</t>
  </si>
  <si>
    <t>Świętojańska</t>
  </si>
  <si>
    <t>Żeromskiego Stefana</t>
  </si>
  <si>
    <t>dz.34/1</t>
  </si>
  <si>
    <t>Miejski Zakład Wodociągów i Kanalizacji Przepomp.</t>
  </si>
  <si>
    <t>Kombatantów</t>
  </si>
  <si>
    <t>Tramwajowa</t>
  </si>
  <si>
    <t>Pogodna</t>
  </si>
  <si>
    <t>Łukasińskiego Waleriana</t>
  </si>
  <si>
    <t>dz.44</t>
  </si>
  <si>
    <t>Mickiewicza Adama</t>
  </si>
  <si>
    <t>dz.37</t>
  </si>
  <si>
    <t>Baryłki Grzegorza</t>
  </si>
  <si>
    <t>Małachowskiego Stanisława</t>
  </si>
  <si>
    <t>dz.126</t>
  </si>
  <si>
    <t>Głowackiego Bartosza</t>
  </si>
  <si>
    <t>dz.115</t>
  </si>
  <si>
    <t>Konopnickiej Marii</t>
  </si>
  <si>
    <t>dz.224</t>
  </si>
  <si>
    <t>Płocka/Sienkiew.</t>
  </si>
  <si>
    <t>Krakowska</t>
  </si>
  <si>
    <t>dz.220</t>
  </si>
  <si>
    <t>Łomżyńska</t>
  </si>
  <si>
    <t>Gimnazjum nr 2 im. J.Korczaka</t>
  </si>
  <si>
    <t>Gimnazjum nr 2 im. J. Korczaka</t>
  </si>
  <si>
    <t>Ul. Wrońskiego 1</t>
  </si>
  <si>
    <t>Zespół Szkół Nr 2 z oddz. integracyjnymi</t>
  </si>
  <si>
    <t>Okuniewska</t>
  </si>
  <si>
    <t>Szkoła Podstawowa nr 2 im. St. Czarnieckiego</t>
  </si>
  <si>
    <t>Miejski Ośrodek Pomocy Społecznej</t>
  </si>
  <si>
    <t>05-071 Sulejówek</t>
  </si>
  <si>
    <t>Zespół Szkół nr 1</t>
  </si>
  <si>
    <t>Idzikowskiego</t>
  </si>
  <si>
    <t>2A</t>
  </si>
  <si>
    <t>Straż Miejska</t>
  </si>
  <si>
    <t>Szkoła nr 3</t>
  </si>
  <si>
    <t>05-071</t>
  </si>
  <si>
    <t>Szkoła Podstawowa nr 3</t>
  </si>
  <si>
    <t>im. Marszałka Józefa Piłsudskiego</t>
  </si>
  <si>
    <t>Lecznica Miejska nr 2</t>
  </si>
  <si>
    <t xml:space="preserve">Samodzielny Publiczny Zakład Opieki Zdrowotnej </t>
  </si>
  <si>
    <t>7B</t>
  </si>
  <si>
    <t>Dworcowa</t>
  </si>
  <si>
    <t>Targowisko Miejskie</t>
  </si>
  <si>
    <t>Miasto Sulejówek</t>
  </si>
  <si>
    <t>Straż Pożarna</t>
  </si>
  <si>
    <t>Świętochowskiego</t>
  </si>
  <si>
    <t>Przedszkole nr 2</t>
  </si>
  <si>
    <t>Miejskie Przedszkole nr 1</t>
  </si>
  <si>
    <t>Dobre</t>
  </si>
  <si>
    <t>05-307</t>
  </si>
  <si>
    <t>PL_ZEWD_1412000283_09</t>
  </si>
  <si>
    <t>Rakówiec</t>
  </si>
  <si>
    <t>PL_ZEWD_1412000271_06</t>
  </si>
  <si>
    <t>PL_ZEWD_1412000251_08</t>
  </si>
  <si>
    <t>PL_ZEWD_1412000252_00</t>
  </si>
  <si>
    <t>PL_ZEWD_1412000253_02</t>
  </si>
  <si>
    <t>Zdrojówki</t>
  </si>
  <si>
    <t>Brzozowica</t>
  </si>
  <si>
    <t>PL_ZEWD_1412000258_02</t>
  </si>
  <si>
    <t>Nowa Wieś</t>
  </si>
  <si>
    <t>PL_ZEWD_1412000308_05</t>
  </si>
  <si>
    <t>Rynia</t>
  </si>
  <si>
    <t>PL_ZEWD_1412000322_01</t>
  </si>
  <si>
    <t>Sołki</t>
  </si>
  <si>
    <t>PL_ZEWD_1412000324_05</t>
  </si>
  <si>
    <t>PL_ZEWD_1412000326_09</t>
  </si>
  <si>
    <t>Czarnogłów</t>
  </si>
  <si>
    <t>PL_ZEWD_1412000260_05</t>
  </si>
  <si>
    <t>Reymonta</t>
  </si>
  <si>
    <t>PL_ZEWD_1412000257_00</t>
  </si>
  <si>
    <t>Stacja uzdatniania wody</t>
  </si>
  <si>
    <t>Mlęcin</t>
  </si>
  <si>
    <t>PL_ZEWD_1412000344_03</t>
  </si>
  <si>
    <t>PL_ZEWD_1412000346_07</t>
  </si>
  <si>
    <t>PL_ZEWD_1412000297_06</t>
  </si>
  <si>
    <t>PL_ZEWD_1412000259_04</t>
  </si>
  <si>
    <t>Targowisko</t>
  </si>
  <si>
    <t>10B</t>
  </si>
  <si>
    <t>PL_ZEWD_1412000824_05</t>
  </si>
  <si>
    <t>Laszczki</t>
  </si>
  <si>
    <t>PL_ZEWD_1412001296_01</t>
  </si>
  <si>
    <t>Stacja bazowa</t>
  </si>
  <si>
    <t>Drop</t>
  </si>
  <si>
    <t>PL_ZEWD_1412001401_06</t>
  </si>
  <si>
    <t>05-307 Dobre</t>
  </si>
  <si>
    <t>PL_ZEWD_1412000345_05</t>
  </si>
  <si>
    <t>Przedszkole Publiczne</t>
  </si>
  <si>
    <t>PL_ZEWD_1412000254_04</t>
  </si>
  <si>
    <t>PL_ZEWD_1412000318_04</t>
  </si>
  <si>
    <t>PL_ZEWD_1412000250_06</t>
  </si>
  <si>
    <t>PL_ZEWD_1412000268_01</t>
  </si>
  <si>
    <t>Nazwa PPE</t>
  </si>
  <si>
    <t>Numer posesji</t>
  </si>
  <si>
    <t>Moc umowna</t>
  </si>
  <si>
    <t>Prognozowany wolumen zużycia energii elektrycznej czynnej w okresie od 1 stycznia do 31 grudnia [kWh] w podziale na grupy taryfowe (bilans OSD)</t>
  </si>
  <si>
    <t>Prognozowany wolumen zużycia energii elektrycznej czynnej [kWh] w okresie objętym przedmiotem zamówienia (bilans Sprzedawcy)</t>
  </si>
  <si>
    <t xml:space="preserve">całodobowa </t>
  </si>
  <si>
    <t>szczyt/dzień</t>
  </si>
  <si>
    <t>pozaszczyt/noc</t>
  </si>
  <si>
    <t>Prognozowany wolumen zużycia energii elektrycznej w okresie od 1 stycznia do 31 grudnia [kWh] - bilans roczny OSD</t>
  </si>
  <si>
    <t>Prognozowany wolumen zuzycia energii elektrycznej czynnej w okresie objętym przedmiotem zamówienia [kWh] - bilans Sprzedawcy</t>
  </si>
  <si>
    <t>zużycie łączne</t>
  </si>
  <si>
    <t>Prognozowany wolumen zużycia energii elektrycznej czynnej w okresie objetym przedmiotem zamówienia [kWh]</t>
  </si>
  <si>
    <t>Szczegółowy Opis Przedmiotu Zamówienia - Gmina Mrozy</t>
  </si>
  <si>
    <t>Szczegółowy Opis Przedmiotu Zamówienia - Gmina Halinów</t>
  </si>
  <si>
    <t>Szczegółowy Opis Przedmiotu Zamówienia - Miasto Mińsk Mazowiecki</t>
  </si>
  <si>
    <t>OSD - PKP Energetyka S.A.</t>
  </si>
  <si>
    <t>Szczegółowy Opis Przedmiotu Zamówienia - Gmina Siennica</t>
  </si>
  <si>
    <t>PL_ZEWD_1412000320_07</t>
  </si>
  <si>
    <t>Jakubów</t>
  </si>
  <si>
    <t>05-306</t>
  </si>
  <si>
    <t>Mistów</t>
  </si>
  <si>
    <t>Wiśniew Bud. Kom.</t>
  </si>
  <si>
    <t>Wiśniew</t>
  </si>
  <si>
    <t>Jędrzejów Nowy</t>
  </si>
  <si>
    <t>45A</t>
  </si>
  <si>
    <t>Dom Nauczyciela</t>
  </si>
  <si>
    <t>05-306 Jakubów</t>
  </si>
  <si>
    <t>Ochotnicza Straż Pożarna</t>
  </si>
  <si>
    <t>Kałuszyn</t>
  </si>
  <si>
    <t>05-310</t>
  </si>
  <si>
    <t>Sinołęka</t>
  </si>
  <si>
    <t>Sinołęka 19</t>
  </si>
  <si>
    <t>05-310 Kałuszyn</t>
  </si>
  <si>
    <t>822-217-65-54</t>
  </si>
  <si>
    <t>Boisko sportowe</t>
  </si>
  <si>
    <t>Obiekt sportowo - rekreacyjny</t>
  </si>
  <si>
    <t>Pocztowa</t>
  </si>
  <si>
    <t>Pawilony handlowe</t>
  </si>
  <si>
    <t>Chopina</t>
  </si>
  <si>
    <t>Olszewice</t>
  </si>
  <si>
    <t>Groszki Nowe</t>
  </si>
  <si>
    <t>Falbogi</t>
  </si>
  <si>
    <t>Wąsy</t>
  </si>
  <si>
    <t>Baza PKS</t>
  </si>
  <si>
    <t>Klub</t>
  </si>
  <si>
    <t>Garczyn Duży</t>
  </si>
  <si>
    <t>11A</t>
  </si>
  <si>
    <t>Fontanna, scena</t>
  </si>
  <si>
    <t>Urząd Miejski</t>
  </si>
  <si>
    <t>Ul. Pocztowa 1</t>
  </si>
  <si>
    <t>Gołębiówka 10</t>
  </si>
  <si>
    <t xml:space="preserve">Pocztowa </t>
  </si>
  <si>
    <t>Chrościce Szkoła Podstawowa</t>
  </si>
  <si>
    <t>Chrościce</t>
  </si>
  <si>
    <t>Biblioteka Publiczna</t>
  </si>
  <si>
    <t>ul. Warszawska 39</t>
  </si>
  <si>
    <t xml:space="preserve">Zakład Gospodarki Komunalnej </t>
  </si>
  <si>
    <t>Trzcianka</t>
  </si>
  <si>
    <t>Wyzwolenia</t>
  </si>
  <si>
    <t>Patok</t>
  </si>
  <si>
    <t>Krauzego</t>
  </si>
  <si>
    <t>Zakład Gospodarki Komunalnej</t>
  </si>
  <si>
    <t>Plac Kilińskiego</t>
  </si>
  <si>
    <t>kolejności zmiany sprzedawcy, terminów rozwiązania umów kompleksowych oraz terminów rozpoczęcia sprzedaży wynikających ze skuteczności rozwiązania umów kompleksowych dla PPE Zamawiającego</t>
  </si>
  <si>
    <t>Szczegółowy Opis Przedmiotu Zamówienia - Gmina Mińsk Mazowiecki</t>
  </si>
  <si>
    <t>Szczegółowy Opis Przedmiotu Zamówienia - Gmina Dębe Wielkie</t>
  </si>
  <si>
    <t>Szczegółowy Opis Przedmiotu Zamówienia - Gmina Latowicz</t>
  </si>
  <si>
    <t>Szczegółowy Opis Przedmiotu Zamówienia - Gmina Cegłów</t>
  </si>
  <si>
    <t>Szczegółowy Opis Przedmiotu Zamówienia - Miasto Sulejówek</t>
  </si>
  <si>
    <t>Szczegółowy Opis Przedmiotu Zamówienia - Gmina Dobre</t>
  </si>
  <si>
    <t>Szczegółowy Opis Przedmiotu Zamówienia - Gmina Jakubów</t>
  </si>
  <si>
    <t>Szczegółowy Opis Przedmiotu Zamówienia - Gmina Kałuszyn</t>
  </si>
  <si>
    <t>Rada Sołecka Świetlica</t>
  </si>
  <si>
    <t>Gmina Mrozy</t>
  </si>
  <si>
    <t>05-320 Mrozy</t>
  </si>
  <si>
    <t>Gmina Stanisławów</t>
  </si>
  <si>
    <t>Rządza</t>
  </si>
  <si>
    <t>05-304</t>
  </si>
  <si>
    <t>Stanisławów</t>
  </si>
  <si>
    <t>Pustelnik</t>
  </si>
  <si>
    <t>Ośrodek Zdrowia/Kotłownia</t>
  </si>
  <si>
    <t>Cisówka</t>
  </si>
  <si>
    <t>Zachodnia</t>
  </si>
  <si>
    <t>G11</t>
  </si>
  <si>
    <t>Lubelska</t>
  </si>
  <si>
    <t>Retków</t>
  </si>
  <si>
    <t>B21</t>
  </si>
  <si>
    <t>Wólka Czarnińska</t>
  </si>
  <si>
    <t>Ładzyń</t>
  </si>
  <si>
    <t>Wołomińska</t>
  </si>
  <si>
    <t>dz.2312</t>
  </si>
  <si>
    <t>Polna</t>
  </si>
  <si>
    <t>dz.2426</t>
  </si>
  <si>
    <t>Mały Stanisławów</t>
  </si>
  <si>
    <t>dz.357</t>
  </si>
  <si>
    <t>Sokóle</t>
  </si>
  <si>
    <t>Prognozowany wolumen zużycia energii elektrycznej czynnej w okresie od 1 stycznia do 31 grudnia [kWh] w podziale na grupy taryfowe (bilans roczny OSD)</t>
  </si>
  <si>
    <t>Łącznie:</t>
  </si>
  <si>
    <t>Szczegółowy Opis Przedmiotu Zamówienia - Gmina Stanisławów</t>
  </si>
  <si>
    <t>PL_ZEWD_1412002218_00</t>
  </si>
  <si>
    <t>Długa Kościelna</t>
  </si>
  <si>
    <t>Dąbrowskiego</t>
  </si>
  <si>
    <t>Zakład Komunalny w Halinowie Przepompownia P-1</t>
  </si>
  <si>
    <t>Północna</t>
  </si>
  <si>
    <t>Zakład Komunalny Przepompownia</t>
  </si>
  <si>
    <t>Zakład Komunalny w Halinowie</t>
  </si>
  <si>
    <t>Szczęśliwa</t>
  </si>
  <si>
    <t>Wielgolas Duchnowski</t>
  </si>
  <si>
    <t>Mrowiska</t>
  </si>
  <si>
    <t>Hipolitów</t>
  </si>
  <si>
    <t>Kołacz</t>
  </si>
  <si>
    <t>11a</t>
  </si>
  <si>
    <t>dz.2198</t>
  </si>
  <si>
    <t>dz.2559/2</t>
  </si>
  <si>
    <t>78a</t>
  </si>
  <si>
    <t>PL_ZEWD_1412002099_08</t>
  </si>
  <si>
    <t>PL_ZEWD_1412000193_00</t>
  </si>
  <si>
    <t>Latowicka</t>
  </si>
  <si>
    <t>PL_ZEWD_1412000195_04</t>
  </si>
  <si>
    <t>Zespół Szkół im. H.K. Gnoińskich w Siennicy</t>
  </si>
  <si>
    <t>ul. Mińska 36</t>
  </si>
  <si>
    <t>Mińska</t>
  </si>
  <si>
    <t>PL_ZEWD_1412000231_00</t>
  </si>
  <si>
    <t>PL_ZEWD_1412000230_08</t>
  </si>
  <si>
    <t>Numer Licznika</t>
  </si>
  <si>
    <t>PL_ZEWD_1412001202_02</t>
  </si>
  <si>
    <t>PL_ZEWD_1412001187_06</t>
  </si>
  <si>
    <t>PL_PKPE_1412000351_06</t>
  </si>
  <si>
    <t>PL_ZEWD_1412001119_07</t>
  </si>
  <si>
    <t>PL_ZEWD_1412001122_02</t>
  </si>
  <si>
    <t>PL_ZEWD_1412001275_01</t>
  </si>
  <si>
    <t>PL_ZEWD_1412001276_03</t>
  </si>
  <si>
    <t>PL_ZEWD_1412001277_05</t>
  </si>
  <si>
    <t>PL_ZEWD_1412001120_08</t>
  </si>
  <si>
    <t>PL_ZEWD_1412001121_00</t>
  </si>
  <si>
    <t>PL_ZEWD_1412001394_05</t>
  </si>
  <si>
    <t>PL_ZEWD_1412001113_05</t>
  </si>
  <si>
    <t>PL_ZEWD_1412001998_01</t>
  </si>
  <si>
    <t>PL_ZEWD_1412002134_02</t>
  </si>
  <si>
    <t>PL_ZEWD_1412002065_03</t>
  </si>
  <si>
    <t>Zielona</t>
  </si>
  <si>
    <t>Gen. Józefa Hallera</t>
  </si>
  <si>
    <t>Ul. Zielona 3</t>
  </si>
  <si>
    <t>Marii Bielawiny</t>
  </si>
  <si>
    <t>dz.13</t>
  </si>
  <si>
    <t>Leśna</t>
  </si>
  <si>
    <t>Kolejowa</t>
  </si>
  <si>
    <t>Litewska</t>
  </si>
  <si>
    <t>Dz.224/2</t>
  </si>
  <si>
    <t>Dz.633</t>
  </si>
  <si>
    <t>Dz.169/2</t>
  </si>
  <si>
    <t>Dz.214/2</t>
  </si>
  <si>
    <t>Dz.48</t>
  </si>
  <si>
    <t>PL_ZEWD_1412002123_01</t>
  </si>
  <si>
    <t>PL_ZEWD_1412002127_09</t>
  </si>
  <si>
    <t>PL_ZEWD_1412002112_00</t>
  </si>
  <si>
    <t>PL_ZEWD_1412002111_08</t>
  </si>
  <si>
    <t>PL_ZEWD_1412002122_09</t>
  </si>
  <si>
    <t>PL_ZEWD_1412002126_07</t>
  </si>
  <si>
    <t>PL_ZEWD_1412002125_05</t>
  </si>
  <si>
    <t>PL_ZEWD_1412001111_01</t>
  </si>
  <si>
    <t>PL_ZEWD_1412001155_05</t>
  </si>
  <si>
    <t>Publiczne Przedszkole "Akwarelka" w Nowych Osinach</t>
  </si>
  <si>
    <t>PL_ZEWD_1412001116_01</t>
  </si>
  <si>
    <t>.</t>
  </si>
  <si>
    <t>PL_ZEWD_1412001991_07</t>
  </si>
  <si>
    <t>PL_ZEWD_1412002067_07</t>
  </si>
  <si>
    <t>PL_ZEWD_1412002223_09</t>
  </si>
  <si>
    <t>PL_ZEWD_1412002081_03</t>
  </si>
  <si>
    <t>PL_ZEWD_1412002002_03</t>
  </si>
  <si>
    <t>Krasińskiego Zygmunta</t>
  </si>
  <si>
    <t>Zespół Szkół Agrotechnicznych w Mińsku Mazowieckim</t>
  </si>
  <si>
    <t>Powiat Miński</t>
  </si>
  <si>
    <t>Zespół Szkół im. M. Curie w Mińsku Mazowieckim</t>
  </si>
  <si>
    <t>Zespół Szkół Ekonomicznych w Mińsku Mazowieckim</t>
  </si>
  <si>
    <t>Zarząd Dróg Powiatowych w Mińsku Mazowieckim</t>
  </si>
  <si>
    <t xml:space="preserve">Zespół Szkół Specjalnych im. Janiny Porazińskiej </t>
  </si>
  <si>
    <t>Gimnazjum i Liceum Ogólnokształcące im. Polskiej</t>
  </si>
  <si>
    <t>Zespół Szkół nr 1 im Kazimierza Wielkiego</t>
  </si>
  <si>
    <t>Miejski Ośrodek Pomocy społecznej</t>
  </si>
  <si>
    <t>Numer</t>
  </si>
  <si>
    <t>25A m 4</t>
  </si>
  <si>
    <t>25A m 23</t>
  </si>
  <si>
    <t>25A m 25</t>
  </si>
  <si>
    <t>ul. Tadeusza Kościuszki 25A</t>
  </si>
  <si>
    <t>Zespół Szkół Miejskich nr 1</t>
  </si>
  <si>
    <t>ul. Mikołaja Kopernika 9</t>
  </si>
  <si>
    <t>NIP</t>
  </si>
  <si>
    <t>Stefana Okrzei</t>
  </si>
  <si>
    <t>gen. Kazimierza Sosnkowskiego</t>
  </si>
  <si>
    <t>PL_ZEWD_1412002215_04</t>
  </si>
  <si>
    <t>ul. Juliana Tuwima 2</t>
  </si>
  <si>
    <t>Miejski Ośrodek Sportu i Rekreacji Mińsk Mazowiecki</t>
  </si>
  <si>
    <t>ul. Stefana Kardynała Wyszyńskiego 56</t>
  </si>
  <si>
    <t>Stefana Kardynała Wyszyńskiego</t>
  </si>
  <si>
    <t>30A</t>
  </si>
  <si>
    <t>Sportowa</t>
  </si>
  <si>
    <t>Walerego Wróblewskiego</t>
  </si>
  <si>
    <t>Dz.504/1</t>
  </si>
  <si>
    <t>PL_ZEWD_1412002140_03</t>
  </si>
  <si>
    <t>PL_ZEWD_1412002142_07</t>
  </si>
  <si>
    <t>PL_ZEWD_1412001291_01</t>
  </si>
  <si>
    <t>Wysypisko</t>
  </si>
  <si>
    <t>PL_ZEWD_1412002201_07</t>
  </si>
  <si>
    <t>PL_ZEWD_1412001469_06</t>
  </si>
  <si>
    <t>PL_ZEWD_1412001467_02</t>
  </si>
  <si>
    <t>Gołełąki</t>
  </si>
  <si>
    <t>29</t>
  </si>
  <si>
    <t>Marii Konopnickiej</t>
  </si>
  <si>
    <t>PL_ZEWD_1412001459_07</t>
  </si>
  <si>
    <t>Boisko "ORLIK"</t>
  </si>
  <si>
    <t>PL_ZEWD_1412002139_02</t>
  </si>
  <si>
    <t>PL_ZEWD_1412002200_05</t>
  </si>
  <si>
    <t>PL_ZEWD_1412001379_07</t>
  </si>
  <si>
    <t>PL_ZEWD_1412001355_01</t>
  </si>
  <si>
    <t>PL_ZEWD_1412001307_00</t>
  </si>
  <si>
    <t>PL_ZEWD_1412001381_00</t>
  </si>
  <si>
    <t>PL_ZEWD_1412001386_00</t>
  </si>
  <si>
    <t>PL_ZEWD_1412001367_04</t>
  </si>
  <si>
    <t>PL_ZEWD_1412001428_08</t>
  </si>
  <si>
    <t>Gmina Jakubów</t>
  </si>
  <si>
    <t>NIP - 8222146582</t>
  </si>
  <si>
    <t>PL_ZEWD_1412001359_09</t>
  </si>
  <si>
    <t>PL_ZEWD_1412001345_02</t>
  </si>
  <si>
    <t>PL_ZEWD_1412000311_00</t>
  </si>
  <si>
    <t>I</t>
  </si>
  <si>
    <t>Biblioteka</t>
  </si>
  <si>
    <t>1A I</t>
  </si>
  <si>
    <t>1A II</t>
  </si>
  <si>
    <t>3 II</t>
  </si>
  <si>
    <t>II</t>
  </si>
  <si>
    <t>III</t>
  </si>
  <si>
    <t>Gmina Dobre</t>
  </si>
  <si>
    <t>ul. Kościuszki 1</t>
  </si>
  <si>
    <t>PL_ZEWD_1412001075_05</t>
  </si>
  <si>
    <t>PL_ZEWD_1412001082_08</t>
  </si>
  <si>
    <t>PL_ZEWD_1412001020_00</t>
  </si>
  <si>
    <t>PL_ZEWD_1412001089_02</t>
  </si>
  <si>
    <t>PL_ZEWD_1412001086_06</t>
  </si>
  <si>
    <t>PL_ZEWD_1412001052_01</t>
  </si>
  <si>
    <t>PL_ZEWD_1412001048_04</t>
  </si>
  <si>
    <t>Przepompownia P1</t>
  </si>
  <si>
    <t>PL_ZEWD_1412001258_09</t>
  </si>
  <si>
    <t>PL_ZEWD_1412001066_08</t>
  </si>
  <si>
    <t>Przepompownia P2</t>
  </si>
  <si>
    <t>PL_ZEWD_1412001253_09</t>
  </si>
  <si>
    <t>Przepompownia P3</t>
  </si>
  <si>
    <t>PL_ZEWD_1412001254_01</t>
  </si>
  <si>
    <t>PL_ZEWD_1412001074_03</t>
  </si>
  <si>
    <t>PL_ZEWD_1412001283_06</t>
  </si>
  <si>
    <t xml:space="preserve">Zespół Szkolny  </t>
  </si>
  <si>
    <t>PL_ZEWD_1412001284_08</t>
  </si>
  <si>
    <t>PL_ZEWD_1412001245_04</t>
  </si>
  <si>
    <t>PL_ZEWD_1412001010_01</t>
  </si>
  <si>
    <t>Kiczki I</t>
  </si>
  <si>
    <t>Nr</t>
  </si>
  <si>
    <t>Henryka Dobrzyckiego</t>
  </si>
  <si>
    <t>Józefa Piłsudskiego</t>
  </si>
  <si>
    <t>PL_ZEWD_1412002146_05</t>
  </si>
  <si>
    <t>PL_ZEWD_1412000539_00</t>
  </si>
  <si>
    <t>PL_ZEWD_1412000536_04</t>
  </si>
  <si>
    <t>PL_ZEWD_1412000542_05</t>
  </si>
  <si>
    <t>PL_ZEWD_1412000532_06</t>
  </si>
  <si>
    <t>PL_ZEWD_1412000538_08</t>
  </si>
  <si>
    <t>PL_ZEWD_1412000529_01</t>
  </si>
  <si>
    <t>PL_ZEWD_1412000537_06</t>
  </si>
  <si>
    <t>PL_ZEWD_1412000543_07</t>
  </si>
  <si>
    <t>PL_ZEWD_1412000540_01</t>
  </si>
  <si>
    <t>PL_ZEWD_1412000530_02</t>
  </si>
  <si>
    <t>PL_ZEWD_1412000535_02</t>
  </si>
  <si>
    <t>PL_ZEWD_1412000531_04</t>
  </si>
  <si>
    <t>PL_ZEWD_1412000541_03</t>
  </si>
  <si>
    <t>PL_ZEWD_1412000534_00</t>
  </si>
  <si>
    <t>PL_ZEWD_1412002147_07</t>
  </si>
  <si>
    <t>27 II</t>
  </si>
  <si>
    <t>27 I</t>
  </si>
  <si>
    <t>PL_ZEWD_1412001990_05</t>
  </si>
  <si>
    <t>PL_ZEWD_1412001968_04</t>
  </si>
  <si>
    <t>Zespół Szkół nr 2</t>
  </si>
  <si>
    <t>PL_ZEWD_1412001996_07</t>
  </si>
  <si>
    <t>PL_ZEWD_1412002224_01</t>
  </si>
  <si>
    <t>PL_ZEWD_1412001982_00</t>
  </si>
  <si>
    <t>PL_ZEWD_1412001960_08</t>
  </si>
  <si>
    <t>PL_ZEWD_1412002075_02</t>
  </si>
  <si>
    <t>PL_ZEWD_1412001969_06</t>
  </si>
  <si>
    <t>PL_ZEWD_1412001964_06</t>
  </si>
  <si>
    <t>PL_ZEWD_1412002004_07</t>
  </si>
  <si>
    <t>PL_ZEWD_1412001979_05</t>
  </si>
  <si>
    <t>PL_ZEWD_1412001977_01</t>
  </si>
  <si>
    <t>PL_ZEWD_1412002074_00</t>
  </si>
  <si>
    <t>PL_ZEWD_1412001980_06</t>
  </si>
  <si>
    <t>PL_ZEWD_1412002076_04</t>
  </si>
  <si>
    <t>PL_ZEWD_1412001976_09</t>
  </si>
  <si>
    <t>PL_ZEWD_1412002007_03</t>
  </si>
  <si>
    <t>Sienkiewicza Henryka/11 Listop</t>
  </si>
  <si>
    <t>PL_ZEWD_1412001994_03</t>
  </si>
  <si>
    <t>PL_ZEWD_1412002006_01</t>
  </si>
  <si>
    <t>PL_ZEWD_1412001961_00</t>
  </si>
  <si>
    <t>PL_ZEWD_1412001962_02</t>
  </si>
  <si>
    <t>PL_ZEWD_1412001981_08</t>
  </si>
  <si>
    <t>PL_ZEWD_1412001975_07</t>
  </si>
  <si>
    <t>PL_ZEWD_1412001967_02</t>
  </si>
  <si>
    <t>PL_ZEWD_1412001972_01</t>
  </si>
  <si>
    <t>PL_ZEWD_1412001971_09</t>
  </si>
  <si>
    <t>PL_ZEWD_1412001973_03</t>
  </si>
  <si>
    <t>PL_ZEWD_1412001970_07</t>
  </si>
  <si>
    <t>PL_ZEWD_1412002009_07</t>
  </si>
  <si>
    <t>PL_ZEWD_1412001984_04</t>
  </si>
  <si>
    <t>PL_ZEWD_1412001999_03</t>
  </si>
  <si>
    <t>PL_ZEWD_1412001978_03</t>
  </si>
  <si>
    <t>PL_ZEWD_1412001959_07</t>
  </si>
  <si>
    <t>PL_ZEWD_1412001965_08</t>
  </si>
  <si>
    <t>PL_ZEWD_1412001974_05</t>
  </si>
  <si>
    <t>PL_ZEWD_1412001988_02</t>
  </si>
  <si>
    <t>PL_ZEWD_1412002066_05</t>
  </si>
  <si>
    <t>dz.156</t>
  </si>
  <si>
    <t>dz.153/5</t>
  </si>
  <si>
    <t>dz.73/10</t>
  </si>
  <si>
    <t>dz.722</t>
  </si>
  <si>
    <t>Mienia</t>
  </si>
  <si>
    <t>dz.551</t>
  </si>
  <si>
    <t>Przepompownia P</t>
  </si>
  <si>
    <t>dz.1011</t>
  </si>
  <si>
    <t>3 I</t>
  </si>
  <si>
    <t>871831</t>
  </si>
  <si>
    <t>ul. Mazowiecka 86</t>
  </si>
  <si>
    <t>36920</t>
  </si>
  <si>
    <t>ul. Licealna 3</t>
  </si>
  <si>
    <t>Zespół Szkół W Jeruzalu</t>
  </si>
  <si>
    <t>ul. Szkolna 8</t>
  </si>
  <si>
    <t>05-317 Jeruzal</t>
  </si>
  <si>
    <t>40409</t>
  </si>
  <si>
    <t>Gminne Centrum Kultury w Mrozach</t>
  </si>
  <si>
    <t>ul. Adama Mickiewicza 22</t>
  </si>
  <si>
    <t>14551</t>
  </si>
  <si>
    <t>Gminne Przedszkole w Mrozach</t>
  </si>
  <si>
    <t>ul. Szkolna 2</t>
  </si>
  <si>
    <t>PL_ZEWD_1412002101_09</t>
  </si>
  <si>
    <t>40408</t>
  </si>
  <si>
    <t>38620</t>
  </si>
  <si>
    <t>36914</t>
  </si>
  <si>
    <t>70526229</t>
  </si>
  <si>
    <t>38614</t>
  </si>
  <si>
    <t>36922</t>
  </si>
  <si>
    <t>70525746</t>
  </si>
  <si>
    <t>70968362</t>
  </si>
  <si>
    <t>22 II</t>
  </si>
  <si>
    <t>39313</t>
  </si>
  <si>
    <t>70968380</t>
  </si>
  <si>
    <t>70968372</t>
  </si>
  <si>
    <t>10A</t>
  </si>
  <si>
    <t>PL_ZEWD_1412000375_02</t>
  </si>
  <si>
    <t>PL_ZEWD_1412002100_07</t>
  </si>
  <si>
    <t>Szymony</t>
  </si>
  <si>
    <t>PL_ZEWD_1412001684_00</t>
  </si>
  <si>
    <t>PL_ZEWD_1412001605_00</t>
  </si>
  <si>
    <t>PL_ZEWD_1412001566_08</t>
  </si>
  <si>
    <t>PL_ZEWD_1412001488_02</t>
  </si>
  <si>
    <t>PL_ZEWD_1412001498_01</t>
  </si>
  <si>
    <t>PL_ZEWD_1412001500_02</t>
  </si>
  <si>
    <t>PL_ZEWD_1412001472_01</t>
  </si>
  <si>
    <t>PL_ZEWD_1412001454_07</t>
  </si>
  <si>
    <t>PL_ZEWD_1412001527_04</t>
  </si>
  <si>
    <t>PL_ZEWD_1412001499_03</t>
  </si>
  <si>
    <t>PL_ZEWD_1412001446_02</t>
  </si>
  <si>
    <t>PL_ZEWD_1412001497_09</t>
  </si>
  <si>
    <t>PL_ZEWD_1412001506_04</t>
  </si>
  <si>
    <t>PL_ZEWD_1412001596_05</t>
  </si>
  <si>
    <t>PL_ZEWD_1412001568_02</t>
  </si>
  <si>
    <t>PL_ZEWD_1412001570_05</t>
  </si>
  <si>
    <t>PL_ZEWD_1412001569_04</t>
  </si>
  <si>
    <t>PL_ZEWD_1412001618_05</t>
  </si>
  <si>
    <t>PL_ZEWD_1412001584_02</t>
  </si>
  <si>
    <t>Wojska Polskiego</t>
  </si>
  <si>
    <t>Zamojska</t>
  </si>
  <si>
    <t>PL_ZEWD_1412001800_06</t>
  </si>
  <si>
    <t>PL_ZEWD_1412001766_04</t>
  </si>
  <si>
    <t>PL_ZEWD_1412001767_06</t>
  </si>
  <si>
    <t>PL_ZEWD_1412001801_08</t>
  </si>
  <si>
    <t>PL_ZEWD_1412001783_06</t>
  </si>
  <si>
    <t>PL_ZEWD_1412001749_02</t>
  </si>
  <si>
    <t>PL_ZEWD_1412002078_08</t>
  </si>
  <si>
    <t>PL_ZEWD_1412001789_08</t>
  </si>
  <si>
    <t>PL_ZEWD_1412001750_03</t>
  </si>
  <si>
    <t>PL_ZEWD_1412001765_02</t>
  </si>
  <si>
    <t>PL_ZEWD_1412001756_05</t>
  </si>
  <si>
    <t>PL_ZEWD_1412001778_07</t>
  </si>
  <si>
    <t>PL_ZEWD_1412001788_06</t>
  </si>
  <si>
    <t>PL_ZEWD_1412002079_00</t>
  </si>
  <si>
    <t>Mostowa</t>
  </si>
  <si>
    <t>PL_ZEWD_1412002064_01</t>
  </si>
  <si>
    <t>Zespół Szkolno-Przedszkolny w Cisiu</t>
  </si>
  <si>
    <t>ul. J. Piłsudskiego 77</t>
  </si>
  <si>
    <t>PL_ZEWD_1412002069_01</t>
  </si>
  <si>
    <t>PL_ZEWD_1412002068_09</t>
  </si>
  <si>
    <t>PL_ZEWD_1412001992_09</t>
  </si>
  <si>
    <t>822-15-25-136</t>
  </si>
  <si>
    <t>822-10-07-884</t>
  </si>
  <si>
    <t>822-15-05-903</t>
  </si>
  <si>
    <t>822-18-91-355</t>
  </si>
  <si>
    <t>822-23-26-982</t>
  </si>
  <si>
    <t>822-23-26-953</t>
  </si>
  <si>
    <t>822-23-26-976</t>
  </si>
  <si>
    <t>822-23-27-639</t>
  </si>
  <si>
    <t>822-15-12-381</t>
  </si>
  <si>
    <t>822-10-46-051</t>
  </si>
  <si>
    <t>822-106-62-72</t>
  </si>
  <si>
    <t>822-21-49-422</t>
  </si>
  <si>
    <t>822-214-65-99</t>
  </si>
  <si>
    <t>952-14-71-764</t>
  </si>
  <si>
    <t>dz.57/2</t>
  </si>
  <si>
    <t>PL_ZEWD_1412002070_02</t>
  </si>
  <si>
    <t>Ignaców 8</t>
  </si>
  <si>
    <t>ul. Graniczna 1</t>
  </si>
  <si>
    <t>1316</t>
  </si>
  <si>
    <t>PL_PKPE_1412000397_04</t>
  </si>
  <si>
    <t>PL_PKPE_1412000438_00</t>
  </si>
  <si>
    <t>OSD - PKP Energetyka</t>
  </si>
  <si>
    <t>PL_ZEWD_1412000967_05</t>
  </si>
  <si>
    <t>PL_ZEWD_1412000939_02</t>
  </si>
  <si>
    <t>39308</t>
  </si>
  <si>
    <t>70618885</t>
  </si>
  <si>
    <t>Bolesława Prusa</t>
  </si>
  <si>
    <t>PL_ZEWD_1412000546_03</t>
  </si>
  <si>
    <t>PL_ZEWD_1412001672_07</t>
  </si>
  <si>
    <t>PL_ZEWD_1412001679_01</t>
  </si>
  <si>
    <t>PL_ZEWD_1412001458_05</t>
  </si>
  <si>
    <t>PL_ZEWD_1412001474_05</t>
  </si>
  <si>
    <t>PL_ZEWD_1412001612_03</t>
  </si>
  <si>
    <t>PL_ZEWD_1412001613_05</t>
  </si>
  <si>
    <t>PL_ZEWD_1412001485_06</t>
  </si>
  <si>
    <t>kolejności zmiany sprzedawcy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</si>
  <si>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2"/>
      </rPr>
      <t>Bilans Sprzedawcy</t>
    </r>
    <r>
      <rPr>
        <sz val="12"/>
        <color indexed="8"/>
        <rFont val="Czcionka tekstu podstawowego"/>
        <family val="2"/>
      </rPr>
      <t>)</t>
    </r>
  </si>
  <si>
    <t>PL_ZEWD_1412001370_09</t>
  </si>
  <si>
    <t>PL_ZEWD_1412001682_06</t>
  </si>
  <si>
    <t>PL_ZEWD_1412001470_07</t>
  </si>
  <si>
    <t>PL_ZEWD_1412001771_03</t>
  </si>
  <si>
    <t>Gmina Halinów</t>
  </si>
  <si>
    <t>ul. Spółdzielcza 1</t>
  </si>
  <si>
    <t>OSD właściwy dla punktów poboru energii Zamawiającego - PGE Dystrybucja S.A.</t>
  </si>
  <si>
    <t>OSD właściwy dla punktów poboru energii Zamawiającego - PGE Dystrybucja S.A. oraz PKP Energetyka S.A.</t>
  </si>
  <si>
    <t>OSD właściwy dla punktów poboru energii Zamawiającego:</t>
  </si>
  <si>
    <t>PGE Dystrybucja S.A.</t>
  </si>
  <si>
    <t>PKP Energetyka S.A.</t>
  </si>
  <si>
    <t>ul. Rynek 32</t>
  </si>
  <si>
    <t>05-304 Stanisławów</t>
  </si>
  <si>
    <t>PL_ZEWD_1412000094_09</t>
  </si>
  <si>
    <t>Biuro Urzędu Miasta Sulejówek</t>
  </si>
  <si>
    <t>URD:</t>
  </si>
  <si>
    <t>MUZE_ZEWD_O_00001</t>
  </si>
  <si>
    <t>PL_ZEWD_1412002517_02</t>
  </si>
  <si>
    <t>MIEJ_ZEWD_O_00010</t>
  </si>
  <si>
    <t>Miejski Dom Kultury Fontanna</t>
  </si>
  <si>
    <t>PL_ZEWD_1412002487_07</t>
  </si>
  <si>
    <t>Zespół Szkół Miejskich nr 2</t>
  </si>
  <si>
    <t>822-23-45-353</t>
  </si>
  <si>
    <t>PL_ZEWD_1412002549_03</t>
  </si>
  <si>
    <t>MIEJ_ZEWD_O_00011</t>
  </si>
  <si>
    <t xml:space="preserve">Józefa Piłsudskiego </t>
  </si>
  <si>
    <t>ul. Józefa Piłsudskiego 1 A</t>
  </si>
  <si>
    <t>MIEJ_ZEWD_O_00028</t>
  </si>
  <si>
    <t>Juliana Tuwima</t>
  </si>
  <si>
    <t>PL_ZEWD_1412002531_08</t>
  </si>
  <si>
    <t>PL_ZEWD_1412002530_06</t>
  </si>
  <si>
    <t>PL_ZEWD_1412002532_00</t>
  </si>
  <si>
    <t>Miejski Ośrodek Pomocy Społecznej w Mińsku Mazowieckim</t>
  </si>
  <si>
    <t>MIAS_ZEWD_O_00013</t>
  </si>
  <si>
    <t>PL_ZEWD_1412002073_08</t>
  </si>
  <si>
    <t>PL_ZEWD_1412001987_00</t>
  </si>
  <si>
    <t>MIEJ_ZEWD_O_00045</t>
  </si>
  <si>
    <t>SAMO_ZEWD_O_00017</t>
  </si>
  <si>
    <t xml:space="preserve">Straż Miejska </t>
  </si>
  <si>
    <t xml:space="preserve">Zespół Szkół nr 1 </t>
  </si>
  <si>
    <t>MIAS_ZEWD_O_00003</t>
  </si>
  <si>
    <t>ul. Armii Krajowej 12</t>
  </si>
  <si>
    <t>GKCM_D02_O_00000244</t>
  </si>
  <si>
    <t>GBPM_D02_O_00000243</t>
  </si>
  <si>
    <t>ul. Adama Mickiewicza 35</t>
  </si>
  <si>
    <t>GMMR_D02_O_00000242</t>
  </si>
  <si>
    <t>PL_ZEWD_1412002492_06</t>
  </si>
  <si>
    <t>PL_ZEWD_1412002491_04</t>
  </si>
  <si>
    <t>37110</t>
  </si>
  <si>
    <t>PL_ZEWD_1412002489_01</t>
  </si>
  <si>
    <t>PL_ZEWD_1412002500_09</t>
  </si>
  <si>
    <t>PL_ZEWD_1412002490_02</t>
  </si>
  <si>
    <t>Spacerowa</t>
  </si>
  <si>
    <t>dz. 121/2</t>
  </si>
  <si>
    <t>Rudka</t>
  </si>
  <si>
    <t>PL_ZEWD_1412002700_05</t>
  </si>
  <si>
    <t>GMIN_ZEWD_O_00017</t>
  </si>
  <si>
    <t>Świętochy</t>
  </si>
  <si>
    <t>G12</t>
  </si>
  <si>
    <t>PL_ZEWD_1412002447_01</t>
  </si>
  <si>
    <t>PL_ZEWD_1412002449_05</t>
  </si>
  <si>
    <t>PL_ZEWD_1412002452_00</t>
  </si>
  <si>
    <t>PL_ZEWD_1412002455_06</t>
  </si>
  <si>
    <t>PL_ZEWD_1412002454_04</t>
  </si>
  <si>
    <t>PL_ZEWD_1412002446_09</t>
  </si>
  <si>
    <t>PL_ZEWD_1412002453_02</t>
  </si>
  <si>
    <t>PL_ZEWD_1412002451_08</t>
  </si>
  <si>
    <t>PL_ZEWD_1412002441_09</t>
  </si>
  <si>
    <t>PL_ZEWD_1412002448_03</t>
  </si>
  <si>
    <t>PL_ZEWD_1412002450_06</t>
  </si>
  <si>
    <t>Hipolitowska</t>
  </si>
  <si>
    <t>dz.217</t>
  </si>
  <si>
    <t>BIBL_ZEWD_O_00004</t>
  </si>
  <si>
    <t>Biblioteka Publiczna w Kałuszynie</t>
  </si>
  <si>
    <t>BIBL_ZEWD_O_00002</t>
  </si>
  <si>
    <t>OCHO_ZEWD_O_00004</t>
  </si>
  <si>
    <t>OCHO_ZEWD_O_00005</t>
  </si>
  <si>
    <t>Zimnowoda</t>
  </si>
  <si>
    <t>Szkoła podstawowa</t>
  </si>
  <si>
    <t>ul. Warszawska 37</t>
  </si>
  <si>
    <t xml:space="preserve">Gmina Kałuszyn </t>
  </si>
  <si>
    <t>Kotłownia</t>
  </si>
  <si>
    <t>ADM</t>
  </si>
  <si>
    <t>Oświetlnie klatki schodowej</t>
  </si>
  <si>
    <t>Ul. Warszawska 37</t>
  </si>
  <si>
    <r>
      <t xml:space="preserve">prognozowanych wolumenów zużycia energii elektrycznej dla PPE Zamawiającego w okresie od dnia 1 stycznia do 31 grudnia 2015 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</si>
  <si>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t>GMIN_ZEWD_O_00038</t>
  </si>
  <si>
    <t>Termin skutecznego wypowiedzenia umowy kompleksowej</t>
  </si>
  <si>
    <t>Lubomin</t>
  </si>
  <si>
    <t>Czarna</t>
  </si>
  <si>
    <t>GMIN_ZEWD_O_00018</t>
  </si>
  <si>
    <t>PL_ZEWD_1412002538_02</t>
  </si>
  <si>
    <t>PL_ZEWD_1412002536_08</t>
  </si>
  <si>
    <t>PL_ZEWD_1412002535_06</t>
  </si>
  <si>
    <t>PL_ZEWD_1412002534_04</t>
  </si>
  <si>
    <t>PL_ZEWD_1412002533_02</t>
  </si>
  <si>
    <t>PL_ZEWD_1412002537_00</t>
  </si>
  <si>
    <t>1 m.2</t>
  </si>
  <si>
    <t>PL_ZEWD_1412002202_09</t>
  </si>
  <si>
    <t>Latowicz- Rozstanki</t>
  </si>
  <si>
    <t>47C/4</t>
  </si>
  <si>
    <t>Oczyszczalnia ścieków komunalnych</t>
  </si>
  <si>
    <t>Latowicz-Wymyśle</t>
  </si>
  <si>
    <t>B11</t>
  </si>
  <si>
    <t>Oświetlenie klatek schodowych</t>
  </si>
  <si>
    <t>Stankowizna</t>
  </si>
  <si>
    <t xml:space="preserve">Chełmońskiego </t>
  </si>
  <si>
    <t>dz.3940/1</t>
  </si>
  <si>
    <t>Koszykowa</t>
  </si>
  <si>
    <t>dz.103</t>
  </si>
  <si>
    <t>Wólka Mińska</t>
  </si>
  <si>
    <t>dz.39/8</t>
  </si>
  <si>
    <t>dz.479</t>
  </si>
  <si>
    <t>Przepompownia ścieków PS4</t>
  </si>
  <si>
    <t xml:space="preserve">Królewiec </t>
  </si>
  <si>
    <t>dz.589/4</t>
  </si>
  <si>
    <t>dz.454</t>
  </si>
  <si>
    <t>Przepompownia ścieków PS1</t>
  </si>
  <si>
    <t>dz.400/1</t>
  </si>
  <si>
    <t>Przepompownia ścieków PS2</t>
  </si>
  <si>
    <t>dz.227/2</t>
  </si>
  <si>
    <t>GMIN_ZEWD_O_00058</t>
  </si>
  <si>
    <t>Spokojna</t>
  </si>
  <si>
    <t>dz.222/5</t>
  </si>
  <si>
    <t>ul. Mińska 15</t>
  </si>
  <si>
    <t>GMIN_ZEWD_O_00068</t>
  </si>
  <si>
    <t>GMIN_ZEWD_O_00141</t>
  </si>
  <si>
    <t>Budynek handlowy</t>
  </si>
  <si>
    <t>Plac Anny Jagielonki</t>
  </si>
  <si>
    <t>24 a</t>
  </si>
  <si>
    <t>PL_ZEWD_1412002367_01</t>
  </si>
  <si>
    <t>PL_ZEWD_1412002369_05</t>
  </si>
  <si>
    <t>PL_ZEWD_1412002368_03</t>
  </si>
  <si>
    <t>GMIN_ZEWD_O_00083</t>
  </si>
  <si>
    <r>
      <t>Załącznik nr 1b do SIWZ -</t>
    </r>
    <r>
      <rPr>
        <b/>
        <sz val="14"/>
        <color indexed="8"/>
        <rFont val="Czcionka tekstu podstawowego"/>
        <family val="2"/>
      </rPr>
      <t xml:space="preserve"> Jednostki organizacyjne</t>
    </r>
  </si>
  <si>
    <t>Sposób wypowiedzenia umowy kompleksowej</t>
  </si>
  <si>
    <t>PL_ZEWD_1412001795_09</t>
  </si>
  <si>
    <t>8D</t>
  </si>
  <si>
    <t>PL_ZEWD_1412001751_05</t>
  </si>
  <si>
    <t>Ks. Popiełuszki</t>
  </si>
  <si>
    <t>Długa Szlachecka</t>
  </si>
  <si>
    <t>PL_ZEWD_1412001791_01</t>
  </si>
  <si>
    <t>Stanisławowska</t>
  </si>
  <si>
    <t>PL_ZEWD_1412001777_05</t>
  </si>
  <si>
    <t>GMIN_ZEWD_O_00099</t>
  </si>
  <si>
    <t>PL_ZEWD_1412002524_05</t>
  </si>
  <si>
    <t>PL_ZEWD_1412002526_09</t>
  </si>
  <si>
    <t>Podział na strefy czasowe</t>
  </si>
  <si>
    <t>Całodobowa              [kWh]</t>
  </si>
  <si>
    <t xml:space="preserve">Szczyt                                [kWh] </t>
  </si>
  <si>
    <t>Pozaszczyt               [kWh]</t>
  </si>
  <si>
    <t>Dzień                            [kWh]</t>
  </si>
  <si>
    <t>Noc                                     [Kwh]</t>
  </si>
  <si>
    <t>Liczba PPE w podziale na grupy taryfowe</t>
  </si>
  <si>
    <t>PL_ZEWD_1412002493_08</t>
  </si>
  <si>
    <t>Celinów</t>
  </si>
  <si>
    <t>PL_ZEWD_1412003276_07</t>
  </si>
  <si>
    <t>Dobrzynieckiego</t>
  </si>
  <si>
    <t>PL_ZEWD_1412001364_08</t>
  </si>
  <si>
    <t>Izabelin</t>
  </si>
  <si>
    <t>Dz./88</t>
  </si>
  <si>
    <t>Zakład Komunalny w Dębem Wielkim</t>
  </si>
  <si>
    <t>Olszowa</t>
  </si>
  <si>
    <t>dz.1355/12</t>
  </si>
  <si>
    <t>PL_ZEWD_1412003313_05</t>
  </si>
  <si>
    <t>dz.208/5</t>
  </si>
  <si>
    <t>PL_ZEWD_1412003312_03</t>
  </si>
  <si>
    <t>Prądzyńskiego</t>
  </si>
  <si>
    <t>dz.791/1</t>
  </si>
  <si>
    <t>PL_ZEWD_1412003235_09</t>
  </si>
  <si>
    <t>PL_ZEWD_1412003236_01</t>
  </si>
  <si>
    <t>PL_ZEWD_1412003237_03</t>
  </si>
  <si>
    <t>Monitoring</t>
  </si>
  <si>
    <t>Słup 14a</t>
  </si>
  <si>
    <t>Błonie</t>
  </si>
  <si>
    <t>Słup 16/12</t>
  </si>
  <si>
    <t>Plac Stary Rynek</t>
  </si>
  <si>
    <t>Słup 48</t>
  </si>
  <si>
    <t>Armii Ludowej</t>
  </si>
  <si>
    <t>ul. Stefana Okrzei 16</t>
  </si>
  <si>
    <t xml:space="preserve">Mikołaja Kopernika </t>
  </si>
  <si>
    <t>Toaleta Publiczna ul. Kościuszki</t>
  </si>
  <si>
    <t>PL_ZEWD_1412003214_09</t>
  </si>
  <si>
    <t>2 B</t>
  </si>
  <si>
    <t>PL_ZEWD_1412000660_07</t>
  </si>
  <si>
    <t>PSZOK</t>
  </si>
  <si>
    <t>PL_ZEWD_1412003213_07</t>
  </si>
  <si>
    <t>PL_ZEWD_1412003255_07</t>
  </si>
  <si>
    <t>Dr Jana Huberta</t>
  </si>
  <si>
    <t>PL_ZEWD_1412003212_05</t>
  </si>
  <si>
    <t>PL_ZEWD_1412003209_00</t>
  </si>
  <si>
    <t>PL_ZEWD_1412003210_01</t>
  </si>
  <si>
    <t>PL_ZEWD_1412003207_06</t>
  </si>
  <si>
    <t>PL_ZEWD_1412003211_03</t>
  </si>
  <si>
    <t>PL_ZEWD_1412003208_08</t>
  </si>
  <si>
    <t>PL_ZEWD_1412003216_03</t>
  </si>
  <si>
    <t>PL_ZEWD_1412003206_04</t>
  </si>
  <si>
    <t>PL_ZEWD_1412003254_05</t>
  </si>
  <si>
    <t>ul. Juliana Tuwima 1</t>
  </si>
  <si>
    <t>Baza</t>
  </si>
  <si>
    <t>Tuwima</t>
  </si>
  <si>
    <t>Warsztat</t>
  </si>
  <si>
    <t>Cmentarz</t>
  </si>
  <si>
    <t>PL_ZEWD_1412003288_00</t>
  </si>
  <si>
    <t>dz.101/2</t>
  </si>
  <si>
    <t>PL_ZEWD_1412003441_06</t>
  </si>
  <si>
    <t>Przepompownia ścieków deszczowych</t>
  </si>
  <si>
    <t>Gminny Ośrodek Sportu i Rekreacji</t>
  </si>
  <si>
    <t>ul. Licealna 7</t>
  </si>
  <si>
    <t>dz.793</t>
  </si>
  <si>
    <t>PL_ZEWD_1412003186_08</t>
  </si>
  <si>
    <t>PL_ZEWD_1412003193_01</t>
  </si>
  <si>
    <t>1-Go Maja</t>
  </si>
  <si>
    <t>PL_ZEWD_1412001691_03</t>
  </si>
  <si>
    <t>PL_ZEWD_1412003190_05</t>
  </si>
  <si>
    <t>PL_ZEWD_1412003189_04</t>
  </si>
  <si>
    <t>PL_ZEWD_1412003187_00</t>
  </si>
  <si>
    <t>PL_ZEWD_1412003253_03</t>
  </si>
  <si>
    <t>PL_ZEWD_1412003185_06</t>
  </si>
  <si>
    <t>PL_ZEWD_1412002503_05</t>
  </si>
  <si>
    <t>PL_ZEWD_1412003192_09</t>
  </si>
  <si>
    <t>PL_ZEWD_1412003194_03</t>
  </si>
  <si>
    <t>PL_ZEWD_1412003233_05</t>
  </si>
  <si>
    <t>Zespół Szkolno-Przedszkolny w Brzezinach</t>
  </si>
  <si>
    <t>ul. Mazowiecka 37</t>
  </si>
  <si>
    <t>Publliczna Szkoła Podstawowa w Siennicy</t>
  </si>
  <si>
    <t>ul. Latowicka 16</t>
  </si>
  <si>
    <t>Gminne Przedszkole w Siennicy</t>
  </si>
  <si>
    <t>ul. Latowicka 15</t>
  </si>
  <si>
    <t>Gminna Biblioteka Publiczna w Siennicy</t>
  </si>
  <si>
    <t>ul. Latowicka 9</t>
  </si>
  <si>
    <t>822-196-53-90</t>
  </si>
  <si>
    <t>Publiczna Szkoła Podstawowa w Żakowie</t>
  </si>
  <si>
    <t>Żaków 48A</t>
  </si>
  <si>
    <t>Starogród 9B</t>
  </si>
  <si>
    <t>PL_ZEWD_1412003219_09</t>
  </si>
  <si>
    <t>Szkoła Stowarzyszenie</t>
  </si>
  <si>
    <t>PL_ZEWD_1412003306_02</t>
  </si>
  <si>
    <t>dz. 84</t>
  </si>
  <si>
    <t>Jędzrzejów Nowy</t>
  </si>
  <si>
    <t>dz.541</t>
  </si>
  <si>
    <t>PL_ZEWD_1412003346_08</t>
  </si>
  <si>
    <t>dz.485/1</t>
  </si>
  <si>
    <t>PL_ZEWD_1412003354_03</t>
  </si>
  <si>
    <t>dz.256</t>
  </si>
  <si>
    <t>PL_ZEWD_1412003351_07</t>
  </si>
  <si>
    <t>PL_ZEWD_1412003227_04</t>
  </si>
  <si>
    <t>PL_ZEWD_1412003225_00</t>
  </si>
  <si>
    <t>PL_ZEWD_1412003224_08</t>
  </si>
  <si>
    <t>PL_ZEWD_1412003222_04</t>
  </si>
  <si>
    <t>PL_ZEWD_1412003221_02</t>
  </si>
  <si>
    <t>PL_ZEWD_1412003228_06</t>
  </si>
  <si>
    <t>PL_ZEWD_1412003226_02</t>
  </si>
  <si>
    <t>PL_ZEWD_1412003223_06</t>
  </si>
  <si>
    <t>dz. 658/5</t>
  </si>
  <si>
    <t>ul. Piękna 21</t>
  </si>
  <si>
    <t xml:space="preserve">Miłosza </t>
  </si>
  <si>
    <t>dz.801</t>
  </si>
  <si>
    <t>Karolina</t>
  </si>
  <si>
    <t>Zdrojowa</t>
  </si>
  <si>
    <t>dz.864</t>
  </si>
  <si>
    <t>dz.863</t>
  </si>
  <si>
    <t>Przepompownia ścieków PS5</t>
  </si>
  <si>
    <t>Kwiatowa</t>
  </si>
  <si>
    <t>dz.182/2</t>
  </si>
  <si>
    <t>Osiny Nowe</t>
  </si>
  <si>
    <t>Św. Józefa</t>
  </si>
  <si>
    <t>dz.74</t>
  </si>
  <si>
    <t>dz. 85/1</t>
  </si>
  <si>
    <t>Działkowa</t>
  </si>
  <si>
    <t>dz. 144</t>
  </si>
  <si>
    <t>Słoneczna</t>
  </si>
  <si>
    <t>dz. 178</t>
  </si>
  <si>
    <t>Długa</t>
  </si>
  <si>
    <t>dz. 470/2</t>
  </si>
  <si>
    <t>dz. 497/11</t>
  </si>
  <si>
    <t>PL_ZEWD_1412003220_00</t>
  </si>
  <si>
    <t>PL_ZEWD_1412003234_07</t>
  </si>
  <si>
    <t>PL_ZEWD_1412003229_08</t>
  </si>
  <si>
    <t>PL_ZEWD_1412003230_09</t>
  </si>
  <si>
    <t>PL_ZEWD_1412003232_03</t>
  </si>
  <si>
    <t>Siedlecka</t>
  </si>
  <si>
    <t>dz.1607/11</t>
  </si>
  <si>
    <t>PL_ZEWD_1412003204_00</t>
  </si>
  <si>
    <t>Ośw. Studnia głębinowa</t>
  </si>
  <si>
    <t>PL_ZEWD_1412003188_02</t>
  </si>
  <si>
    <t>Plac budowy</t>
  </si>
  <si>
    <t>Leontyna</t>
  </si>
  <si>
    <t>dz.33</t>
  </si>
  <si>
    <t>dz.435/4</t>
  </si>
  <si>
    <t>45 m1</t>
  </si>
  <si>
    <t xml:space="preserve">Dom Pomocy Społecznej Św. Józefa </t>
  </si>
  <si>
    <t xml:space="preserve">Mienia </t>
  </si>
  <si>
    <t>Dom Pomocy Społecznej w Kątach</t>
  </si>
  <si>
    <t>Kąty 22</t>
  </si>
  <si>
    <t xml:space="preserve">Kąty </t>
  </si>
  <si>
    <t>Dom Pomocy Społecznej Jedlina</t>
  </si>
  <si>
    <t>G12w</t>
  </si>
  <si>
    <t>PL_ZEWD_1412003218_07</t>
  </si>
  <si>
    <r>
      <t xml:space="preserve">prognozowanych wolumenów zużycia energii elektrycznej dla PPE Zamawiającego w okresie od dnia 1 stycznia do 31 grudnia 2016 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</si>
  <si>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t>DZ. Nr 865/4</t>
  </si>
  <si>
    <t>PL_ZEWD_1412003311_01</t>
  </si>
  <si>
    <t>Miejski Ośrodek Sportu i Rekreacji - kontenery szatniowe</t>
  </si>
  <si>
    <t>Hala sportowa</t>
  </si>
  <si>
    <t>Stadion sportowy</t>
  </si>
  <si>
    <t>Zakład Komunalny w Halinowie -Oczyszczalnia ścieków</t>
  </si>
  <si>
    <t>Zakład Komunalny w Halinowie - Siedziba</t>
  </si>
  <si>
    <t xml:space="preserve">Zakład Komunalny w Halinowie - Przepompownia </t>
  </si>
  <si>
    <t>Zakład Komunalny -  Stacja Uzdatniania Wody</t>
  </si>
  <si>
    <t xml:space="preserve">Wielgolas Duchnowski </t>
  </si>
  <si>
    <t>Stacja Uzdatniania Wody</t>
  </si>
  <si>
    <t xml:space="preserve">Mrowiska </t>
  </si>
  <si>
    <t>Automatyczna Stacja Uzdatniania Wody</t>
  </si>
  <si>
    <t>Dz. 19-336</t>
  </si>
  <si>
    <t>Dz. 19-932</t>
  </si>
  <si>
    <t>Dz. 19-1046</t>
  </si>
  <si>
    <t>Zespół Szkolno-Przedszkolny w Halinowie</t>
  </si>
  <si>
    <t>Banachowska</t>
  </si>
  <si>
    <t>Dz. 19-620</t>
  </si>
  <si>
    <t>Dz. 19-1677</t>
  </si>
  <si>
    <t>Dz. 19-1901</t>
  </si>
  <si>
    <t>PrzepompowniaP4</t>
  </si>
  <si>
    <t>Przepompownia P5</t>
  </si>
  <si>
    <t>Przepompownia P6</t>
  </si>
  <si>
    <t>Przepompownia P7</t>
  </si>
  <si>
    <t>Przepompownia (targowisko)</t>
  </si>
  <si>
    <t>PL_PKPE_1412000482_03</t>
  </si>
  <si>
    <t>PL_PKPE_1412007446_04</t>
  </si>
  <si>
    <t>SAMO_ZEWD_O_00003</t>
  </si>
  <si>
    <t>PL_ZEWD_1412003472_05</t>
  </si>
  <si>
    <t>Dom Dziecka</t>
  </si>
  <si>
    <t>Falbogi 33</t>
  </si>
  <si>
    <t>NIP:  822 235 02 13</t>
  </si>
  <si>
    <t>Dz. 120/07</t>
  </si>
  <si>
    <t>PL_ZEWD_1412003501_08</t>
  </si>
  <si>
    <t>ul. Piłsudskiego 24/2</t>
  </si>
  <si>
    <t>Budynek gminny</t>
  </si>
  <si>
    <t>dz. 1956/1</t>
  </si>
  <si>
    <t>PL_ZEWD_1412003697_09</t>
  </si>
  <si>
    <t>Huta Środkowa-Kuflewska</t>
  </si>
  <si>
    <t>Anny Jagiellonki</t>
  </si>
  <si>
    <t>OZ</t>
  </si>
  <si>
    <t>ul. Pl. Anny Jagiellonki</t>
  </si>
  <si>
    <t>ul. Kościuszki Tadeusza 2</t>
  </si>
  <si>
    <t>Pl. Anny Jagielonki</t>
  </si>
  <si>
    <t>Konopnickiej</t>
  </si>
  <si>
    <t>2 m 3</t>
  </si>
  <si>
    <t>Gimnazjum w Halinowie</t>
  </si>
  <si>
    <t>Świetlista</t>
  </si>
  <si>
    <t>PL_ZEWD_1412003669_06</t>
  </si>
  <si>
    <t>PL_ZEWD_1412003668_04</t>
  </si>
  <si>
    <t>PL_ZEWD_1412003667_02</t>
  </si>
  <si>
    <t>PL_ZEWD_1412003664_06</t>
  </si>
  <si>
    <t>PL_ZEWD_1412003663_04</t>
  </si>
  <si>
    <t>PL_ZEWD_1412003661_00</t>
  </si>
  <si>
    <t>1787 ob. 46</t>
  </si>
  <si>
    <t>PL_ZEWD_1412003662_02</t>
  </si>
  <si>
    <t>Ul. Mostowa 61</t>
  </si>
  <si>
    <t>3B</t>
  </si>
  <si>
    <t>23 m 3</t>
  </si>
  <si>
    <t>23 m 2</t>
  </si>
  <si>
    <t>23 m 1</t>
  </si>
  <si>
    <t>Gminny Ośrodek Pomocy Społecznej</t>
  </si>
  <si>
    <t>Ul. Armii Krajowej 12</t>
  </si>
  <si>
    <t>Przpompownia ścieków P1</t>
  </si>
  <si>
    <t>PL_ZEWD_1412003622_06</t>
  </si>
  <si>
    <t>dz 67,97</t>
  </si>
  <si>
    <t>Gmina Mrozy - Plac Budowy</t>
  </si>
  <si>
    <t>dz. Nr 655/2</t>
  </si>
  <si>
    <t>Gmina Mrozy - Przepompownia ścieków P-3</t>
  </si>
  <si>
    <t>dz. Nr 840</t>
  </si>
  <si>
    <t>Gmina Mrozy - Urządzenia techniczne</t>
  </si>
  <si>
    <t>Gminna Biblioteka Publiczna im. Jana Pawła II w Mrozach</t>
  </si>
  <si>
    <t>ul. Pokoju 1</t>
  </si>
  <si>
    <t>1</t>
  </si>
  <si>
    <t>11265182</t>
  </si>
  <si>
    <t>PL_ZEWD_1412003633_07</t>
  </si>
  <si>
    <t>Gmina Mrozy - Oczyszczalnia ścieków</t>
  </si>
  <si>
    <t>dz. Nr 884, 886, 888</t>
  </si>
  <si>
    <t>dz. 693</t>
  </si>
  <si>
    <t>Poniatowskiego</t>
  </si>
  <si>
    <t xml:space="preserve">Kościuszki </t>
  </si>
  <si>
    <t>Rudzienko</t>
  </si>
  <si>
    <t>Stacja podnoszenia ciśnienia wody</t>
  </si>
  <si>
    <t>dz 2156</t>
  </si>
  <si>
    <t>PL_ZEWD_1412003599_05</t>
  </si>
  <si>
    <t>PL_ZEWD_1412003598_03</t>
  </si>
  <si>
    <t>PL_ZEWD_1412003601_06</t>
  </si>
  <si>
    <t>PL_ZEWD_1412003600_04</t>
  </si>
  <si>
    <t>dz. 865/4</t>
  </si>
  <si>
    <t>Zarząd Gospodarki Komunalnej w Mińsku Mazowieckim</t>
  </si>
  <si>
    <t>104
41</t>
  </si>
  <si>
    <t>PL_ZEWD_1412003571_01</t>
  </si>
  <si>
    <t>PL_ZEWD_1412003672_01</t>
  </si>
  <si>
    <t>Stacja uzdatniania wody II</t>
  </si>
  <si>
    <t>Umowa na czas okreśłony do 31 grudnia 2016</t>
  </si>
  <si>
    <t>Przepompownia ścieków P4</t>
  </si>
  <si>
    <t>Szklarniowa</t>
  </si>
  <si>
    <t>dz 61-120, 62-77</t>
  </si>
  <si>
    <t>31 gudnia 2016r.</t>
  </si>
  <si>
    <t>dz 55-48/4, 52, 53/19</t>
  </si>
  <si>
    <t>Miasto Sulejówek - Przepompownia ścieków P26</t>
  </si>
  <si>
    <t>Przepompownia ścieków P2</t>
  </si>
  <si>
    <t>dz. 61-120, 62-78</t>
  </si>
  <si>
    <t>Miasto Sulejówek - Przepompownia ścieków P28</t>
  </si>
  <si>
    <t>Drobiarska</t>
  </si>
  <si>
    <t>dz. 61-143</t>
  </si>
  <si>
    <t>dz. 10-75</t>
  </si>
  <si>
    <t>Żelazna</t>
  </si>
  <si>
    <t>dz. 19-74</t>
  </si>
  <si>
    <t>Czynu Społęcznego</t>
  </si>
  <si>
    <t>dz. 53-127</t>
  </si>
  <si>
    <t>Iwaszkiewicza Jarosława</t>
  </si>
  <si>
    <t>dz. 49-42/20</t>
  </si>
  <si>
    <t>dz. 49-207</t>
  </si>
  <si>
    <t>Okrzei Stefana</t>
  </si>
  <si>
    <t>dz. 35-18</t>
  </si>
  <si>
    <t>Słowackiego Juliusza</t>
  </si>
  <si>
    <t>dz. 12-47</t>
  </si>
  <si>
    <t>PL_ZEWD_1412003602_08</t>
  </si>
  <si>
    <t>PL_ZEWD_1412003312_04</t>
  </si>
  <si>
    <t>dz. 356</t>
  </si>
  <si>
    <t>PL_ZEWD_1412003728_06</t>
  </si>
  <si>
    <t>PL_ZEWD_1412003603_00</t>
  </si>
  <si>
    <t>Zakład Gospodarki Komunalnej w Mrozach</t>
  </si>
  <si>
    <t>2108/21</t>
  </si>
  <si>
    <t>4099766</t>
  </si>
  <si>
    <t>dz.794</t>
  </si>
  <si>
    <t>PL_ZEWD_1412000784_01</t>
  </si>
  <si>
    <t>Mienia 94</t>
  </si>
  <si>
    <t>PL_ZEWD_1412003637_05</t>
  </si>
  <si>
    <t>PL_ZEWD_1412003676_09</t>
  </si>
  <si>
    <t>Mienia 300</t>
  </si>
  <si>
    <t>PL_ZEWD_1412003677_01</t>
  </si>
  <si>
    <t>PL_ZEWD_1412003597_01</t>
  </si>
  <si>
    <t>PL_ZEWD_1412003596_09</t>
  </si>
  <si>
    <t>PL_ZEWD_1412003595_07</t>
  </si>
  <si>
    <t>Zestawienie ogólne PPE do zamówienia publicznego na zakup energii elektrycznej czynnej dla Grupy zakupowej Powiatu Mińskiego na rok 2017</t>
  </si>
  <si>
    <r>
      <t xml:space="preserve">prognozowanych wolumenów zużycia energii elektrycznej dla PPE Zamawiającego w okresie od dnia 1 stycznia do 31 grudnia 2017 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</si>
  <si>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t>Nabywca dokonał wypowiedzenia umowy kompleksowej</t>
  </si>
  <si>
    <t>31 grudnia 2016 roku</t>
  </si>
  <si>
    <t>PL_ZEWD_1412003604_02</t>
  </si>
  <si>
    <t>PL_ZEWD_1412001426_04</t>
  </si>
  <si>
    <t>PL_ZEWD_1412003607_08</t>
  </si>
  <si>
    <t>PL_ZEWD_1412003611_05</t>
  </si>
  <si>
    <t>PL_ZEWD_1412003608_00</t>
  </si>
  <si>
    <t>PL_ZEWD_1412003609_02</t>
  </si>
  <si>
    <t>PL_ZEWD_1412001305_06</t>
  </si>
  <si>
    <t>PL_ZEWD_1412001337_07</t>
  </si>
  <si>
    <t>31 grudnia 2016</t>
  </si>
  <si>
    <t>dz. 278/1</t>
  </si>
  <si>
    <t>dz. Nr 72</t>
  </si>
  <si>
    <t>dz. Nr 82</t>
  </si>
  <si>
    <t>dz. Nr 157</t>
  </si>
  <si>
    <t>227/2</t>
  </si>
  <si>
    <t>Gospodarstwo domowe</t>
  </si>
  <si>
    <t>45/1</t>
  </si>
  <si>
    <t>dz. 784/25</t>
  </si>
  <si>
    <t>PL_ZEWD_1412003680_06</t>
  </si>
  <si>
    <t>Dr. Jana Huberta</t>
  </si>
  <si>
    <t>dz. 871</t>
  </si>
  <si>
    <t>PL_ZEWD_1412003681_08</t>
  </si>
  <si>
    <t>PL_ZEWD_1412003702_06</t>
  </si>
  <si>
    <t>PL_ZEWD_1412003623_08</t>
  </si>
  <si>
    <t>PL_ZEWD_1412003627_06</t>
  </si>
  <si>
    <t>PL_ZEWD_1412003624_00</t>
  </si>
  <si>
    <t>PL_ZEWD_1412003628_08</t>
  </si>
  <si>
    <t xml:space="preserve">Nowe Osiny </t>
  </si>
  <si>
    <t>PL_ZEWD_1412003613_09</t>
  </si>
  <si>
    <t>PL_ZEWD_1412003614_01</t>
  </si>
  <si>
    <t>PL_ZEWD_1412003612_07</t>
  </si>
  <si>
    <t>PL_ZEWD_1412003654_07</t>
  </si>
  <si>
    <t>PL_ZEWD_1412003625_02</t>
  </si>
  <si>
    <t>PL_ZEWD_1412003626_04</t>
  </si>
  <si>
    <t>dz. 28</t>
  </si>
  <si>
    <t>dz. 163</t>
  </si>
  <si>
    <t>Termin wypowiedzenia umowy kompleksowej</t>
  </si>
  <si>
    <t>Remiza strażacka</t>
  </si>
  <si>
    <t>GMIN_ZEWD_O_00091</t>
  </si>
  <si>
    <t>Gmina Kałuszyn</t>
  </si>
  <si>
    <t>Ryczołek</t>
  </si>
  <si>
    <t>dz. Nr 192</t>
  </si>
  <si>
    <t>Szczegółowy Opis Przedmiotu Zamówienia - Gmina Kotuń</t>
  </si>
  <si>
    <t>08-130</t>
  </si>
  <si>
    <t>Kotuń</t>
  </si>
  <si>
    <t>Koszewnica</t>
  </si>
  <si>
    <t>Oleksin</t>
  </si>
  <si>
    <t>Sosnowe</t>
  </si>
  <si>
    <t>Pieróg</t>
  </si>
  <si>
    <t>Wiejska</t>
  </si>
  <si>
    <t>Trzemuszka</t>
  </si>
  <si>
    <t>Żeliszew Duży</t>
  </si>
  <si>
    <t>Czarnowąż</t>
  </si>
  <si>
    <t>Polaki</t>
  </si>
  <si>
    <t>Broszków</t>
  </si>
  <si>
    <t>Gręzów</t>
  </si>
  <si>
    <t>Cisie Zagródzie</t>
  </si>
  <si>
    <t>Nowa Dąbrówka</t>
  </si>
  <si>
    <t>Weterynaryjna</t>
  </si>
  <si>
    <t>Łączka</t>
  </si>
  <si>
    <t>Bojmie, Żdżar</t>
  </si>
  <si>
    <t>Żdżar</t>
  </si>
  <si>
    <t>Sionna</t>
  </si>
  <si>
    <t>Jagodne</t>
  </si>
  <si>
    <t>Wilczonek</t>
  </si>
  <si>
    <t>Mingosy</t>
  </si>
  <si>
    <t>Bojmie</t>
  </si>
  <si>
    <t>Gmina Kotuń</t>
  </si>
  <si>
    <t>ul. Siedlecka 56c</t>
  </si>
  <si>
    <t>GMIN_ZEWD_O_00124</t>
  </si>
  <si>
    <t>PL_ZEWD_1426000951_03</t>
  </si>
  <si>
    <t>PL_ZEWD_1426000950_01</t>
  </si>
  <si>
    <t>PL_ZEWD_1426000932_07</t>
  </si>
  <si>
    <t>PL_ZEWD_1426000938_09</t>
  </si>
  <si>
    <t>PL_ZEWD_1426000924_02</t>
  </si>
  <si>
    <t>PL_ZEWD_1426000987_02</t>
  </si>
  <si>
    <t>Żeliszewska</t>
  </si>
  <si>
    <t>PL_ZEWD_1426000957_05</t>
  </si>
  <si>
    <t>526/4</t>
  </si>
  <si>
    <t>PL_ZEWD_1426000956_03</t>
  </si>
  <si>
    <t>PL_ZEWD_1426000935_03</t>
  </si>
  <si>
    <t>PL_ZEWD_1426000929_02</t>
  </si>
  <si>
    <t>Żeliszew Podkościelny</t>
  </si>
  <si>
    <t>PL_ZEWD_1426000967_04</t>
  </si>
  <si>
    <t>PL_ZEWD_1426000959_09</t>
  </si>
  <si>
    <t>PL_ZEWD_1426000936_05</t>
  </si>
  <si>
    <t>PL_ZEWD_1426000942_06</t>
  </si>
  <si>
    <t>PL_ZEWD_1426000952_05</t>
  </si>
  <si>
    <t>PL_ZEWD_1426001623_03</t>
  </si>
  <si>
    <t>PL_ZEWD_1426000794_09</t>
  </si>
  <si>
    <t>PL_ZEWD_1426000971_01</t>
  </si>
  <si>
    <t>PL_ZEWD_1426000970_09</t>
  </si>
  <si>
    <t>PL_ZEWD_1426000948_08</t>
  </si>
  <si>
    <t>PL_ZEWD_1426000934_01</t>
  </si>
  <si>
    <t>PL_ZEWD_1426000988_04</t>
  </si>
  <si>
    <t>Modrzewiowa</t>
  </si>
  <si>
    <t>PL_ZEWD_1426000966_02</t>
  </si>
  <si>
    <t>PL_ZEWD_1426000963_06</t>
  </si>
  <si>
    <t>PL_ZEWD_1426000986_00</t>
  </si>
  <si>
    <t>PL_ZEWD_1426000962_04</t>
  </si>
  <si>
    <t>PL_ZEWD_1426000954_09</t>
  </si>
  <si>
    <t>56C</t>
  </si>
  <si>
    <t>PL_ZEWD_1426000990_07</t>
  </si>
  <si>
    <t>PL_ZEWD_1426000931_05</t>
  </si>
  <si>
    <t>PL_ZEWD_1426000984_06</t>
  </si>
  <si>
    <t>PL_ZEWD_1426000968_06</t>
  </si>
  <si>
    <t>PL_ZEWD_1426000989_06</t>
  </si>
  <si>
    <t>PL_ZEWD_1426000926_06</t>
  </si>
  <si>
    <t>11D</t>
  </si>
  <si>
    <t>PL_ZEWD_1426000953_07</t>
  </si>
  <si>
    <t>PL_ZEWD_1426000947_06</t>
  </si>
  <si>
    <t>PL_ZEWD_1426000939_01</t>
  </si>
  <si>
    <t>Marysin</t>
  </si>
  <si>
    <t>PL_ZEWD_1426000937_07</t>
  </si>
  <si>
    <t>PL_ZEWD_1426000964_08</t>
  </si>
  <si>
    <t>11 m. 1</t>
  </si>
  <si>
    <t>PL_ZEWD_1426000940_02</t>
  </si>
  <si>
    <t>PL_ZEWD_1426000933_09</t>
  </si>
  <si>
    <t>11 m. 3</t>
  </si>
  <si>
    <t>11 m. 2</t>
  </si>
  <si>
    <t>PL_ZEWD_1426000930_03</t>
  </si>
  <si>
    <t>11 m. 4</t>
  </si>
  <si>
    <t>PL_ZEWD_1426000925_04</t>
  </si>
  <si>
    <t>PL_ZEWD_1426000927_08</t>
  </si>
  <si>
    <t>PL_ZEWD_1426001624_05</t>
  </si>
  <si>
    <t>PL_ZEWD_1426001622_01</t>
  </si>
  <si>
    <t>Bojmie, Sionna</t>
  </si>
  <si>
    <t>PL_ZEWD_1426001219_04</t>
  </si>
  <si>
    <t>Bojmie, Jagodne</t>
  </si>
  <si>
    <t>PL_ZEWD_1426000972_03</t>
  </si>
  <si>
    <t>32A</t>
  </si>
  <si>
    <t>PL_ZEWD_1426001218_02</t>
  </si>
  <si>
    <t>PL_ZEWD_1426000958_07</t>
  </si>
  <si>
    <t>PL_ZEWD_1426001150_04</t>
  </si>
  <si>
    <t>PL_ZEWD_1426000969_08</t>
  </si>
  <si>
    <t>PL_ZEWD_1426000946_04</t>
  </si>
  <si>
    <t>PL_ZEWD_1426000961_02</t>
  </si>
  <si>
    <t>PL_ZEWD_1426000960_00</t>
  </si>
  <si>
    <t>PL_ZEWD_1426000985_08</t>
  </si>
  <si>
    <t>08-130 Kotuń</t>
  </si>
  <si>
    <t>6C</t>
  </si>
  <si>
    <t>PL_ZEWD_1426001072_08</t>
  </si>
  <si>
    <t>PL_ZEWD_1426000910_05</t>
  </si>
  <si>
    <t>PL_ZEWD_1426000670_05</t>
  </si>
  <si>
    <t>PL_ZEWD_1426000916_07</t>
  </si>
  <si>
    <t>PL_ZEWD_1426000893_05</t>
  </si>
  <si>
    <t>41A m. 2</t>
  </si>
  <si>
    <t>PL_ZEWD_1426000904_04</t>
  </si>
  <si>
    <t>PL_ZEWD_1426000918_01</t>
  </si>
  <si>
    <t>08-122</t>
  </si>
  <si>
    <t>PL_ZEWD_1426000912_09</t>
  </si>
  <si>
    <t>Zakład Gospodarki Komunalnej w Kotuniu</t>
  </si>
  <si>
    <t>Ul. Weterynaryjna 28</t>
  </si>
  <si>
    <t>5B</t>
  </si>
  <si>
    <t>PL_ZEWD_1426001671_04</t>
  </si>
  <si>
    <t>P-4</t>
  </si>
  <si>
    <t>PL_ZEWD_1426001669_01</t>
  </si>
  <si>
    <t>Oczyszczalnia</t>
  </si>
  <si>
    <t>PL_ZEWD_1426001670_02</t>
  </si>
  <si>
    <t>dz. 478</t>
  </si>
  <si>
    <t>PL_ZEWD_1426001615_08</t>
  </si>
  <si>
    <t>Tłocznia</t>
  </si>
  <si>
    <t>PL_ZEWD_1426001614_06</t>
  </si>
  <si>
    <t>PL_ZEWD_1426001616_00</t>
  </si>
  <si>
    <t>P-8</t>
  </si>
  <si>
    <t>PL_ZEWD_1426001618_04</t>
  </si>
  <si>
    <t>dz.574/1</t>
  </si>
  <si>
    <t>PL_ZEWD_1426001617_02</t>
  </si>
  <si>
    <t>P-1</t>
  </si>
  <si>
    <t>PL_ZEWD_1426001619_06</t>
  </si>
  <si>
    <t>Baza ZGK</t>
  </si>
  <si>
    <t>PL_ZEWD_1426001620_07</t>
  </si>
  <si>
    <t>Termin obowiązywania umowy kompleksowej</t>
  </si>
  <si>
    <t>PL_ZEWD_1412000811_00</t>
  </si>
  <si>
    <t>PL_ZEWD_1412000812_02</t>
  </si>
  <si>
    <t>PL_ZEWD_1412000741_09</t>
  </si>
  <si>
    <t>PL_ZEWD_1412003658_05</t>
  </si>
  <si>
    <t>PL_ZEWD_1412003631_03</t>
  </si>
  <si>
    <t>Publiczna Szkoła Podstawowa w Starogrodzie</t>
  </si>
  <si>
    <t>Zespół Szkół w Jakubowie</t>
  </si>
  <si>
    <t>PL_ZEWD_1412003666_00</t>
  </si>
  <si>
    <t>Umowa na czas określony do 31.12.2016 r.</t>
  </si>
  <si>
    <t>Adresat, Płatnik:</t>
  </si>
  <si>
    <t>STOW_ZEWD_O_00009</t>
  </si>
  <si>
    <t>GMIN_ZEWD_O_00212</t>
  </si>
  <si>
    <t>Płatnik</t>
  </si>
  <si>
    <t>Szkoła Podstawowa w Mariance</t>
  </si>
  <si>
    <t>Marianka 42</t>
  </si>
  <si>
    <t>Adresat</t>
  </si>
  <si>
    <t>Gminny Zespół Obsługi Ekonomiczno-Administracyjnej Szkół</t>
  </si>
  <si>
    <t>Ul. Chełmońskiego 14</t>
  </si>
  <si>
    <t>Zespół Szkół w Stojadłach</t>
  </si>
  <si>
    <t xml:space="preserve">Stojadła </t>
  </si>
  <si>
    <t>ul. Południowa 20</t>
  </si>
  <si>
    <t>Zespół Szkół w Starej Niedziałce</t>
  </si>
  <si>
    <t>ul Mazowiecka 154</t>
  </si>
  <si>
    <t>Zespół Szkół w Hucie Mińskiej</t>
  </si>
  <si>
    <t>z siedzibą w Cielechowiźnie</t>
  </si>
  <si>
    <t>Cielechowizna 1A</t>
  </si>
  <si>
    <t>Zespół Szkół Szkoła Podstawowa</t>
  </si>
  <si>
    <t>i Gimnazjum w Janowie</t>
  </si>
  <si>
    <t>Janów ul Strażacka 18</t>
  </si>
  <si>
    <t>Zespół Szkół w Zamieniu</t>
  </si>
  <si>
    <t>Zamienie ul.Kołbielska 34</t>
  </si>
  <si>
    <t>Szkoła Podstawowa w Brzózem</t>
  </si>
  <si>
    <t>Brzóze ul. Szkolna 20</t>
  </si>
  <si>
    <t xml:space="preserve">Publiczne Przedszkole "Akwarelka" </t>
  </si>
  <si>
    <t>w Nowych Osinach</t>
  </si>
  <si>
    <t>Adresat, Płatnik</t>
  </si>
  <si>
    <t xml:space="preserve">Mazowiecka </t>
  </si>
  <si>
    <t>Zespół Szkół Szkoła Podstawowa i Gimnazjum w Janowie</t>
  </si>
  <si>
    <t>Ul. Strażacka 2</t>
  </si>
  <si>
    <t xml:space="preserve">Pogorzel </t>
  </si>
  <si>
    <t>Ul. Graniczna 1</t>
  </si>
  <si>
    <t>Dzielnik 15a</t>
  </si>
  <si>
    <t>Zespół Szkolno-Przedszkolny nr 1</t>
  </si>
  <si>
    <t>PL_ZEWD_1412003665_08</t>
  </si>
  <si>
    <t>Starostwo Powiatowe</t>
  </si>
  <si>
    <t>Adresat, płatnik:</t>
  </si>
  <si>
    <t>ul.  Chełmońskiego 14</t>
  </si>
  <si>
    <t>Zespół Szkół w Dębem Wielkim</t>
  </si>
  <si>
    <t>ul. Warszawska 78 A</t>
  </si>
  <si>
    <t>Szkoła Podstawowa im. Tadeusza Kościuszki w Cygance</t>
  </si>
  <si>
    <t>Cyganka ul. Szkolna 21</t>
  </si>
  <si>
    <t>Szkoła Podstawowa im. Szarych Szeregów w Górkach</t>
  </si>
  <si>
    <t>Górki ul. Szkolna 30</t>
  </si>
  <si>
    <t>Szkoła Podstawowa im. Generała Józefa Bema w Rudzie</t>
  </si>
  <si>
    <t>Ruda ul. Szkolna 7</t>
  </si>
  <si>
    <t>Niepełnosprawnym "Możesz Więcej"</t>
  </si>
  <si>
    <t>Stowarzyszenie Pomocy Dzieciom</t>
  </si>
  <si>
    <t>Zespół Szkół w Wielgolesie Szkoła Filialna w Dębem Małym</t>
  </si>
  <si>
    <t>ul. Szkolna 11</t>
  </si>
  <si>
    <t>Szkoła Filialna w Dębem Małym</t>
  </si>
  <si>
    <t>Zespół Szkół w Wielgolesie</t>
  </si>
  <si>
    <t>Ul. Poprzeczna 27</t>
  </si>
  <si>
    <t xml:space="preserve">Zespół Szkolny w Cegłowie - Filia Piaseczno </t>
  </si>
  <si>
    <t>Piaseczno 152</t>
  </si>
  <si>
    <t>Cegłów 13</t>
  </si>
  <si>
    <t>ul. Ignacego Paderewskiego 29</t>
  </si>
  <si>
    <t>ul. Dworcowa 55</t>
  </si>
  <si>
    <t>ul. Wodociągowa 10</t>
  </si>
  <si>
    <t>822-21-46-607</t>
  </si>
  <si>
    <t>ul. Narutowicza Gabriela 10</t>
  </si>
  <si>
    <t>ul. Wrońskiego 1</t>
  </si>
  <si>
    <t>ul. Okuniewska 2</t>
  </si>
  <si>
    <t>ul. Świętochowskiego A. 4</t>
  </si>
  <si>
    <t>ul. Idzikowskiego 2A</t>
  </si>
  <si>
    <t>ul. Głowackiego Bartosza 47</t>
  </si>
  <si>
    <t>Samodzielny Publiczny Zakład 
Opieki Zdrowotnej w Sulejówku</t>
  </si>
  <si>
    <t>ul. Idzikowskiego 7b</t>
  </si>
  <si>
    <t>ul. Szosowa 7</t>
  </si>
  <si>
    <t>ul. Paderewskiego Ignacego 47</t>
  </si>
  <si>
    <t>822-20-41-015</t>
  </si>
  <si>
    <t>822-18-54-756</t>
  </si>
  <si>
    <t>Toaleta publiczna do obsługi parkingów</t>
  </si>
  <si>
    <t>dz. 540/1, 539, 228/2, 875,4</t>
  </si>
  <si>
    <t xml:space="preserve"> Gmina Dobre</t>
  </si>
  <si>
    <t>822-21-46-613</t>
  </si>
  <si>
    <t>Jędrzejów Nowy 30</t>
  </si>
  <si>
    <t>Zespół szkół w Jakubowie</t>
  </si>
  <si>
    <t>ul. Szkolna 10</t>
  </si>
  <si>
    <t>Publiczna Szkoła Podstawowa im. Jana Brzechwy w Jędrzejowie Nowym</t>
  </si>
  <si>
    <t>Publiczna Szkoła Podstawowa im. 7 PUL w Wiśniewie</t>
  </si>
  <si>
    <t>Wiśniew 45A</t>
  </si>
  <si>
    <t>Publiczna Szkoła Podstawowa im. Jana Pawła II w Mistowie</t>
  </si>
  <si>
    <t>ul. Szkolna 3</t>
  </si>
  <si>
    <t>822-215-88-17</t>
  </si>
  <si>
    <t>822-15-10-850</t>
  </si>
  <si>
    <t>822-218-94-33</t>
  </si>
  <si>
    <t>59A</t>
  </si>
  <si>
    <t>Świetlica wiejska</t>
  </si>
  <si>
    <t>dz. 22/2</t>
  </si>
  <si>
    <t>8a</t>
  </si>
  <si>
    <t>Zespół Szkół</t>
  </si>
  <si>
    <t>PL_ZEWD_1412001397_01</t>
  </si>
  <si>
    <t>Zesoł Szkolny w Ładzyniu</t>
  </si>
  <si>
    <t>ul. Szkolna 4</t>
  </si>
  <si>
    <t>05 - 304 Stanisławów</t>
  </si>
  <si>
    <t>Zesoł Szkół w Pustelniku</t>
  </si>
  <si>
    <t>ul. Szkolna 16</t>
  </si>
  <si>
    <t>Zesoł Szkolny w Stanisławowie</t>
  </si>
  <si>
    <t>Szymankowszczyzna</t>
  </si>
  <si>
    <t>dz.68</t>
  </si>
  <si>
    <t>Plac im. Danielaków</t>
  </si>
  <si>
    <t>Budynek Komunalny</t>
  </si>
  <si>
    <t>Świetlica socjoterapii</t>
  </si>
  <si>
    <t>Gimnazjum Publiczne</t>
  </si>
  <si>
    <t>Zespół Oświatowy</t>
  </si>
  <si>
    <t>Oddział Przedszkolny</t>
  </si>
  <si>
    <t>Gimnazjum Publiczne im. Jana Pawła II</t>
  </si>
  <si>
    <t>Polna 6C</t>
  </si>
  <si>
    <t>Zespół Szkół w Żeliszewie Podkościelnym</t>
  </si>
  <si>
    <t>Żeliszew Podkościelny 13</t>
  </si>
  <si>
    <t>Zespół Oświatowy w Kotuniu</t>
  </si>
  <si>
    <t>Zespół Szkół w Bojmiu</t>
  </si>
  <si>
    <t>Bojmie 33</t>
  </si>
  <si>
    <t>identyfikacji PPE Zamawiającego ze wskazaniem Nabywców, Adresatów i Płatników faktur</t>
  </si>
  <si>
    <t>822-21-46-576</t>
  </si>
  <si>
    <t>822-14-71-469</t>
  </si>
  <si>
    <t>822-215-88-23</t>
  </si>
  <si>
    <t>kolejności zmiany Sprzedawcy, terminów rozwiązania umów kompleksowych oraz terminów rozpoczęcia sprzedaży wynikających ze skuteczności rozwiązania umów kompleksowych dla PPE Zamawiającego</t>
  </si>
  <si>
    <t>Układy pomiarowo-rozliczeniowe zostały dostosowane do sprzedaży energii elektrycznej czynnej w formule TPA</t>
  </si>
  <si>
    <r>
      <t xml:space="preserve">prognozowanych wolumenów zużycia energii elektrycznej dla PPE Zamawiającego w okresie od dnia 1 stycznia do 31 grudnia 2017 roku </t>
    </r>
    <r>
      <rPr>
        <b/>
        <sz val="12"/>
        <color indexed="8"/>
        <rFont val="Czcionka tekstu podstawowego"/>
        <family val="0"/>
      </rPr>
      <t>(Bilans roczny OSD</t>
    </r>
    <r>
      <rPr>
        <sz val="12"/>
        <color indexed="8"/>
        <rFont val="Czcionka tekstu podstawowego"/>
        <family val="0"/>
      </rPr>
      <t>)</t>
    </r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</si>
  <si>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0"/>
      </rPr>
      <t>Bilans Sprzedawcy</t>
    </r>
    <r>
      <rPr>
        <sz val="12"/>
        <color indexed="8"/>
        <rFont val="Czcionka tekstu podstawowego"/>
        <family val="0"/>
      </rPr>
      <t>)</t>
    </r>
  </si>
  <si>
    <t xml:space="preserve">Taryfa "B…" - </t>
  </si>
  <si>
    <t>Jednostka Samorządu Terytorialnego</t>
  </si>
  <si>
    <t>Prognoza zużycia energii elektrycznej czynnej na rok 2016        [kWh]</t>
  </si>
  <si>
    <t>Liczba punktów poboru energii</t>
  </si>
  <si>
    <t>Załącznik nr 1b do SIWZ - Szczegółowy opis przedmiotu zamówienia - Jednostki organizacyjne</t>
  </si>
  <si>
    <t>Prognozowany wolumen zużycia energii elektrycznej w podziale na grupy taryfowe</t>
  </si>
  <si>
    <t>Łącznie w strefach czasowych:</t>
  </si>
  <si>
    <t>GMIN_ZEWD_O_00059</t>
  </si>
  <si>
    <t>822-21-48-747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</si>
</sst>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0"/>
    <numFmt numFmtId="166" formatCode="#,##0.0"/>
    <numFmt numFmtId="167" formatCode="_-* #,##0\ _z_ł_-;\-* #,##0\ _z_ł_-;_-* &quot;-&quot;??\ _z_ł_-;_-@_-"/>
    <numFmt numFmtId="168" formatCode="[$-415]d\ mmmm\ yyyy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36"/>
      <name val="Czcionka tekstu podstawowego"/>
      <family val="0"/>
    </font>
    <font>
      <b/>
      <sz val="11"/>
      <name val="Czcionka tekstu podstawowego"/>
      <family val="0"/>
    </font>
    <font>
      <b/>
      <sz val="11"/>
      <color indexed="36"/>
      <name val="Czcionka tekstu podstawowego"/>
      <family val="0"/>
    </font>
    <font>
      <sz val="11"/>
      <color indexed="30"/>
      <name val="Czcionka tekstu podstawowego"/>
      <family val="0"/>
    </font>
    <font>
      <sz val="11"/>
      <name val="Czcionka tekstu podstawowego"/>
      <family val="0"/>
    </font>
    <font>
      <sz val="11"/>
      <color indexed="17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name val="Arial"/>
      <family val="2"/>
    </font>
    <font>
      <sz val="12"/>
      <name val="Czcionka tekstu podstawowego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Symbol"/>
      <family val="1"/>
    </font>
    <font>
      <sz val="12"/>
      <color indexed="8"/>
      <name val="Czcionka tekstu podstawowego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Czcionka tekstu podstawowego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4"/>
      <color indexed="10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4"/>
      <color indexed="8"/>
      <name val="Arial"/>
      <family val="2"/>
    </font>
    <font>
      <sz val="11"/>
      <color indexed="30"/>
      <name val="Arial"/>
      <family val="2"/>
    </font>
    <font>
      <sz val="12"/>
      <color indexed="56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Czcionka tekstu podstawowego"/>
      <family val="2"/>
    </font>
    <font>
      <sz val="16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sz val="14"/>
      <color rgb="FFFF0000"/>
      <name val="Czcionka tekstu podstawowego"/>
      <family val="2"/>
    </font>
    <font>
      <b/>
      <sz val="12"/>
      <color theme="1"/>
      <name val="Czcionka tekstu podstawowego"/>
      <family val="2"/>
    </font>
    <font>
      <b/>
      <sz val="18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70C0"/>
      <name val="Arial"/>
      <family val="2"/>
    </font>
    <font>
      <sz val="11"/>
      <color rgb="FF0070C0"/>
      <name val="Czcionka tekstu podstawowego"/>
      <family val="2"/>
    </font>
    <font>
      <sz val="11"/>
      <color theme="4"/>
      <name val="Czcionka tekstu podstawowego"/>
      <family val="2"/>
    </font>
    <font>
      <sz val="12"/>
      <color theme="3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5" xfId="0" applyFont="1" applyFill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3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6" fillId="0" borderId="10" xfId="0" applyFont="1" applyBorder="1" applyAlignment="1">
      <alignment horizontal="center"/>
    </xf>
    <xf numFmtId="0" fontId="0" fillId="2" borderId="1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2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right"/>
    </xf>
    <xf numFmtId="3" fontId="0" fillId="2" borderId="11" xfId="0" applyNumberFormat="1" applyFill="1" applyBorder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6" fillId="0" borderId="16" xfId="0" applyFont="1" applyBorder="1" applyAlignment="1">
      <alignment wrapText="1"/>
    </xf>
    <xf numFmtId="0" fontId="66" fillId="0" borderId="18" xfId="0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66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164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66" fillId="0" borderId="15" xfId="0" applyFont="1" applyBorder="1" applyAlignment="1">
      <alignment horizontal="right" wrapText="1"/>
    </xf>
    <xf numFmtId="0" fontId="66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66" fillId="0" borderId="20" xfId="0" applyFont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66" fillId="0" borderId="12" xfId="0" applyFont="1" applyBorder="1" applyAlignment="1">
      <alignment horizontal="right" wrapText="1"/>
    </xf>
    <xf numFmtId="0" fontId="66" fillId="0" borderId="13" xfId="0" applyFont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0" fontId="66" fillId="0" borderId="2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66" fillId="0" borderId="13" xfId="0" applyFont="1" applyFill="1" applyBorder="1" applyAlignment="1">
      <alignment/>
    </xf>
    <xf numFmtId="164" fontId="0" fillId="0" borderId="0" xfId="0" applyNumberFormat="1" applyBorder="1" applyAlignment="1">
      <alignment/>
    </xf>
    <xf numFmtId="166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66" fillId="0" borderId="17" xfId="0" applyFont="1" applyBorder="1" applyAlignment="1">
      <alignment/>
    </xf>
    <xf numFmtId="164" fontId="0" fillId="0" borderId="0" xfId="0" applyNumberFormat="1" applyAlignment="1">
      <alignment wrapText="1"/>
    </xf>
    <xf numFmtId="3" fontId="1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10" xfId="0" applyNumberForma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5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66" fillId="0" borderId="0" xfId="0" applyFont="1" applyFill="1" applyBorder="1" applyAlignment="1">
      <alignment wrapText="1"/>
    </xf>
    <xf numFmtId="166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66" fillId="0" borderId="17" xfId="0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164" fontId="0" fillId="0" borderId="10" xfId="0" applyNumberFormat="1" applyBorder="1" applyAlignment="1">
      <alignment horizontal="center" wrapText="1"/>
    </xf>
    <xf numFmtId="0" fontId="66" fillId="0" borderId="12" xfId="0" applyFont="1" applyBorder="1" applyAlignment="1">
      <alignment wrapText="1"/>
    </xf>
    <xf numFmtId="0" fontId="66" fillId="0" borderId="13" xfId="0" applyFont="1" applyBorder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66" fillId="0" borderId="12" xfId="0" applyFont="1" applyFill="1" applyBorder="1" applyAlignment="1">
      <alignment wrapText="1"/>
    </xf>
    <xf numFmtId="0" fontId="66" fillId="0" borderId="13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72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right"/>
    </xf>
    <xf numFmtId="49" fontId="0" fillId="0" borderId="10" xfId="0" applyNumberFormat="1" applyFill="1" applyBorder="1" applyAlignment="1">
      <alignment wrapText="1"/>
    </xf>
    <xf numFmtId="0" fontId="73" fillId="0" borderId="10" xfId="0" applyFont="1" applyFill="1" applyBorder="1" applyAlignment="1">
      <alignment horizontal="center"/>
    </xf>
    <xf numFmtId="166" fontId="72" fillId="0" borderId="10" xfId="0" applyNumberFormat="1" applyFont="1" applyFill="1" applyBorder="1" applyAlignment="1">
      <alignment horizontal="center"/>
    </xf>
    <xf numFmtId="3" fontId="74" fillId="2" borderId="10" xfId="0" applyNumberFormat="1" applyFont="1" applyFill="1" applyBorder="1" applyAlignment="1">
      <alignment/>
    </xf>
    <xf numFmtId="3" fontId="72" fillId="0" borderId="10" xfId="0" applyNumberFormat="1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3" fontId="72" fillId="2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166" fontId="12" fillId="0" borderId="10" xfId="0" applyNumberFormat="1" applyFont="1" applyFill="1" applyBorder="1" applyAlignment="1">
      <alignment horizontal="center"/>
    </xf>
    <xf numFmtId="3" fontId="13" fillId="2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2" fillId="0" borderId="2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66" fontId="12" fillId="0" borderId="22" xfId="0" applyNumberFormat="1" applyFont="1" applyFill="1" applyBorder="1" applyAlignment="1">
      <alignment horizontal="center"/>
    </xf>
    <xf numFmtId="3" fontId="13" fillId="2" borderId="22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/>
    </xf>
    <xf numFmtId="3" fontId="13" fillId="2" borderId="10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3" fontId="74" fillId="0" borderId="10" xfId="0" applyNumberFormat="1" applyFont="1" applyFill="1" applyBorder="1" applyAlignment="1">
      <alignment/>
    </xf>
    <xf numFmtId="49" fontId="74" fillId="0" borderId="10" xfId="0" applyNumberFormat="1" applyFont="1" applyFill="1" applyBorder="1" applyAlignment="1">
      <alignment horizontal="center"/>
    </xf>
    <xf numFmtId="3" fontId="74" fillId="0" borderId="10" xfId="0" applyNumberFormat="1" applyFont="1" applyFill="1" applyBorder="1" applyAlignment="1">
      <alignment horizontal="right"/>
    </xf>
    <xf numFmtId="3" fontId="74" fillId="2" borderId="1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66" fontId="0" fillId="0" borderId="10" xfId="0" applyNumberFormat="1" applyBorder="1" applyAlignment="1">
      <alignment horizontal="center"/>
    </xf>
    <xf numFmtId="1" fontId="0" fillId="2" borderId="10" xfId="0" applyNumberForma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1" fillId="0" borderId="1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0" fontId="11" fillId="0" borderId="17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66" fillId="0" borderId="12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20" xfId="0" applyFont="1" applyBorder="1" applyAlignment="1">
      <alignment/>
    </xf>
    <xf numFmtId="3" fontId="0" fillId="0" borderId="10" xfId="0" applyNumberForma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0" fontId="0" fillId="0" borderId="0" xfId="0" applyAlignment="1">
      <alignment/>
    </xf>
    <xf numFmtId="3" fontId="0" fillId="2" borderId="27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2" borderId="10" xfId="0" applyFill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0" fillId="2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10" xfId="0" applyNumberFormat="1" applyFill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2" borderId="10" xfId="0" applyNumberForma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8" xfId="0" applyFont="1" applyBorder="1" applyAlignment="1">
      <alignment/>
    </xf>
    <xf numFmtId="49" fontId="0" fillId="2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right"/>
    </xf>
    <xf numFmtId="49" fontId="0" fillId="2" borderId="1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75" fillId="0" borderId="10" xfId="0" applyFont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164" fontId="75" fillId="0" borderId="10" xfId="0" applyNumberFormat="1" applyFont="1" applyBorder="1" applyAlignment="1">
      <alignment horizontal="center" wrapText="1"/>
    </xf>
    <xf numFmtId="3" fontId="76" fillId="0" borderId="10" xfId="0" applyNumberFormat="1" applyFont="1" applyBorder="1" applyAlignment="1">
      <alignment horizontal="right" wrapText="1"/>
    </xf>
    <xf numFmtId="0" fontId="77" fillId="0" borderId="10" xfId="0" applyFont="1" applyBorder="1" applyAlignment="1">
      <alignment horizontal="center" wrapText="1"/>
    </xf>
    <xf numFmtId="164" fontId="77" fillId="0" borderId="10" xfId="0" applyNumberFormat="1" applyFont="1" applyBorder="1" applyAlignment="1">
      <alignment horizontal="center" wrapText="1"/>
    </xf>
    <xf numFmtId="3" fontId="78" fillId="0" borderId="10" xfId="0" applyNumberFormat="1" applyFont="1" applyBorder="1" applyAlignment="1">
      <alignment horizontal="right" wrapText="1"/>
    </xf>
    <xf numFmtId="0" fontId="77" fillId="0" borderId="11" xfId="0" applyFont="1" applyBorder="1" applyAlignment="1">
      <alignment horizontal="center" wrapText="1"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9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6" xfId="0" applyFont="1" applyBorder="1" applyAlignment="1">
      <alignment/>
    </xf>
    <xf numFmtId="0" fontId="79" fillId="0" borderId="20" xfId="0" applyFont="1" applyBorder="1" applyAlignment="1">
      <alignment/>
    </xf>
    <xf numFmtId="0" fontId="79" fillId="0" borderId="17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3" fontId="76" fillId="0" borderId="22" xfId="0" applyNumberFormat="1" applyFont="1" applyBorder="1" applyAlignment="1">
      <alignment horizontal="right" wrapText="1"/>
    </xf>
    <xf numFmtId="0" fontId="0" fillId="0" borderId="10" xfId="0" applyFill="1" applyBorder="1" applyAlignment="1">
      <alignment/>
    </xf>
    <xf numFmtId="0" fontId="75" fillId="0" borderId="11" xfId="0" applyFont="1" applyBorder="1" applyAlignment="1">
      <alignment horizontal="center" wrapText="1"/>
    </xf>
    <xf numFmtId="3" fontId="0" fillId="0" borderId="28" xfId="0" applyNumberFormat="1" applyFill="1" applyBorder="1" applyAlignment="1">
      <alignment/>
    </xf>
    <xf numFmtId="0" fontId="80" fillId="0" borderId="11" xfId="0" applyFont="1" applyBorder="1" applyAlignment="1">
      <alignment/>
    </xf>
    <xf numFmtId="0" fontId="80" fillId="0" borderId="11" xfId="0" applyFont="1" applyBorder="1" applyAlignment="1">
      <alignment horizontal="center" wrapText="1"/>
    </xf>
    <xf numFmtId="0" fontId="80" fillId="0" borderId="11" xfId="0" applyFont="1" applyBorder="1" applyAlignment="1">
      <alignment horizontal="center"/>
    </xf>
    <xf numFmtId="3" fontId="80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0" fontId="0" fillId="0" borderId="13" xfId="0" applyBorder="1" applyAlignment="1">
      <alignment/>
    </xf>
    <xf numFmtId="0" fontId="66" fillId="0" borderId="0" xfId="0" applyFont="1" applyBorder="1" applyAlignment="1">
      <alignment horizontal="center"/>
    </xf>
    <xf numFmtId="3" fontId="0" fillId="2" borderId="29" xfId="0" applyNumberFormat="1" applyFill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164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2" borderId="22" xfId="0" applyNumberFormat="1" applyFill="1" applyBorder="1" applyAlignment="1">
      <alignment/>
    </xf>
    <xf numFmtId="3" fontId="0" fillId="2" borderId="27" xfId="0" applyNumberForma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3" fontId="0" fillId="2" borderId="31" xfId="0" applyNumberFormat="1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3" fontId="1" fillId="2" borderId="10" xfId="0" applyNumberFormat="1" applyFont="1" applyFill="1" applyBorder="1" applyAlignment="1">
      <alignment horizontal="center" wrapText="1"/>
    </xf>
    <xf numFmtId="3" fontId="9" fillId="2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19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0" fontId="0" fillId="0" borderId="22" xfId="0" applyBorder="1" applyAlignment="1">
      <alignment horizontal="left" vertical="center" wrapText="1"/>
    </xf>
    <xf numFmtId="3" fontId="0" fillId="0" borderId="19" xfId="0" applyNumberFormat="1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32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0" fillId="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66" fillId="0" borderId="13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0" fontId="66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2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 horizontal="center"/>
    </xf>
    <xf numFmtId="0" fontId="18" fillId="0" borderId="0" xfId="0" applyFont="1" applyBorder="1" applyAlignment="1">
      <alignment/>
    </xf>
    <xf numFmtId="0" fontId="83" fillId="0" borderId="33" xfId="0" applyFont="1" applyBorder="1" applyAlignment="1">
      <alignment/>
    </xf>
    <xf numFmtId="166" fontId="0" fillId="0" borderId="2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2" borderId="35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3" fontId="0" fillId="2" borderId="29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166" fontId="0" fillId="0" borderId="37" xfId="0" applyNumberFormat="1" applyBorder="1" applyAlignment="1">
      <alignment/>
    </xf>
    <xf numFmtId="3" fontId="0" fillId="2" borderId="38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164" fontId="0" fillId="0" borderId="37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0" fontId="0" fillId="0" borderId="37" xfId="0" applyBorder="1" applyAlignment="1">
      <alignment wrapText="1"/>
    </xf>
    <xf numFmtId="166" fontId="0" fillId="0" borderId="37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166" fontId="0" fillId="0" borderId="0" xfId="0" applyNumberFormat="1" applyAlignment="1">
      <alignment/>
    </xf>
    <xf numFmtId="3" fontId="0" fillId="0" borderId="41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66" fontId="9" fillId="0" borderId="2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166" fontId="0" fillId="0" borderId="37" xfId="0" applyNumberFormat="1" applyBorder="1" applyAlignment="1">
      <alignment/>
    </xf>
    <xf numFmtId="3" fontId="0" fillId="0" borderId="41" xfId="0" applyNumberFormat="1" applyBorder="1" applyAlignment="1">
      <alignment/>
    </xf>
    <xf numFmtId="166" fontId="0" fillId="0" borderId="23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76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42" xfId="0" applyNumberForma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/>
    </xf>
    <xf numFmtId="3" fontId="0" fillId="2" borderId="43" xfId="0" applyNumberFormat="1" applyFill="1" applyBorder="1" applyAlignment="1">
      <alignment horizontal="center" vertical="center" wrapText="1"/>
    </xf>
    <xf numFmtId="3" fontId="0" fillId="2" borderId="35" xfId="0" applyNumberFormat="1" applyFont="1" applyFill="1" applyBorder="1" applyAlignment="1">
      <alignment horizontal="right"/>
    </xf>
    <xf numFmtId="3" fontId="76" fillId="0" borderId="36" xfId="0" applyNumberFormat="1" applyFont="1" applyBorder="1" applyAlignment="1">
      <alignment horizontal="right" wrapText="1"/>
    </xf>
    <xf numFmtId="3" fontId="76" fillId="0" borderId="36" xfId="0" applyNumberFormat="1" applyFont="1" applyFill="1" applyBorder="1" applyAlignment="1">
      <alignment horizontal="right" wrapText="1"/>
    </xf>
    <xf numFmtId="3" fontId="76" fillId="0" borderId="35" xfId="0" applyNumberFormat="1" applyFont="1" applyBorder="1" applyAlignment="1">
      <alignment horizontal="right" wrapText="1"/>
    </xf>
    <xf numFmtId="3" fontId="0" fillId="0" borderId="36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76" fillId="0" borderId="10" xfId="0" applyFont="1" applyBorder="1" applyAlignment="1">
      <alignment horizontal="right" wrapText="1"/>
    </xf>
    <xf numFmtId="3" fontId="0" fillId="0" borderId="35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 vertical="center"/>
    </xf>
    <xf numFmtId="0" fontId="66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/>
    </xf>
    <xf numFmtId="3" fontId="66" fillId="0" borderId="0" xfId="0" applyNumberFormat="1" applyFont="1" applyAlignment="1">
      <alignment/>
    </xf>
    <xf numFmtId="3" fontId="0" fillId="2" borderId="10" xfId="0" applyNumberFormat="1" applyFill="1" applyBorder="1" applyAlignment="1">
      <alignment wrapText="1"/>
    </xf>
    <xf numFmtId="3" fontId="0" fillId="0" borderId="0" xfId="0" applyNumberFormat="1" applyFill="1" applyAlignment="1">
      <alignment/>
    </xf>
    <xf numFmtId="3" fontId="0" fillId="2" borderId="10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Border="1" applyAlignment="1">
      <alignment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2" borderId="10" xfId="0" applyNumberFormat="1" applyFill="1" applyBorder="1" applyAlignment="1">
      <alignment horizontal="right" wrapText="1"/>
    </xf>
    <xf numFmtId="3" fontId="0" fillId="0" borderId="35" xfId="0" applyNumberFormat="1" applyBorder="1" applyAlignment="1">
      <alignment horizontal="right" wrapText="1"/>
    </xf>
    <xf numFmtId="166" fontId="0" fillId="0" borderId="23" xfId="0" applyNumberFormat="1" applyBorder="1" applyAlignment="1">
      <alignment horizontal="right" wrapText="1"/>
    </xf>
    <xf numFmtId="166" fontId="0" fillId="0" borderId="37" xfId="0" applyNumberFormat="1" applyBorder="1" applyAlignment="1">
      <alignment horizontal="right" wrapText="1"/>
    </xf>
    <xf numFmtId="0" fontId="66" fillId="0" borderId="10" xfId="0" applyFont="1" applyBorder="1" applyAlignment="1">
      <alignment horizontal="left" wrapText="1"/>
    </xf>
    <xf numFmtId="0" fontId="66" fillId="0" borderId="10" xfId="0" applyFont="1" applyFill="1" applyBorder="1" applyAlignment="1">
      <alignment horizontal="left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wrapText="1"/>
    </xf>
    <xf numFmtId="3" fontId="0" fillId="0" borderId="44" xfId="0" applyNumberFormat="1" applyBorder="1" applyAlignment="1">
      <alignment horizontal="right"/>
    </xf>
    <xf numFmtId="0" fontId="73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 horizontal="right"/>
    </xf>
    <xf numFmtId="0" fontId="84" fillId="0" borderId="10" xfId="0" applyFont="1" applyFill="1" applyBorder="1" applyAlignment="1">
      <alignment horizontal="left"/>
    </xf>
    <xf numFmtId="166" fontId="0" fillId="0" borderId="2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76" fillId="0" borderId="22" xfId="0" applyFont="1" applyBorder="1" applyAlignment="1">
      <alignment wrapText="1"/>
    </xf>
    <xf numFmtId="0" fontId="21" fillId="0" borderId="22" xfId="0" applyFont="1" applyBorder="1" applyAlignment="1">
      <alignment horizontal="right" wrapText="1"/>
    </xf>
    <xf numFmtId="3" fontId="76" fillId="2" borderId="22" xfId="0" applyNumberFormat="1" applyFont="1" applyFill="1" applyBorder="1" applyAlignment="1">
      <alignment wrapText="1"/>
    </xf>
    <xf numFmtId="3" fontId="76" fillId="0" borderId="22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66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66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2" borderId="22" xfId="0" applyNumberFormat="1" applyFont="1" applyFill="1" applyBorder="1" applyAlignment="1">
      <alignment/>
    </xf>
    <xf numFmtId="166" fontId="0" fillId="0" borderId="11" xfId="0" applyNumberFormat="1" applyBorder="1" applyAlignment="1">
      <alignment horizontal="center"/>
    </xf>
    <xf numFmtId="3" fontId="66" fillId="0" borderId="0" xfId="0" applyNumberFormat="1" applyFont="1" applyBorder="1" applyAlignment="1">
      <alignment/>
    </xf>
    <xf numFmtId="0" fontId="66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66" fillId="0" borderId="20" xfId="0" applyFont="1" applyBorder="1" applyAlignment="1">
      <alignment horizontal="right"/>
    </xf>
    <xf numFmtId="3" fontId="0" fillId="0" borderId="22" xfId="0" applyNumberFormat="1" applyFill="1" applyBorder="1" applyAlignment="1">
      <alignment/>
    </xf>
    <xf numFmtId="3" fontId="1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76" fillId="0" borderId="10" xfId="0" applyFont="1" applyBorder="1" applyAlignment="1">
      <alignment/>
    </xf>
    <xf numFmtId="166" fontId="76" fillId="0" borderId="23" xfId="0" applyNumberFormat="1" applyFont="1" applyBorder="1" applyAlignment="1">
      <alignment horizontal="right" wrapText="1"/>
    </xf>
    <xf numFmtId="0" fontId="66" fillId="0" borderId="20" xfId="0" applyFont="1" applyBorder="1" applyAlignment="1">
      <alignment horizontal="right" wrapText="1"/>
    </xf>
    <xf numFmtId="0" fontId="66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 wrapText="1"/>
    </xf>
    <xf numFmtId="3" fontId="0" fillId="2" borderId="19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66" fillId="0" borderId="0" xfId="0" applyFont="1" applyBorder="1" applyAlignment="1">
      <alignment horizontal="right" wrapText="1"/>
    </xf>
    <xf numFmtId="3" fontId="0" fillId="2" borderId="27" xfId="0" applyNumberFormat="1" applyFill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2" borderId="26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4" xfId="0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0" fontId="74" fillId="0" borderId="10" xfId="0" applyFont="1" applyFill="1" applyBorder="1" applyAlignment="1">
      <alignment wrapText="1"/>
    </xf>
    <xf numFmtId="0" fontId="76" fillId="0" borderId="10" xfId="0" applyFont="1" applyFill="1" applyBorder="1" applyAlignment="1">
      <alignment horizontal="right" wrapText="1"/>
    </xf>
    <xf numFmtId="0" fontId="66" fillId="0" borderId="12" xfId="0" applyFont="1" applyFill="1" applyBorder="1" applyAlignment="1">
      <alignment wrapText="1"/>
    </xf>
    <xf numFmtId="0" fontId="66" fillId="0" borderId="20" xfId="0" applyFont="1" applyBorder="1" applyAlignment="1">
      <alignment horizontal="right"/>
    </xf>
    <xf numFmtId="3" fontId="0" fillId="2" borderId="30" xfId="0" applyNumberFormat="1" applyFill="1" applyBorder="1" applyAlignment="1">
      <alignment horizontal="center" vertical="center" wrapText="1"/>
    </xf>
    <xf numFmtId="3" fontId="0" fillId="2" borderId="29" xfId="0" applyNumberFormat="1" applyFill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left"/>
    </xf>
    <xf numFmtId="0" fontId="74" fillId="0" borderId="0" xfId="0" applyFont="1" applyFill="1" applyBorder="1" applyAlignment="1">
      <alignment/>
    </xf>
    <xf numFmtId="0" fontId="84" fillId="0" borderId="0" xfId="0" applyFont="1" applyAlignment="1">
      <alignment horizontal="right"/>
    </xf>
    <xf numFmtId="0" fontId="84" fillId="0" borderId="0" xfId="0" applyFont="1" applyAlignment="1">
      <alignment vertical="center"/>
    </xf>
    <xf numFmtId="0" fontId="74" fillId="0" borderId="0" xfId="0" applyFont="1" applyBorder="1" applyAlignment="1">
      <alignment/>
    </xf>
    <xf numFmtId="1" fontId="9" fillId="0" borderId="22" xfId="0" applyNumberFormat="1" applyFont="1" applyFill="1" applyBorder="1" applyAlignment="1">
      <alignment horizontal="right" wrapText="1"/>
    </xf>
    <xf numFmtId="1" fontId="9" fillId="0" borderId="10" xfId="0" applyNumberFormat="1" applyFont="1" applyFill="1" applyBorder="1" applyAlignment="1">
      <alignment horizontal="right" wrapText="1"/>
    </xf>
    <xf numFmtId="0" fontId="76" fillId="0" borderId="22" xfId="0" applyFont="1" applyFill="1" applyBorder="1" applyAlignment="1">
      <alignment wrapText="1"/>
    </xf>
    <xf numFmtId="0" fontId="79" fillId="0" borderId="22" xfId="0" applyFont="1" applyBorder="1" applyAlignment="1">
      <alignment horizontal="right" wrapText="1"/>
    </xf>
    <xf numFmtId="0" fontId="0" fillId="2" borderId="22" xfId="0" applyFill="1" applyBorder="1" applyAlignment="1">
      <alignment/>
    </xf>
    <xf numFmtId="0" fontId="66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3" fontId="12" fillId="0" borderId="22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/>
    </xf>
    <xf numFmtId="0" fontId="13" fillId="2" borderId="22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right"/>
    </xf>
    <xf numFmtId="0" fontId="72" fillId="0" borderId="22" xfId="0" applyFont="1" applyFill="1" applyBorder="1" applyAlignment="1">
      <alignment horizontal="center" wrapText="1"/>
    </xf>
    <xf numFmtId="0" fontId="72" fillId="0" borderId="22" xfId="0" applyFont="1" applyFill="1" applyBorder="1" applyAlignment="1">
      <alignment horizontal="center"/>
    </xf>
    <xf numFmtId="0" fontId="72" fillId="0" borderId="22" xfId="0" applyFont="1" applyFill="1" applyBorder="1" applyAlignment="1">
      <alignment horizontal="right"/>
    </xf>
    <xf numFmtId="49" fontId="0" fillId="0" borderId="22" xfId="0" applyNumberFormat="1" applyFill="1" applyBorder="1" applyAlignment="1">
      <alignment horizontal="right" wrapText="1"/>
    </xf>
    <xf numFmtId="0" fontId="73" fillId="0" borderId="22" xfId="0" applyFont="1" applyFill="1" applyBorder="1" applyAlignment="1">
      <alignment horizontal="center"/>
    </xf>
    <xf numFmtId="166" fontId="72" fillId="0" borderId="22" xfId="0" applyNumberFormat="1" applyFont="1" applyFill="1" applyBorder="1" applyAlignment="1">
      <alignment horizontal="center"/>
    </xf>
    <xf numFmtId="3" fontId="74" fillId="2" borderId="22" xfId="0" applyNumberFormat="1" applyFont="1" applyFill="1" applyBorder="1" applyAlignment="1">
      <alignment/>
    </xf>
    <xf numFmtId="3" fontId="72" fillId="0" borderId="22" xfId="0" applyNumberFormat="1" applyFont="1" applyFill="1" applyBorder="1" applyAlignment="1">
      <alignment/>
    </xf>
    <xf numFmtId="3" fontId="74" fillId="0" borderId="22" xfId="0" applyNumberFormat="1" applyFont="1" applyFill="1" applyBorder="1" applyAlignment="1">
      <alignment/>
    </xf>
    <xf numFmtId="49" fontId="0" fillId="0" borderId="22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right" wrapText="1"/>
    </xf>
    <xf numFmtId="0" fontId="74" fillId="2" borderId="22" xfId="0" applyFont="1" applyFill="1" applyBorder="1" applyAlignment="1">
      <alignment/>
    </xf>
    <xf numFmtId="0" fontId="74" fillId="0" borderId="22" xfId="0" applyFont="1" applyFill="1" applyBorder="1" applyAlignment="1">
      <alignment horizontal="center"/>
    </xf>
    <xf numFmtId="0" fontId="0" fillId="0" borderId="22" xfId="0" applyNumberFormat="1" applyFill="1" applyBorder="1" applyAlignment="1">
      <alignment wrapText="1"/>
    </xf>
    <xf numFmtId="3" fontId="72" fillId="0" borderId="22" xfId="0" applyNumberFormat="1" applyFont="1" applyFill="1" applyBorder="1" applyAlignment="1">
      <alignment wrapText="1"/>
    </xf>
    <xf numFmtId="0" fontId="74" fillId="0" borderId="22" xfId="0" applyFont="1" applyFill="1" applyBorder="1" applyAlignment="1">
      <alignment/>
    </xf>
    <xf numFmtId="0" fontId="73" fillId="0" borderId="22" xfId="0" applyFont="1" applyFill="1" applyBorder="1" applyAlignment="1">
      <alignment horizontal="right"/>
    </xf>
    <xf numFmtId="3" fontId="74" fillId="0" borderId="22" xfId="0" applyNumberFormat="1" applyFont="1" applyFill="1" applyBorder="1" applyAlignment="1">
      <alignment/>
    </xf>
    <xf numFmtId="3" fontId="72" fillId="2" borderId="22" xfId="0" applyNumberFormat="1" applyFont="1" applyFill="1" applyBorder="1" applyAlignment="1">
      <alignment horizontal="center"/>
    </xf>
    <xf numFmtId="3" fontId="72" fillId="0" borderId="22" xfId="0" applyNumberFormat="1" applyFont="1" applyFill="1" applyBorder="1" applyAlignment="1">
      <alignment horizontal="right"/>
    </xf>
    <xf numFmtId="3" fontId="72" fillId="2" borderId="22" xfId="0" applyNumberFormat="1" applyFont="1" applyFill="1" applyBorder="1" applyAlignment="1">
      <alignment/>
    </xf>
    <xf numFmtId="49" fontId="74" fillId="0" borderId="22" xfId="0" applyNumberFormat="1" applyFont="1" applyFill="1" applyBorder="1" applyAlignment="1">
      <alignment horizontal="center"/>
    </xf>
    <xf numFmtId="164" fontId="66" fillId="0" borderId="22" xfId="0" applyNumberFormat="1" applyFont="1" applyBorder="1" applyAlignment="1">
      <alignment horizontal="left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center" wrapText="1"/>
    </xf>
    <xf numFmtId="3" fontId="0" fillId="0" borderId="22" xfId="0" applyNumberFormat="1" applyFill="1" applyBorder="1" applyAlignment="1">
      <alignment horizontal="right" vertical="center" wrapText="1"/>
    </xf>
    <xf numFmtId="3" fontId="0" fillId="2" borderId="22" xfId="0" applyNumberForma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22" xfId="0" applyFont="1" applyFill="1" applyBorder="1" applyAlignment="1">
      <alignment/>
    </xf>
    <xf numFmtId="0" fontId="0" fillId="0" borderId="37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22" xfId="0" applyNumberFormat="1" applyFont="1" applyBorder="1" applyAlignment="1">
      <alignment/>
    </xf>
    <xf numFmtId="166" fontId="1" fillId="0" borderId="22" xfId="0" applyNumberFormat="1" applyFont="1" applyBorder="1" applyAlignment="1">
      <alignment wrapText="1"/>
    </xf>
    <xf numFmtId="166" fontId="0" fillId="0" borderId="46" xfId="0" applyNumberFormat="1" applyFont="1" applyBorder="1" applyAlignment="1">
      <alignment/>
    </xf>
    <xf numFmtId="0" fontId="18" fillId="0" borderId="10" xfId="0" applyFont="1" applyBorder="1" applyAlignment="1">
      <alignment horizontal="right"/>
    </xf>
    <xf numFmtId="0" fontId="66" fillId="0" borderId="22" xfId="0" applyFont="1" applyBorder="1" applyAlignment="1">
      <alignment/>
    </xf>
    <xf numFmtId="0" fontId="75" fillId="0" borderId="10" xfId="0" applyFont="1" applyFill="1" applyBorder="1" applyAlignment="1">
      <alignment horizontal="right" wrapText="1"/>
    </xf>
    <xf numFmtId="0" fontId="77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66" fillId="0" borderId="22" xfId="0" applyFont="1" applyBorder="1" applyAlignment="1">
      <alignment horizontal="right"/>
    </xf>
    <xf numFmtId="0" fontId="0" fillId="0" borderId="47" xfId="0" applyBorder="1" applyAlignment="1">
      <alignment wrapText="1"/>
    </xf>
    <xf numFmtId="0" fontId="66" fillId="0" borderId="22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4" fillId="0" borderId="23" xfId="0" applyFont="1" applyBorder="1" applyAlignment="1">
      <alignment/>
    </xf>
    <xf numFmtId="0" fontId="74" fillId="0" borderId="0" xfId="0" applyFont="1" applyAlignment="1">
      <alignment wrapText="1"/>
    </xf>
    <xf numFmtId="164" fontId="74" fillId="0" borderId="0" xfId="0" applyNumberFormat="1" applyFont="1" applyAlignment="1">
      <alignment horizontal="center"/>
    </xf>
    <xf numFmtId="3" fontId="0" fillId="2" borderId="30" xfId="0" applyNumberFormat="1" applyFill="1" applyBorder="1" applyAlignment="1">
      <alignment horizontal="center" vertical="center" wrapText="1"/>
    </xf>
    <xf numFmtId="3" fontId="0" fillId="2" borderId="29" xfId="0" applyNumberFormat="1" applyFill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wrapText="1"/>
    </xf>
    <xf numFmtId="0" fontId="82" fillId="33" borderId="10" xfId="0" applyFont="1" applyFill="1" applyBorder="1" applyAlignment="1">
      <alignment horizontal="center"/>
    </xf>
    <xf numFmtId="0" fontId="66" fillId="0" borderId="15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166" fontId="0" fillId="0" borderId="21" xfId="0" applyNumberFormat="1" applyBorder="1" applyAlignment="1">
      <alignment/>
    </xf>
    <xf numFmtId="3" fontId="0" fillId="2" borderId="2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33" borderId="10" xfId="0" applyNumberForma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166" fontId="0" fillId="0" borderId="11" xfId="0" applyNumberFormat="1" applyFill="1" applyBorder="1" applyAlignment="1">
      <alignment wrapText="1"/>
    </xf>
    <xf numFmtId="3" fontId="0" fillId="33" borderId="22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 wrapText="1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3" fontId="0" fillId="2" borderId="29" xfId="0" applyNumberForma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164" fontId="0" fillId="0" borderId="22" xfId="0" applyNumberForma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66" fillId="0" borderId="0" xfId="0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82" fillId="35" borderId="10" xfId="0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166" fontId="74" fillId="0" borderId="22" xfId="0" applyNumberFormat="1" applyFont="1" applyFill="1" applyBorder="1" applyAlignment="1">
      <alignment horizontal="center"/>
    </xf>
    <xf numFmtId="166" fontId="74" fillId="0" borderId="10" xfId="0" applyNumberFormat="1" applyFont="1" applyFill="1" applyBorder="1" applyAlignment="1">
      <alignment horizontal="center"/>
    </xf>
    <xf numFmtId="0" fontId="82" fillId="35" borderId="22" xfId="0" applyFont="1" applyFill="1" applyBorder="1" applyAlignment="1">
      <alignment horizontal="center" vertical="center"/>
    </xf>
    <xf numFmtId="165" fontId="74" fillId="0" borderId="0" xfId="0" applyNumberFormat="1" applyFont="1" applyFill="1" applyAlignment="1">
      <alignment/>
    </xf>
    <xf numFmtId="0" fontId="84" fillId="0" borderId="22" xfId="0" applyFont="1" applyFill="1" applyBorder="1" applyAlignment="1">
      <alignment horizontal="center"/>
    </xf>
    <xf numFmtId="3" fontId="74" fillId="6" borderId="22" xfId="0" applyNumberFormat="1" applyFont="1" applyFill="1" applyBorder="1" applyAlignment="1">
      <alignment horizontal="right"/>
    </xf>
    <xf numFmtId="0" fontId="74" fillId="0" borderId="0" xfId="0" applyFont="1" applyFill="1" applyAlignment="1">
      <alignment horizontal="center"/>
    </xf>
    <xf numFmtId="3" fontId="72" fillId="6" borderId="10" xfId="0" applyNumberFormat="1" applyFont="1" applyFill="1" applyBorder="1" applyAlignment="1">
      <alignment/>
    </xf>
    <xf numFmtId="3" fontId="13" fillId="35" borderId="22" xfId="0" applyNumberFormat="1" applyFont="1" applyFill="1" applyBorder="1" applyAlignment="1">
      <alignment/>
    </xf>
    <xf numFmtId="0" fontId="82" fillId="35" borderId="10" xfId="0" applyFont="1" applyFill="1" applyBorder="1" applyAlignment="1">
      <alignment horizontal="center"/>
    </xf>
    <xf numFmtId="0" fontId="82" fillId="35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3" fontId="12" fillId="35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82" fillId="33" borderId="22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right"/>
    </xf>
    <xf numFmtId="0" fontId="76" fillId="0" borderId="10" xfId="0" applyFont="1" applyBorder="1" applyAlignment="1">
      <alignment wrapText="1"/>
    </xf>
    <xf numFmtId="0" fontId="76" fillId="0" borderId="21" xfId="0" applyFont="1" applyBorder="1" applyAlignment="1">
      <alignment wrapText="1"/>
    </xf>
    <xf numFmtId="0" fontId="20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right" wrapText="1"/>
    </xf>
    <xf numFmtId="0" fontId="82" fillId="33" borderId="22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/>
    </xf>
    <xf numFmtId="0" fontId="82" fillId="33" borderId="11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82" fillId="33" borderId="1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2" fillId="33" borderId="22" xfId="0" applyFon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2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6" fillId="0" borderId="11" xfId="0" applyFont="1" applyBorder="1" applyAlignment="1">
      <alignment horizontal="center" wrapText="1"/>
    </xf>
    <xf numFmtId="0" fontId="76" fillId="0" borderId="15" xfId="0" applyFont="1" applyFill="1" applyBorder="1" applyAlignment="1">
      <alignment horizontal="center" wrapText="1"/>
    </xf>
    <xf numFmtId="3" fontId="66" fillId="33" borderId="45" xfId="0" applyNumberFormat="1" applyFont="1" applyFill="1" applyBorder="1" applyAlignment="1">
      <alignment/>
    </xf>
    <xf numFmtId="3" fontId="76" fillId="2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9" fillId="33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82" fillId="33" borderId="2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79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76" fillId="0" borderId="11" xfId="0" applyFont="1" applyBorder="1" applyAlignment="1">
      <alignment wrapText="1"/>
    </xf>
    <xf numFmtId="0" fontId="76" fillId="0" borderId="11" xfId="0" applyFont="1" applyBorder="1" applyAlignment="1">
      <alignment/>
    </xf>
    <xf numFmtId="0" fontId="79" fillId="0" borderId="17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9" fillId="0" borderId="11" xfId="0" applyFont="1" applyBorder="1" applyAlignment="1">
      <alignment horizontal="left"/>
    </xf>
    <xf numFmtId="0" fontId="79" fillId="0" borderId="13" xfId="0" applyFont="1" applyBorder="1" applyAlignment="1">
      <alignment horizontal="left"/>
    </xf>
    <xf numFmtId="0" fontId="76" fillId="0" borderId="10" xfId="0" applyFont="1" applyBorder="1" applyAlignment="1">
      <alignment horizontal="left"/>
    </xf>
    <xf numFmtId="3" fontId="3" fillId="33" borderId="4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33" borderId="47" xfId="0" applyFill="1" applyBorder="1" applyAlignment="1">
      <alignment/>
    </xf>
    <xf numFmtId="3" fontId="0" fillId="33" borderId="22" xfId="0" applyNumberFormat="1" applyFill="1" applyBorder="1" applyAlignment="1">
      <alignment wrapText="1"/>
    </xf>
    <xf numFmtId="3" fontId="0" fillId="0" borderId="36" xfId="0" applyNumberFormat="1" applyBorder="1" applyAlignment="1">
      <alignment horizontal="right" wrapText="1"/>
    </xf>
    <xf numFmtId="3" fontId="0" fillId="33" borderId="47" xfId="0" applyNumberFormat="1" applyFill="1" applyBorder="1" applyAlignment="1">
      <alignment/>
    </xf>
    <xf numFmtId="3" fontId="0" fillId="33" borderId="47" xfId="0" applyNumberForma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Border="1" applyAlignment="1">
      <alignment horizontal="center" vertical="center"/>
    </xf>
    <xf numFmtId="3" fontId="0" fillId="36" borderId="10" xfId="0" applyNumberFormat="1" applyFill="1" applyBorder="1" applyAlignment="1">
      <alignment horizontal="right"/>
    </xf>
    <xf numFmtId="166" fontId="0" fillId="0" borderId="3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4" fontId="0" fillId="0" borderId="37" xfId="0" applyNumberFormat="1" applyBorder="1" applyAlignment="1">
      <alignment/>
    </xf>
    <xf numFmtId="164" fontId="0" fillId="0" borderId="23" xfId="0" applyNumberFormat="1" applyBorder="1" applyAlignment="1">
      <alignment/>
    </xf>
    <xf numFmtId="3" fontId="3" fillId="33" borderId="45" xfId="0" applyNumberFormat="1" applyFont="1" applyFill="1" applyBorder="1" applyAlignment="1">
      <alignment horizontal="right"/>
    </xf>
    <xf numFmtId="0" fontId="85" fillId="0" borderId="0" xfId="0" applyFont="1" applyAlignment="1">
      <alignment horizontal="left"/>
    </xf>
    <xf numFmtId="0" fontId="0" fillId="0" borderId="0" xfId="0" applyAlignment="1">
      <alignment horizontal="left"/>
    </xf>
    <xf numFmtId="0" fontId="66" fillId="0" borderId="0" xfId="0" applyFont="1" applyAlignment="1">
      <alignment horizontal="left"/>
    </xf>
    <xf numFmtId="3" fontId="0" fillId="33" borderId="10" xfId="0" applyNumberFormat="1" applyFill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8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8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right" wrapText="1"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 vertical="center" wrapText="1"/>
    </xf>
    <xf numFmtId="164" fontId="0" fillId="0" borderId="22" xfId="0" applyNumberFormat="1" applyFill="1" applyBorder="1" applyAlignment="1">
      <alignment horizontal="right" vertical="center" wrapText="1"/>
    </xf>
    <xf numFmtId="0" fontId="0" fillId="2" borderId="22" xfId="0" applyFill="1" applyBorder="1" applyAlignment="1">
      <alignment horizontal="center" vertical="center"/>
    </xf>
    <xf numFmtId="0" fontId="76" fillId="0" borderId="11" xfId="0" applyFont="1" applyBorder="1" applyAlignment="1">
      <alignment horizontal="right" wrapText="1"/>
    </xf>
    <xf numFmtId="3" fontId="0" fillId="0" borderId="36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0" fillId="35" borderId="47" xfId="0" applyNumberFormat="1" applyFill="1" applyBorder="1" applyAlignment="1">
      <alignment/>
    </xf>
    <xf numFmtId="3" fontId="3" fillId="35" borderId="45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66" fillId="0" borderId="12" xfId="0" applyFont="1" applyBorder="1" applyAlignment="1">
      <alignment horizontal="right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left"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164" fontId="0" fillId="34" borderId="10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/>
    </xf>
    <xf numFmtId="166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0" fontId="76" fillId="33" borderId="10" xfId="0" applyFont="1" applyFill="1" applyBorder="1" applyAlignment="1">
      <alignment/>
    </xf>
    <xf numFmtId="0" fontId="79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horizontal="right" wrapText="1"/>
    </xf>
    <xf numFmtId="0" fontId="79" fillId="0" borderId="10" xfId="0" applyFont="1" applyFill="1" applyBorder="1" applyAlignment="1">
      <alignment horizontal="right" wrapText="1"/>
    </xf>
    <xf numFmtId="0" fontId="79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22" xfId="0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 wrapText="1"/>
    </xf>
    <xf numFmtId="3" fontId="8" fillId="2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wrapText="1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22" xfId="0" applyFill="1" applyBorder="1" applyAlignment="1">
      <alignment wrapText="1"/>
    </xf>
    <xf numFmtId="43" fontId="0" fillId="0" borderId="22" xfId="42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6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4" fillId="0" borderId="10" xfId="0" applyFont="1" applyBorder="1" applyAlignment="1">
      <alignment horizontal="center"/>
    </xf>
    <xf numFmtId="0" fontId="82" fillId="35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2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74" fillId="0" borderId="10" xfId="0" applyFont="1" applyBorder="1" applyAlignment="1">
      <alignment/>
    </xf>
    <xf numFmtId="3" fontId="74" fillId="0" borderId="10" xfId="0" applyNumberFormat="1" applyFont="1" applyBorder="1" applyAlignment="1">
      <alignment/>
    </xf>
    <xf numFmtId="3" fontId="74" fillId="35" borderId="10" xfId="0" applyNumberFormat="1" applyFont="1" applyFill="1" applyBorder="1" applyAlignment="1">
      <alignment/>
    </xf>
    <xf numFmtId="0" fontId="74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84" fillId="0" borderId="10" xfId="0" applyFont="1" applyBorder="1" applyAlignment="1">
      <alignment horizontal="right"/>
    </xf>
    <xf numFmtId="166" fontId="74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right" vertical="center" wrapText="1"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33" borderId="26" xfId="0" applyFill="1" applyBorder="1" applyAlignment="1">
      <alignment/>
    </xf>
    <xf numFmtId="3" fontId="0" fillId="0" borderId="26" xfId="0" applyNumberFormat="1" applyBorder="1" applyAlignment="1">
      <alignment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49" fontId="0" fillId="33" borderId="10" xfId="0" applyNumberFormat="1" applyFill="1" applyBorder="1" applyAlignment="1">
      <alignment wrapText="1"/>
    </xf>
    <xf numFmtId="49" fontId="0" fillId="33" borderId="22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42" xfId="0" applyNumberForma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6" fillId="0" borderId="15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/>
    </xf>
    <xf numFmtId="3" fontId="0" fillId="0" borderId="22" xfId="0" applyNumberFormat="1" applyBorder="1" applyAlignment="1">
      <alignment/>
    </xf>
    <xf numFmtId="0" fontId="0" fillId="2" borderId="10" xfId="0" applyFill="1" applyBorder="1" applyAlignment="1">
      <alignment/>
    </xf>
    <xf numFmtId="3" fontId="0" fillId="0" borderId="22" xfId="0" applyNumberFormat="1" applyBorder="1" applyAlignment="1">
      <alignment wrapText="1"/>
    </xf>
    <xf numFmtId="3" fontId="0" fillId="0" borderId="29" xfId="0" applyNumberFormat="1" applyBorder="1" applyAlignment="1">
      <alignment horizontal="right"/>
    </xf>
    <xf numFmtId="0" fontId="66" fillId="0" borderId="22" xfId="0" applyFont="1" applyBorder="1" applyAlignment="1">
      <alignment horizontal="right" wrapText="1"/>
    </xf>
    <xf numFmtId="0" fontId="66" fillId="0" borderId="10" xfId="0" applyFont="1" applyBorder="1" applyAlignment="1">
      <alignment wrapText="1"/>
    </xf>
    <xf numFmtId="3" fontId="0" fillId="35" borderId="47" xfId="0" applyNumberFormat="1" applyFill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33" borderId="47" xfId="0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12" fontId="0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6" fontId="0" fillId="0" borderId="10" xfId="0" applyNumberFormat="1" applyFont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33" borderId="10" xfId="0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11" xfId="0" applyFont="1" applyBorder="1" applyAlignment="1">
      <alignment horizontal="left"/>
    </xf>
    <xf numFmtId="0" fontId="8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 wrapText="1"/>
    </xf>
    <xf numFmtId="0" fontId="88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42" xfId="0" applyNumberFormat="1" applyFill="1" applyBorder="1" applyAlignment="1">
      <alignment horizontal="center" vertical="center" wrapText="1"/>
    </xf>
    <xf numFmtId="0" fontId="77" fillId="0" borderId="52" xfId="0" applyFont="1" applyBorder="1" applyAlignment="1">
      <alignment horizontal="center" wrapText="1"/>
    </xf>
    <xf numFmtId="164" fontId="0" fillId="0" borderId="22" xfId="0" applyNumberFormat="1" applyBorder="1" applyAlignment="1">
      <alignment/>
    </xf>
    <xf numFmtId="0" fontId="82" fillId="33" borderId="21" xfId="0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 wrapText="1"/>
    </xf>
    <xf numFmtId="3" fontId="0" fillId="2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37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left"/>
    </xf>
    <xf numFmtId="3" fontId="3" fillId="33" borderId="47" xfId="0" applyNumberFormat="1" applyFont="1" applyFill="1" applyBorder="1" applyAlignment="1">
      <alignment/>
    </xf>
    <xf numFmtId="0" fontId="89" fillId="0" borderId="10" xfId="0" applyFont="1" applyBorder="1" applyAlignment="1">
      <alignment horizontal="center" wrapText="1"/>
    </xf>
    <xf numFmtId="3" fontId="0" fillId="2" borderId="41" xfId="0" applyNumberFormat="1" applyFill="1" applyBorder="1" applyAlignment="1">
      <alignment/>
    </xf>
    <xf numFmtId="166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 vertical="center"/>
    </xf>
    <xf numFmtId="0" fontId="0" fillId="36" borderId="22" xfId="0" applyFill="1" applyBorder="1" applyAlignment="1">
      <alignment vertical="center"/>
    </xf>
    <xf numFmtId="3" fontId="0" fillId="36" borderId="10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164" fontId="0" fillId="0" borderId="23" xfId="0" applyNumberFormat="1" applyFill="1" applyBorder="1" applyAlignment="1">
      <alignment horizontal="right" vertical="center" wrapText="1"/>
    </xf>
    <xf numFmtId="3" fontId="0" fillId="0" borderId="29" xfId="0" applyNumberFormat="1" applyFill="1" applyBorder="1" applyAlignment="1">
      <alignment horizontal="right" vertical="center" wrapText="1"/>
    </xf>
    <xf numFmtId="3" fontId="0" fillId="2" borderId="27" xfId="0" applyNumberFormat="1" applyFill="1" applyBorder="1" applyAlignment="1">
      <alignment horizontal="right" vertical="center" wrapText="1"/>
    </xf>
    <xf numFmtId="3" fontId="0" fillId="0" borderId="30" xfId="0" applyNumberFormat="1" applyFill="1" applyBorder="1" applyAlignment="1">
      <alignment horizontal="right" vertical="center" wrapText="1"/>
    </xf>
    <xf numFmtId="0" fontId="74" fillId="0" borderId="0" xfId="0" applyFont="1" applyBorder="1" applyAlignment="1">
      <alignment horizontal="center" vertical="center"/>
    </xf>
    <xf numFmtId="166" fontId="76" fillId="0" borderId="23" xfId="0" applyNumberFormat="1" applyFont="1" applyBorder="1" applyAlignment="1">
      <alignment/>
    </xf>
    <xf numFmtId="3" fontId="0" fillId="2" borderId="41" xfId="0" applyNumberFormat="1" applyFont="1" applyFill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76" fillId="0" borderId="34" xfId="0" applyNumberFormat="1" applyFont="1" applyBorder="1" applyAlignment="1">
      <alignment horizontal="right" wrapText="1"/>
    </xf>
    <xf numFmtId="3" fontId="66" fillId="33" borderId="47" xfId="0" applyNumberFormat="1" applyFont="1" applyFill="1" applyBorder="1" applyAlignment="1">
      <alignment/>
    </xf>
    <xf numFmtId="3" fontId="66" fillId="0" borderId="41" xfId="0" applyNumberFormat="1" applyFont="1" applyBorder="1" applyAlignment="1">
      <alignment/>
    </xf>
    <xf numFmtId="0" fontId="66" fillId="36" borderId="26" xfId="0" applyFont="1" applyFill="1" applyBorder="1" applyAlignment="1">
      <alignment/>
    </xf>
    <xf numFmtId="0" fontId="66" fillId="36" borderId="34" xfId="0" applyFont="1" applyFill="1" applyBorder="1" applyAlignment="1">
      <alignment/>
    </xf>
    <xf numFmtId="3" fontId="66" fillId="36" borderId="38" xfId="0" applyNumberFormat="1" applyFont="1" applyFill="1" applyBorder="1" applyAlignment="1">
      <alignment/>
    </xf>
    <xf numFmtId="0" fontId="66" fillId="36" borderId="22" xfId="0" applyFont="1" applyFill="1" applyBorder="1" applyAlignment="1">
      <alignment/>
    </xf>
    <xf numFmtId="3" fontId="66" fillId="0" borderId="22" xfId="0" applyNumberFormat="1" applyFont="1" applyFill="1" applyBorder="1" applyAlignment="1">
      <alignment/>
    </xf>
    <xf numFmtId="3" fontId="66" fillId="0" borderId="39" xfId="0" applyNumberFormat="1" applyFont="1" applyFill="1" applyBorder="1" applyAlignment="1">
      <alignment/>
    </xf>
    <xf numFmtId="3" fontId="66" fillId="0" borderId="35" xfId="0" applyNumberFormat="1" applyFont="1" applyBorder="1" applyAlignment="1">
      <alignment/>
    </xf>
    <xf numFmtId="0" fontId="66" fillId="36" borderId="10" xfId="0" applyFont="1" applyFill="1" applyBorder="1" applyAlignment="1">
      <alignment/>
    </xf>
    <xf numFmtId="0" fontId="66" fillId="36" borderId="36" xfId="0" applyFont="1" applyFill="1" applyBorder="1" applyAlignment="1">
      <alignment/>
    </xf>
    <xf numFmtId="0" fontId="66" fillId="36" borderId="35" xfId="0" applyFont="1" applyFill="1" applyBorder="1" applyAlignment="1">
      <alignment/>
    </xf>
    <xf numFmtId="3" fontId="66" fillId="0" borderId="10" xfId="0" applyNumberFormat="1" applyFont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66" fillId="0" borderId="36" xfId="0" applyNumberFormat="1" applyFont="1" applyFill="1" applyBorder="1" applyAlignment="1">
      <alignment/>
    </xf>
    <xf numFmtId="3" fontId="66" fillId="0" borderId="35" xfId="0" applyNumberFormat="1" applyFont="1" applyFill="1" applyBorder="1" applyAlignment="1">
      <alignment/>
    </xf>
    <xf numFmtId="3" fontId="66" fillId="36" borderId="10" xfId="0" applyNumberFormat="1" applyFont="1" applyFill="1" applyBorder="1" applyAlignment="1">
      <alignment/>
    </xf>
    <xf numFmtId="3" fontId="66" fillId="36" borderId="36" xfId="0" applyNumberFormat="1" applyFont="1" applyFill="1" applyBorder="1" applyAlignment="1">
      <alignment/>
    </xf>
    <xf numFmtId="3" fontId="66" fillId="0" borderId="43" xfId="0" applyNumberFormat="1" applyFont="1" applyFill="1" applyBorder="1" applyAlignment="1">
      <alignment/>
    </xf>
    <xf numFmtId="0" fontId="66" fillId="36" borderId="11" xfId="0" applyFont="1" applyFill="1" applyBorder="1" applyAlignment="1">
      <alignment/>
    </xf>
    <xf numFmtId="3" fontId="66" fillId="36" borderId="11" xfId="0" applyNumberFormat="1" applyFont="1" applyFill="1" applyBorder="1" applyAlignment="1">
      <alignment/>
    </xf>
    <xf numFmtId="3" fontId="66" fillId="36" borderId="42" xfId="0" applyNumberFormat="1" applyFont="1" applyFill="1" applyBorder="1" applyAlignment="1">
      <alignment/>
    </xf>
    <xf numFmtId="3" fontId="66" fillId="0" borderId="29" xfId="0" applyNumberFormat="1" applyFont="1" applyFill="1" applyBorder="1" applyAlignment="1">
      <alignment/>
    </xf>
    <xf numFmtId="0" fontId="66" fillId="36" borderId="27" xfId="0" applyFont="1" applyFill="1" applyBorder="1" applyAlignment="1">
      <alignment/>
    </xf>
    <xf numFmtId="3" fontId="66" fillId="36" borderId="27" xfId="0" applyNumberFormat="1" applyFont="1" applyFill="1" applyBorder="1" applyAlignment="1">
      <alignment/>
    </xf>
    <xf numFmtId="3" fontId="66" fillId="36" borderId="30" xfId="0" applyNumberFormat="1" applyFont="1" applyFill="1" applyBorder="1" applyAlignment="1">
      <alignment/>
    </xf>
    <xf numFmtId="4" fontId="66" fillId="0" borderId="0" xfId="0" applyNumberFormat="1" applyFont="1" applyAlignment="1">
      <alignment/>
    </xf>
    <xf numFmtId="0" fontId="77" fillId="0" borderId="11" xfId="0" applyFont="1" applyFill="1" applyBorder="1" applyAlignment="1">
      <alignment horizontal="right" wrapText="1"/>
    </xf>
    <xf numFmtId="0" fontId="89" fillId="0" borderId="11" xfId="0" applyFont="1" applyBorder="1" applyAlignment="1">
      <alignment horizontal="center" wrapText="1"/>
    </xf>
    <xf numFmtId="164" fontId="77" fillId="0" borderId="11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77" fillId="0" borderId="21" xfId="0" applyFont="1" applyFill="1" applyBorder="1" applyAlignment="1">
      <alignment horizontal="center" wrapText="1"/>
    </xf>
    <xf numFmtId="0" fontId="80" fillId="0" borderId="10" xfId="0" applyFont="1" applyBorder="1" applyAlignment="1">
      <alignment/>
    </xf>
    <xf numFmtId="3" fontId="0" fillId="6" borderId="10" xfId="0" applyNumberFormat="1" applyFill="1" applyBorder="1" applyAlignment="1">
      <alignment/>
    </xf>
    <xf numFmtId="3" fontId="90" fillId="0" borderId="10" xfId="0" applyNumberFormat="1" applyFont="1" applyBorder="1" applyAlignment="1">
      <alignment horizontal="right" wrapText="1"/>
    </xf>
    <xf numFmtId="3" fontId="91" fillId="0" borderId="10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3" fontId="9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3" fontId="92" fillId="0" borderId="0" xfId="0" applyNumberFormat="1" applyFont="1" applyBorder="1" applyAlignment="1">
      <alignment/>
    </xf>
    <xf numFmtId="0" fontId="82" fillId="34" borderId="0" xfId="0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66" fillId="0" borderId="10" xfId="0" applyFont="1" applyFill="1" applyBorder="1" applyAlignment="1">
      <alignment horizontal="left" wrapText="1"/>
    </xf>
    <xf numFmtId="3" fontId="0" fillId="0" borderId="10" xfId="0" applyNumberFormat="1" applyFill="1" applyBorder="1" applyAlignment="1">
      <alignment horizontal="right" wrapText="1"/>
    </xf>
    <xf numFmtId="0" fontId="74" fillId="33" borderId="10" xfId="0" applyFont="1" applyFill="1" applyBorder="1" applyAlignment="1">
      <alignment/>
    </xf>
    <xf numFmtId="3" fontId="93" fillId="0" borderId="10" xfId="0" applyNumberFormat="1" applyFont="1" applyBorder="1" applyAlignment="1">
      <alignment/>
    </xf>
    <xf numFmtId="49" fontId="9" fillId="33" borderId="22" xfId="0" applyNumberFormat="1" applyFont="1" applyFill="1" applyBorder="1" applyAlignment="1">
      <alignment wrapText="1"/>
    </xf>
    <xf numFmtId="49" fontId="0" fillId="33" borderId="22" xfId="0" applyNumberFormat="1" applyFill="1" applyBorder="1" applyAlignment="1">
      <alignment wrapText="1"/>
    </xf>
    <xf numFmtId="49" fontId="9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 horizontal="left" wrapText="1"/>
    </xf>
    <xf numFmtId="0" fontId="76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3" fontId="13" fillId="2" borderId="22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/>
    </xf>
    <xf numFmtId="0" fontId="0" fillId="0" borderId="21" xfId="0" applyFont="1" applyFill="1" applyBorder="1" applyAlignment="1">
      <alignment/>
    </xf>
    <xf numFmtId="3" fontId="91" fillId="0" borderId="1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center" wrapText="1"/>
    </xf>
    <xf numFmtId="3" fontId="0" fillId="35" borderId="22" xfId="0" applyNumberFormat="1" applyFill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22" xfId="0" applyBorder="1" applyAlignment="1">
      <alignment horizontal="right"/>
    </xf>
    <xf numFmtId="3" fontId="0" fillId="0" borderId="46" xfId="0" applyNumberFormat="1" applyBorder="1" applyAlignment="1">
      <alignment/>
    </xf>
    <xf numFmtId="0" fontId="0" fillId="0" borderId="0" xfId="0" applyAlignment="1">
      <alignment horizontal="center"/>
    </xf>
    <xf numFmtId="0" fontId="76" fillId="33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/>
    </xf>
    <xf numFmtId="0" fontId="0" fillId="33" borderId="22" xfId="0" applyFont="1" applyFill="1" applyBorder="1" applyAlignment="1">
      <alignment/>
    </xf>
    <xf numFmtId="0" fontId="0" fillId="0" borderId="0" xfId="0" applyAlignment="1">
      <alignment horizontal="center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wrapText="1"/>
    </xf>
    <xf numFmtId="3" fontId="9" fillId="34" borderId="22" xfId="0" applyNumberFormat="1" applyFont="1" applyFill="1" applyBorder="1" applyAlignment="1">
      <alignment/>
    </xf>
    <xf numFmtId="3" fontId="0" fillId="34" borderId="22" xfId="0" applyNumberFormat="1" applyFill="1" applyBorder="1" applyAlignment="1">
      <alignment/>
    </xf>
    <xf numFmtId="0" fontId="9" fillId="0" borderId="21" xfId="0" applyFont="1" applyBorder="1" applyAlignment="1">
      <alignment horizontal="left"/>
    </xf>
    <xf numFmtId="3" fontId="0" fillId="0" borderId="4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6" xfId="0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2" borderId="27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3" fontId="0" fillId="0" borderId="53" xfId="0" applyNumberFormat="1" applyBorder="1" applyAlignment="1">
      <alignment horizontal="right"/>
    </xf>
    <xf numFmtId="0" fontId="66" fillId="0" borderId="54" xfId="0" applyFont="1" applyBorder="1" applyAlignment="1">
      <alignment horizontal="left" vertical="center" wrapText="1"/>
    </xf>
    <xf numFmtId="3" fontId="0" fillId="2" borderId="26" xfId="0" applyNumberFormat="1" applyFill="1" applyBorder="1" applyAlignment="1">
      <alignment horizontal="center"/>
    </xf>
    <xf numFmtId="3" fontId="0" fillId="2" borderId="34" xfId="0" applyNumberFormat="1" applyFill="1" applyBorder="1" applyAlignment="1">
      <alignment horizontal="center"/>
    </xf>
    <xf numFmtId="3" fontId="0" fillId="2" borderId="36" xfId="0" applyNumberFormat="1" applyFill="1" applyBorder="1" applyAlignment="1">
      <alignment horizontal="center"/>
    </xf>
    <xf numFmtId="3" fontId="0" fillId="0" borderId="50" xfId="0" applyNumberFormat="1" applyBorder="1" applyAlignment="1">
      <alignment/>
    </xf>
    <xf numFmtId="0" fontId="0" fillId="0" borderId="44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3" fontId="0" fillId="0" borderId="49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0" fillId="0" borderId="30" xfId="0" applyNumberFormat="1" applyBorder="1" applyAlignment="1">
      <alignment horizontal="right" wrapText="1"/>
    </xf>
    <xf numFmtId="0" fontId="66" fillId="0" borderId="55" xfId="0" applyFont="1" applyFill="1" applyBorder="1" applyAlignment="1">
      <alignment horizontal="left" vertical="center" wrapText="1"/>
    </xf>
    <xf numFmtId="0" fontId="66" fillId="0" borderId="56" xfId="0" applyFont="1" applyFill="1" applyBorder="1" applyAlignment="1">
      <alignment horizontal="left" vertical="center" wrapText="1"/>
    </xf>
    <xf numFmtId="0" fontId="66" fillId="0" borderId="55" xfId="0" applyFont="1" applyBorder="1" applyAlignment="1">
      <alignment horizontal="left"/>
    </xf>
    <xf numFmtId="0" fontId="66" fillId="0" borderId="57" xfId="0" applyFont="1" applyBorder="1" applyAlignment="1">
      <alignment horizontal="left"/>
    </xf>
    <xf numFmtId="3" fontId="0" fillId="0" borderId="35" xfId="0" applyNumberFormat="1" applyBorder="1" applyAlignment="1">
      <alignment horizontal="right"/>
    </xf>
    <xf numFmtId="3" fontId="0" fillId="0" borderId="41" xfId="0" applyNumberFormat="1" applyBorder="1" applyAlignment="1">
      <alignment horizontal="right" vertical="center"/>
    </xf>
    <xf numFmtId="3" fontId="0" fillId="2" borderId="26" xfId="0" applyNumberFormat="1" applyFill="1" applyBorder="1" applyAlignment="1">
      <alignment horizontal="right"/>
    </xf>
    <xf numFmtId="3" fontId="0" fillId="2" borderId="34" xfId="0" applyNumberFormat="1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3" fontId="0" fillId="0" borderId="58" xfId="0" applyNumberFormat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/>
    </xf>
    <xf numFmtId="3" fontId="0" fillId="2" borderId="46" xfId="0" applyNumberFormat="1" applyFill="1" applyBorder="1" applyAlignment="1">
      <alignment horizontal="right"/>
    </xf>
    <xf numFmtId="3" fontId="0" fillId="2" borderId="39" xfId="0" applyNumberFormat="1" applyFill="1" applyBorder="1" applyAlignment="1">
      <alignment horizontal="right"/>
    </xf>
    <xf numFmtId="3" fontId="0" fillId="2" borderId="35" xfId="0" applyNumberForma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0" fillId="2" borderId="27" xfId="0" applyNumberForma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0" fillId="0" borderId="59" xfId="0" applyNumberFormat="1" applyFill="1" applyBorder="1" applyAlignment="1">
      <alignment horizontal="right"/>
    </xf>
    <xf numFmtId="3" fontId="0" fillId="0" borderId="51" xfId="0" applyNumberFormat="1" applyBorder="1" applyAlignment="1">
      <alignment horizontal="right"/>
    </xf>
    <xf numFmtId="164" fontId="0" fillId="0" borderId="10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0" fillId="0" borderId="49" xfId="0" applyBorder="1" applyAlignment="1">
      <alignment horizontal="left" vertical="center" wrapText="1"/>
    </xf>
    <xf numFmtId="0" fontId="0" fillId="0" borderId="58" xfId="0" applyBorder="1" applyAlignment="1">
      <alignment horizontal="right"/>
    </xf>
    <xf numFmtId="3" fontId="0" fillId="0" borderId="41" xfId="0" applyNumberFormat="1" applyBorder="1" applyAlignment="1">
      <alignment/>
    </xf>
    <xf numFmtId="0" fontId="0" fillId="2" borderId="36" xfId="0" applyFill="1" applyBorder="1" applyAlignment="1">
      <alignment horizontal="right"/>
    </xf>
    <xf numFmtId="3" fontId="0" fillId="2" borderId="43" xfId="0" applyNumberFormat="1" applyFill="1" applyBorder="1" applyAlignment="1">
      <alignment horizontal="right"/>
    </xf>
    <xf numFmtId="3" fontId="0" fillId="0" borderId="42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60" xfId="0" applyNumberFormat="1" applyBorder="1" applyAlignment="1">
      <alignment horizontal="right"/>
    </xf>
    <xf numFmtId="0" fontId="66" fillId="0" borderId="44" xfId="0" applyFont="1" applyBorder="1" applyAlignment="1">
      <alignment horizontal="left" vertical="center" wrapText="1"/>
    </xf>
    <xf numFmtId="0" fontId="66" fillId="0" borderId="49" xfId="0" applyFont="1" applyBorder="1" applyAlignment="1">
      <alignment horizontal="left" vertical="center" wrapText="1"/>
    </xf>
    <xf numFmtId="0" fontId="66" fillId="0" borderId="50" xfId="0" applyFont="1" applyBorder="1" applyAlignment="1">
      <alignment/>
    </xf>
    <xf numFmtId="3" fontId="0" fillId="36" borderId="26" xfId="0" applyNumberFormat="1" applyFill="1" applyBorder="1" applyAlignment="1">
      <alignment horizontal="right" vertical="center"/>
    </xf>
    <xf numFmtId="3" fontId="0" fillId="36" borderId="34" xfId="0" applyNumberForma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/>
    </xf>
    <xf numFmtId="3" fontId="0" fillId="36" borderId="43" xfId="0" applyNumberFormat="1" applyFill="1" applyBorder="1" applyAlignment="1">
      <alignment horizontal="right"/>
    </xf>
    <xf numFmtId="3" fontId="0" fillId="36" borderId="2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44" xfId="0" applyNumberFormat="1" applyBorder="1" applyAlignment="1">
      <alignment horizontal="right" vertical="center" wrapText="1"/>
    </xf>
    <xf numFmtId="3" fontId="66" fillId="33" borderId="47" xfId="0" applyNumberFormat="1" applyFont="1" applyFill="1" applyBorder="1" applyAlignment="1">
      <alignment horizontal="right"/>
    </xf>
    <xf numFmtId="0" fontId="66" fillId="0" borderId="37" xfId="0" applyFont="1" applyBorder="1" applyAlignment="1">
      <alignment horizontal="left" wrapText="1"/>
    </xf>
    <xf numFmtId="0" fontId="66" fillId="0" borderId="23" xfId="0" applyFont="1" applyBorder="1" applyAlignment="1">
      <alignment horizontal="left" wrapText="1"/>
    </xf>
    <xf numFmtId="0" fontId="66" fillId="0" borderId="52" xfId="0" applyFont="1" applyBorder="1" applyAlignment="1">
      <alignment/>
    </xf>
    <xf numFmtId="0" fontId="66" fillId="0" borderId="23" xfId="0" applyFont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61" xfId="0" applyBorder="1" applyAlignment="1">
      <alignment horizontal="right"/>
    </xf>
    <xf numFmtId="3" fontId="0" fillId="2" borderId="26" xfId="0" applyNumberFormat="1" applyFill="1" applyBorder="1" applyAlignment="1">
      <alignment horizontal="right" vertical="center"/>
    </xf>
    <xf numFmtId="3" fontId="0" fillId="2" borderId="34" xfId="0" applyNumberFormat="1" applyFill="1" applyBorder="1" applyAlignment="1">
      <alignment horizontal="right" vertical="center"/>
    </xf>
    <xf numFmtId="3" fontId="0" fillId="2" borderId="36" xfId="0" applyNumberFormat="1" applyFill="1" applyBorder="1" applyAlignment="1">
      <alignment horizontal="right"/>
    </xf>
    <xf numFmtId="3" fontId="0" fillId="36" borderId="35" xfId="0" applyNumberFormat="1" applyFill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50" xfId="0" applyBorder="1" applyAlignment="1">
      <alignment horizontal="left"/>
    </xf>
    <xf numFmtId="3" fontId="0" fillId="33" borderId="45" xfId="0" applyNumberFormat="1" applyFill="1" applyBorder="1" applyAlignment="1">
      <alignment/>
    </xf>
    <xf numFmtId="3" fontId="0" fillId="0" borderId="40" xfId="0" applyNumberForma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0" borderId="44" xfId="0" applyFill="1" applyBorder="1" applyAlignment="1">
      <alignment horizontal="left" vertical="center" wrapText="1"/>
    </xf>
    <xf numFmtId="0" fontId="0" fillId="0" borderId="41" xfId="0" applyBorder="1" applyAlignment="1">
      <alignment horizontal="right"/>
    </xf>
    <xf numFmtId="0" fontId="0" fillId="36" borderId="26" xfId="0" applyFill="1" applyBorder="1" applyAlignment="1">
      <alignment horizontal="right"/>
    </xf>
    <xf numFmtId="0" fontId="0" fillId="36" borderId="34" xfId="0" applyFill="1" applyBorder="1" applyAlignment="1">
      <alignment horizontal="right"/>
    </xf>
    <xf numFmtId="0" fontId="0" fillId="36" borderId="36" xfId="0" applyFill="1" applyBorder="1" applyAlignment="1">
      <alignment horizontal="right"/>
    </xf>
    <xf numFmtId="0" fontId="25" fillId="0" borderId="10" xfId="0" applyFont="1" applyBorder="1" applyAlignment="1">
      <alignment horizontal="right" wrapText="1"/>
    </xf>
    <xf numFmtId="3" fontId="91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6" fillId="33" borderId="22" xfId="0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76" fillId="0" borderId="0" xfId="0" applyFont="1" applyFill="1" applyBorder="1" applyAlignment="1">
      <alignment horizontal="right" wrapText="1"/>
    </xf>
    <xf numFmtId="0" fontId="88" fillId="33" borderId="22" xfId="0" applyFont="1" applyFill="1" applyBorder="1" applyAlignment="1">
      <alignment horizontal="center" vertical="center"/>
    </xf>
    <xf numFmtId="0" fontId="76" fillId="0" borderId="22" xfId="0" applyFont="1" applyBorder="1" applyAlignment="1">
      <alignment horizontal="center" wrapText="1"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right" wrapText="1"/>
    </xf>
    <xf numFmtId="0" fontId="76" fillId="0" borderId="21" xfId="0" applyFont="1" applyBorder="1" applyAlignment="1">
      <alignment horizontal="center" wrapText="1"/>
    </xf>
    <xf numFmtId="3" fontId="66" fillId="33" borderId="10" xfId="0" applyNumberFormat="1" applyFont="1" applyFill="1" applyBorder="1" applyAlignment="1">
      <alignment horizontal="right"/>
    </xf>
    <xf numFmtId="3" fontId="0" fillId="2" borderId="22" xfId="0" applyNumberForma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76" fillId="2" borderId="29" xfId="0" applyNumberFormat="1" applyFont="1" applyFill="1" applyBorder="1" applyAlignment="1">
      <alignment horizontal="center" vertical="center" wrapText="1"/>
    </xf>
    <xf numFmtId="3" fontId="76" fillId="2" borderId="27" xfId="0" applyNumberFormat="1" applyFont="1" applyFill="1" applyBorder="1" applyAlignment="1">
      <alignment horizontal="center" vertical="center" wrapText="1"/>
    </xf>
    <xf numFmtId="3" fontId="76" fillId="2" borderId="3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wrapText="1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3" fontId="0" fillId="34" borderId="3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164" fontId="0" fillId="0" borderId="37" xfId="0" applyNumberFormat="1" applyFill="1" applyBorder="1" applyAlignment="1">
      <alignment horizontal="right" vertical="center" wrapText="1"/>
    </xf>
    <xf numFmtId="0" fontId="66" fillId="0" borderId="22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right" vertical="center" wrapText="1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right" vertical="center" wrapText="1"/>
    </xf>
    <xf numFmtId="3" fontId="66" fillId="33" borderId="18" xfId="0" applyNumberFormat="1" applyFont="1" applyFill="1" applyBorder="1" applyAlignment="1">
      <alignment/>
    </xf>
    <xf numFmtId="0" fontId="0" fillId="0" borderId="49" xfId="0" applyBorder="1" applyAlignment="1">
      <alignment horizontal="left"/>
    </xf>
    <xf numFmtId="0" fontId="0" fillId="2" borderId="26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3" fontId="0" fillId="0" borderId="35" xfId="0" applyNumberFormat="1" applyBorder="1" applyAlignment="1">
      <alignment/>
    </xf>
    <xf numFmtId="3" fontId="0" fillId="2" borderId="35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46" xfId="0" applyNumberFormat="1" applyBorder="1" applyAlignment="1">
      <alignment horizontal="right" vertical="center"/>
    </xf>
    <xf numFmtId="3" fontId="0" fillId="0" borderId="58" xfId="0" applyNumberFormat="1" applyBorder="1" applyAlignment="1">
      <alignment horizontal="right"/>
    </xf>
    <xf numFmtId="3" fontId="0" fillId="2" borderId="61" xfId="0" applyNumberFormat="1" applyFill="1" applyBorder="1" applyAlignment="1">
      <alignment/>
    </xf>
    <xf numFmtId="164" fontId="0" fillId="0" borderId="0" xfId="0" applyNumberFormat="1" applyAlignment="1">
      <alignment horizontal="center" vertical="center"/>
    </xf>
    <xf numFmtId="3" fontId="0" fillId="0" borderId="47" xfId="0" applyNumberForma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21" xfId="0" applyFont="1" applyBorder="1" applyAlignment="1">
      <alignment/>
    </xf>
    <xf numFmtId="0" fontId="68" fillId="0" borderId="0" xfId="0" applyFont="1" applyBorder="1" applyAlignment="1">
      <alignment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66" fillId="0" borderId="0" xfId="0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5" fillId="2" borderId="22" xfId="0" applyNumberFormat="1" applyFont="1" applyFill="1" applyBorder="1" applyAlignment="1">
      <alignment horizontal="right" wrapText="1"/>
    </xf>
    <xf numFmtId="0" fontId="66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66" fillId="0" borderId="16" xfId="0" applyFont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18" xfId="0" applyFont="1" applyBorder="1" applyAlignment="1">
      <alignment/>
    </xf>
    <xf numFmtId="0" fontId="0" fillId="33" borderId="21" xfId="0" applyFill="1" applyBorder="1" applyAlignment="1">
      <alignment wrapText="1"/>
    </xf>
    <xf numFmtId="0" fontId="4" fillId="0" borderId="22" xfId="0" applyFont="1" applyBorder="1" applyAlignment="1">
      <alignment horizontal="right" wrapText="1"/>
    </xf>
    <xf numFmtId="166" fontId="0" fillId="0" borderId="22" xfId="0" applyNumberForma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7" fillId="2" borderId="22" xfId="0" applyNumberFormat="1" applyFont="1" applyFill="1" applyBorder="1" applyAlignment="1">
      <alignment horizontal="right" wrapText="1"/>
    </xf>
    <xf numFmtId="0" fontId="66" fillId="0" borderId="18" xfId="0" applyFont="1" applyFill="1" applyBorder="1" applyAlignment="1">
      <alignment horizontal="left"/>
    </xf>
    <xf numFmtId="0" fontId="66" fillId="0" borderId="11" xfId="0" applyFont="1" applyBorder="1" applyAlignment="1">
      <alignment/>
    </xf>
    <xf numFmtId="0" fontId="0" fillId="33" borderId="21" xfId="0" applyFill="1" applyBorder="1" applyAlignment="1">
      <alignment/>
    </xf>
    <xf numFmtId="0" fontId="66" fillId="0" borderId="21" xfId="0" applyFont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/>
    </xf>
    <xf numFmtId="0" fontId="0" fillId="0" borderId="62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48" xfId="0" applyFont="1" applyBorder="1" applyAlignment="1">
      <alignment wrapText="1"/>
    </xf>
    <xf numFmtId="0" fontId="66" fillId="0" borderId="2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6" fillId="0" borderId="11" xfId="0" applyFont="1" applyBorder="1" applyAlignment="1">
      <alignment horizontal="right"/>
    </xf>
    <xf numFmtId="0" fontId="66" fillId="0" borderId="26" xfId="0" applyFont="1" applyBorder="1" applyAlignment="1">
      <alignment horizontal="center"/>
    </xf>
    <xf numFmtId="0" fontId="0" fillId="33" borderId="48" xfId="0" applyFill="1" applyBorder="1" applyAlignment="1">
      <alignment/>
    </xf>
    <xf numFmtId="0" fontId="66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6" fillId="33" borderId="2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66" fillId="0" borderId="17" xfId="0" applyFont="1" applyBorder="1" applyAlignment="1">
      <alignment horizontal="right"/>
    </xf>
    <xf numFmtId="0" fontId="0" fillId="0" borderId="48" xfId="0" applyFill="1" applyBorder="1" applyAlignment="1">
      <alignment/>
    </xf>
    <xf numFmtId="0" fontId="66" fillId="0" borderId="48" xfId="0" applyFon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3" fontId="0" fillId="2" borderId="48" xfId="0" applyNumberForma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/>
    </xf>
    <xf numFmtId="0" fontId="66" fillId="0" borderId="15" xfId="0" applyFont="1" applyBorder="1" applyAlignment="1">
      <alignment horizontal="center"/>
    </xf>
    <xf numFmtId="0" fontId="66" fillId="0" borderId="20" xfId="0" applyFont="1" applyFill="1" applyBorder="1" applyAlignment="1">
      <alignment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164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66" fillId="0" borderId="12" xfId="0" applyFont="1" applyFill="1" applyBorder="1" applyAlignment="1">
      <alignment horizontal="right"/>
    </xf>
    <xf numFmtId="0" fontId="0" fillId="33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66" fillId="0" borderId="11" xfId="0" applyFont="1" applyFill="1" applyBorder="1" applyAlignment="1">
      <alignment horizontal="center" wrapText="1"/>
    </xf>
    <xf numFmtId="166" fontId="0" fillId="0" borderId="11" xfId="0" applyNumberFormat="1" applyFill="1" applyBorder="1" applyAlignment="1">
      <alignment horizontal="center" wrapText="1"/>
    </xf>
    <xf numFmtId="0" fontId="66" fillId="0" borderId="0" xfId="0" applyFont="1" applyFill="1" applyBorder="1" applyAlignment="1">
      <alignment horizontal="right"/>
    </xf>
    <xf numFmtId="0" fontId="66" fillId="0" borderId="20" xfId="0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0" fillId="0" borderId="20" xfId="0" applyFill="1" applyBorder="1" applyAlignment="1">
      <alignment/>
    </xf>
    <xf numFmtId="0" fontId="16" fillId="0" borderId="18" xfId="0" applyFont="1" applyBorder="1" applyAlignment="1">
      <alignment horizontal="right"/>
    </xf>
    <xf numFmtId="0" fontId="0" fillId="0" borderId="15" xfId="0" applyFill="1" applyBorder="1" applyAlignment="1">
      <alignment wrapText="1"/>
    </xf>
    <xf numFmtId="0" fontId="66" fillId="0" borderId="15" xfId="0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164" fontId="0" fillId="0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82" fillId="33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48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/>
    </xf>
    <xf numFmtId="0" fontId="4" fillId="0" borderId="26" xfId="0" applyFont="1" applyBorder="1" applyAlignment="1">
      <alignment horizontal="left"/>
    </xf>
    <xf numFmtId="166" fontId="1" fillId="0" borderId="26" xfId="0" applyNumberFormat="1" applyFont="1" applyBorder="1" applyAlignment="1">
      <alignment wrapText="1"/>
    </xf>
    <xf numFmtId="0" fontId="0" fillId="0" borderId="0" xfId="0" applyAlignment="1">
      <alignment horizontal="center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49" fontId="0" fillId="0" borderId="48" xfId="0" applyNumberFormat="1" applyFill="1" applyBorder="1" applyAlignment="1">
      <alignment horizontal="left"/>
    </xf>
    <xf numFmtId="0" fontId="0" fillId="33" borderId="48" xfId="0" applyFill="1" applyBorder="1" applyAlignment="1">
      <alignment wrapText="1"/>
    </xf>
    <xf numFmtId="0" fontId="0" fillId="0" borderId="48" xfId="0" applyFill="1" applyBorder="1" applyAlignment="1">
      <alignment horizontal="right"/>
    </xf>
    <xf numFmtId="0" fontId="4" fillId="0" borderId="48" xfId="0" applyFont="1" applyFill="1" applyBorder="1" applyAlignment="1">
      <alignment horizontal="left"/>
    </xf>
    <xf numFmtId="0" fontId="66" fillId="0" borderId="13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0" fillId="0" borderId="48" xfId="0" applyFill="1" applyBorder="1" applyAlignment="1">
      <alignment wrapText="1"/>
    </xf>
    <xf numFmtId="0" fontId="0" fillId="0" borderId="48" xfId="0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64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4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/>
    </xf>
    <xf numFmtId="0" fontId="6" fillId="0" borderId="20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83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164" fontId="6" fillId="0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4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9" fillId="0" borderId="20" xfId="0" applyFont="1" applyFill="1" applyBorder="1" applyAlignment="1">
      <alignment/>
    </xf>
    <xf numFmtId="164" fontId="9" fillId="0" borderId="18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/>
    </xf>
    <xf numFmtId="164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6" fillId="0" borderId="12" xfId="0" applyFont="1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6" fillId="0" borderId="14" xfId="0" applyFont="1" applyBorder="1" applyAlignment="1">
      <alignment horizontal="left"/>
    </xf>
    <xf numFmtId="0" fontId="66" fillId="0" borderId="0" xfId="0" applyFont="1" applyAlignment="1">
      <alignment horizontal="center"/>
    </xf>
    <xf numFmtId="0" fontId="66" fillId="0" borderId="16" xfId="0" applyFont="1" applyBorder="1" applyAlignment="1">
      <alignment horizontal="left"/>
    </xf>
    <xf numFmtId="0" fontId="66" fillId="0" borderId="20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166" fontId="0" fillId="0" borderId="63" xfId="0" applyNumberFormat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166" fontId="66" fillId="0" borderId="14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166" fontId="66" fillId="0" borderId="16" xfId="0" applyNumberFormat="1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/>
    </xf>
    <xf numFmtId="166" fontId="66" fillId="0" borderId="18" xfId="0" applyNumberFormat="1" applyFont="1" applyFill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center"/>
    </xf>
    <xf numFmtId="0" fontId="66" fillId="0" borderId="11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/>
    </xf>
    <xf numFmtId="0" fontId="66" fillId="0" borderId="22" xfId="0" applyFont="1" applyFill="1" applyBorder="1" applyAlignment="1">
      <alignment horizontal="left" vertical="center" wrapText="1"/>
    </xf>
    <xf numFmtId="0" fontId="66" fillId="0" borderId="21" xfId="0" applyFont="1" applyBorder="1" applyAlignment="1">
      <alignment horizontal="left"/>
    </xf>
    <xf numFmtId="3" fontId="76" fillId="0" borderId="10" xfId="0" applyNumberFormat="1" applyFont="1" applyBorder="1" applyAlignment="1">
      <alignment/>
    </xf>
    <xf numFmtId="0" fontId="79" fillId="0" borderId="0" xfId="0" applyFont="1" applyFill="1" applyBorder="1" applyAlignment="1">
      <alignment horizontal="left" wrapText="1"/>
    </xf>
    <xf numFmtId="3" fontId="0" fillId="2" borderId="22" xfId="0" applyNumberFormat="1" applyFont="1" applyFill="1" applyBorder="1" applyAlignment="1">
      <alignment horizontal="right"/>
    </xf>
    <xf numFmtId="0" fontId="76" fillId="37" borderId="27" xfId="0" applyFont="1" applyFill="1" applyBorder="1" applyAlignment="1">
      <alignment/>
    </xf>
    <xf numFmtId="166" fontId="76" fillId="37" borderId="64" xfId="0" applyNumberFormat="1" applyFont="1" applyFill="1" applyBorder="1" applyAlignment="1">
      <alignment/>
    </xf>
    <xf numFmtId="3" fontId="76" fillId="0" borderId="10" xfId="0" applyNumberFormat="1" applyFont="1" applyFill="1" applyBorder="1" applyAlignment="1">
      <alignment/>
    </xf>
    <xf numFmtId="0" fontId="76" fillId="0" borderId="27" xfId="0" applyFont="1" applyFill="1" applyBorder="1" applyAlignment="1">
      <alignment/>
    </xf>
    <xf numFmtId="0" fontId="79" fillId="0" borderId="2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6" fillId="0" borderId="27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76" fillId="0" borderId="27" xfId="0" applyFont="1" applyFill="1" applyBorder="1" applyAlignment="1">
      <alignment horizontal="center"/>
    </xf>
    <xf numFmtId="166" fontId="76" fillId="0" borderId="22" xfId="0" applyNumberFormat="1" applyFont="1" applyBorder="1" applyAlignment="1">
      <alignment horizontal="right" wrapText="1"/>
    </xf>
    <xf numFmtId="3" fontId="76" fillId="0" borderId="22" xfId="0" applyNumberFormat="1" applyFont="1" applyFill="1" applyBorder="1" applyAlignment="1">
      <alignment horizontal="right" wrapText="1"/>
    </xf>
    <xf numFmtId="0" fontId="76" fillId="0" borderId="22" xfId="0" applyFont="1" applyFill="1" applyBorder="1" applyAlignment="1">
      <alignment horizontal="right" wrapText="1"/>
    </xf>
    <xf numFmtId="0" fontId="79" fillId="0" borderId="22" xfId="0" applyFont="1" applyFill="1" applyBorder="1" applyAlignment="1">
      <alignment horizontal="center" wrapText="1"/>
    </xf>
    <xf numFmtId="0" fontId="79" fillId="0" borderId="15" xfId="0" applyFont="1" applyFill="1" applyBorder="1" applyAlignment="1">
      <alignment horizontal="right" wrapText="1"/>
    </xf>
    <xf numFmtId="0" fontId="79" fillId="0" borderId="0" xfId="0" applyFont="1" applyFill="1" applyBorder="1" applyAlignment="1">
      <alignment horizontal="left"/>
    </xf>
    <xf numFmtId="0" fontId="66" fillId="0" borderId="16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79" fillId="0" borderId="20" xfId="0" applyFont="1" applyFill="1" applyBorder="1" applyAlignment="1">
      <alignment horizontal="right" wrapText="1"/>
    </xf>
    <xf numFmtId="0" fontId="66" fillId="0" borderId="17" xfId="0" applyFont="1" applyBorder="1" applyAlignment="1">
      <alignment horizontal="left"/>
    </xf>
    <xf numFmtId="0" fontId="66" fillId="0" borderId="18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9" fillId="0" borderId="14" xfId="0" applyFont="1" applyFill="1" applyBorder="1" applyAlignment="1">
      <alignment horizontal="left"/>
    </xf>
    <xf numFmtId="0" fontId="79" fillId="0" borderId="15" xfId="0" applyFont="1" applyFill="1" applyBorder="1" applyAlignment="1">
      <alignment horizontal="left" wrapText="1"/>
    </xf>
    <xf numFmtId="0" fontId="79" fillId="0" borderId="16" xfId="0" applyFont="1" applyFill="1" applyBorder="1" applyAlignment="1">
      <alignment horizontal="left" wrapText="1"/>
    </xf>
    <xf numFmtId="0" fontId="66" fillId="0" borderId="20" xfId="0" applyFont="1" applyBorder="1" applyAlignment="1">
      <alignment horizontal="left"/>
    </xf>
    <xf numFmtId="0" fontId="66" fillId="0" borderId="18" xfId="0" applyFont="1" applyBorder="1" applyAlignment="1">
      <alignment horizontal="left"/>
    </xf>
    <xf numFmtId="0" fontId="79" fillId="0" borderId="13" xfId="0" applyFont="1" applyFill="1" applyBorder="1" applyAlignment="1">
      <alignment horizontal="left"/>
    </xf>
    <xf numFmtId="0" fontId="76" fillId="0" borderId="16" xfId="0" applyFont="1" applyBorder="1" applyAlignment="1">
      <alignment/>
    </xf>
    <xf numFmtId="0" fontId="76" fillId="0" borderId="18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66" fillId="0" borderId="16" xfId="0" applyFont="1" applyBorder="1" applyAlignment="1">
      <alignment horizontal="left"/>
    </xf>
    <xf numFmtId="0" fontId="66" fillId="0" borderId="15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right" wrapText="1"/>
    </xf>
    <xf numFmtId="0" fontId="66" fillId="0" borderId="14" xfId="0" applyFont="1" applyBorder="1" applyAlignment="1">
      <alignment/>
    </xf>
    <xf numFmtId="0" fontId="76" fillId="0" borderId="22" xfId="0" applyFont="1" applyFill="1" applyBorder="1" applyAlignment="1">
      <alignment horizontal="center" wrapText="1"/>
    </xf>
    <xf numFmtId="166" fontId="0" fillId="0" borderId="11" xfId="0" applyNumberFormat="1" applyBorder="1" applyAlignment="1">
      <alignment/>
    </xf>
    <xf numFmtId="3" fontId="66" fillId="33" borderId="2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right" wrapText="1"/>
    </xf>
    <xf numFmtId="0" fontId="0" fillId="0" borderId="20" xfId="0" applyBorder="1" applyAlignment="1">
      <alignment wrapText="1"/>
    </xf>
    <xf numFmtId="0" fontId="66" fillId="0" borderId="0" xfId="0" applyFont="1" applyFill="1" applyBorder="1" applyAlignment="1">
      <alignment horizontal="left"/>
    </xf>
    <xf numFmtId="0" fontId="66" fillId="0" borderId="15" xfId="0" applyFont="1" applyFill="1" applyBorder="1" applyAlignment="1">
      <alignment/>
    </xf>
    <xf numFmtId="0" fontId="66" fillId="0" borderId="16" xfId="0" applyFont="1" applyFill="1" applyBorder="1" applyAlignment="1">
      <alignment horizontal="left"/>
    </xf>
    <xf numFmtId="0" fontId="66" fillId="0" borderId="20" xfId="0" applyFont="1" applyFill="1" applyBorder="1" applyAlignment="1">
      <alignment/>
    </xf>
    <xf numFmtId="0" fontId="66" fillId="0" borderId="18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76" fillId="0" borderId="21" xfId="0" applyFont="1" applyBorder="1" applyAlignment="1">
      <alignment horizontal="right" wrapText="1"/>
    </xf>
    <xf numFmtId="0" fontId="66" fillId="0" borderId="14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17" xfId="0" applyFont="1" applyFill="1" applyBorder="1" applyAlignment="1">
      <alignment horizontal="left"/>
    </xf>
    <xf numFmtId="0" fontId="66" fillId="0" borderId="18" xfId="0" applyFont="1" applyFill="1" applyBorder="1" applyAlignment="1">
      <alignment/>
    </xf>
    <xf numFmtId="0" fontId="84" fillId="0" borderId="0" xfId="0" applyFont="1" applyAlignment="1">
      <alignment/>
    </xf>
    <xf numFmtId="0" fontId="66" fillId="0" borderId="12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left"/>
    </xf>
    <xf numFmtId="3" fontId="91" fillId="34" borderId="22" xfId="0" applyNumberFormat="1" applyFont="1" applyFill="1" applyBorder="1" applyAlignment="1">
      <alignment/>
    </xf>
    <xf numFmtId="0" fontId="0" fillId="0" borderId="22" xfId="0" applyFont="1" applyBorder="1" applyAlignment="1">
      <alignment horizontal="center" wrapText="1"/>
    </xf>
    <xf numFmtId="3" fontId="92" fillId="0" borderId="22" xfId="0" applyNumberFormat="1" applyFont="1" applyBorder="1" applyAlignment="1">
      <alignment/>
    </xf>
    <xf numFmtId="3" fontId="0" fillId="0" borderId="38" xfId="0" applyNumberFormat="1" applyBorder="1" applyAlignment="1">
      <alignment horizontal="right" wrapText="1"/>
    </xf>
    <xf numFmtId="3" fontId="0" fillId="2" borderId="22" xfId="0" applyNumberFormat="1" applyFill="1" applyBorder="1" applyAlignment="1">
      <alignment horizontal="right" wrapText="1"/>
    </xf>
    <xf numFmtId="3" fontId="0" fillId="0" borderId="39" xfId="0" applyNumberFormat="1" applyBorder="1" applyAlignment="1">
      <alignment horizontal="right" wrapText="1"/>
    </xf>
    <xf numFmtId="164" fontId="0" fillId="0" borderId="22" xfId="0" applyNumberFormat="1" applyFill="1" applyBorder="1" applyAlignment="1">
      <alignment horizontal="center"/>
    </xf>
    <xf numFmtId="0" fontId="66" fillId="0" borderId="11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164" fontId="66" fillId="0" borderId="14" xfId="0" applyNumberFormat="1" applyFont="1" applyBorder="1" applyAlignment="1">
      <alignment horizontal="center"/>
    </xf>
    <xf numFmtId="164" fontId="66" fillId="0" borderId="16" xfId="0" applyNumberFormat="1" applyFont="1" applyBorder="1" applyAlignment="1">
      <alignment horizontal="center"/>
    </xf>
    <xf numFmtId="164" fontId="66" fillId="0" borderId="18" xfId="0" applyNumberFormat="1" applyFont="1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0" fontId="66" fillId="0" borderId="21" xfId="0" applyFont="1" applyFill="1" applyBorder="1" applyAlignment="1">
      <alignment horizontal="left"/>
    </xf>
    <xf numFmtId="0" fontId="72" fillId="0" borderId="26" xfId="0" applyFont="1" applyFill="1" applyBorder="1" applyAlignment="1">
      <alignment horizontal="center" wrapText="1"/>
    </xf>
    <xf numFmtId="0" fontId="74" fillId="0" borderId="26" xfId="0" applyFont="1" applyFill="1" applyBorder="1" applyAlignment="1">
      <alignment/>
    </xf>
    <xf numFmtId="49" fontId="9" fillId="0" borderId="26" xfId="0" applyNumberFormat="1" applyFont="1" applyFill="1" applyBorder="1" applyAlignment="1">
      <alignment/>
    </xf>
    <xf numFmtId="0" fontId="9" fillId="0" borderId="26" xfId="0" applyNumberFormat="1" applyFont="1" applyFill="1" applyBorder="1" applyAlignment="1">
      <alignment horizontal="center"/>
    </xf>
    <xf numFmtId="0" fontId="72" fillId="0" borderId="26" xfId="0" applyFon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0" fontId="66" fillId="0" borderId="0" xfId="0" applyFont="1" applyAlignment="1">
      <alignment/>
    </xf>
    <xf numFmtId="0" fontId="79" fillId="0" borderId="14" xfId="0" applyFont="1" applyBorder="1" applyAlignment="1">
      <alignment/>
    </xf>
    <xf numFmtId="0" fontId="79" fillId="0" borderId="16" xfId="0" applyFont="1" applyBorder="1" applyAlignment="1">
      <alignment/>
    </xf>
    <xf numFmtId="0" fontId="13" fillId="0" borderId="21" xfId="0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wrapText="1"/>
    </xf>
    <xf numFmtId="49" fontId="9" fillId="0" borderId="21" xfId="0" applyNumberFormat="1" applyFont="1" applyFill="1" applyBorder="1" applyAlignment="1">
      <alignment wrapText="1"/>
    </xf>
    <xf numFmtId="0" fontId="15" fillId="0" borderId="21" xfId="0" applyFont="1" applyFill="1" applyBorder="1" applyAlignment="1">
      <alignment horizontal="left"/>
    </xf>
    <xf numFmtId="166" fontId="12" fillId="0" borderId="2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right" wrapText="1"/>
    </xf>
    <xf numFmtId="49" fontId="13" fillId="33" borderId="11" xfId="0" applyNumberFormat="1" applyFont="1" applyFill="1" applyBorder="1" applyAlignment="1">
      <alignment wrapText="1"/>
    </xf>
    <xf numFmtId="1" fontId="13" fillId="0" borderId="11" xfId="0" applyNumberFormat="1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74" fillId="0" borderId="21" xfId="0" applyFont="1" applyFill="1" applyBorder="1" applyAlignment="1">
      <alignment horizontal="center"/>
    </xf>
    <xf numFmtId="49" fontId="0" fillId="33" borderId="21" xfId="0" applyNumberFormat="1" applyFill="1" applyBorder="1" applyAlignment="1">
      <alignment wrapText="1"/>
    </xf>
    <xf numFmtId="1" fontId="0" fillId="0" borderId="21" xfId="0" applyNumberFormat="1" applyFill="1" applyBorder="1" applyAlignment="1">
      <alignment horizontal="right" wrapText="1"/>
    </xf>
    <xf numFmtId="164" fontId="0" fillId="0" borderId="17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6" fillId="0" borderId="22" xfId="0" applyFont="1" applyFill="1" applyBorder="1" applyAlignment="1">
      <alignment horizontal="center" wrapText="1"/>
    </xf>
    <xf numFmtId="166" fontId="0" fillId="0" borderId="22" xfId="0" applyNumberFormat="1" applyFill="1" applyBorder="1" applyAlignment="1">
      <alignment horizontal="center" wrapText="1"/>
    </xf>
    <xf numFmtId="3" fontId="0" fillId="0" borderId="22" xfId="0" applyNumberFormat="1" applyFill="1" applyBorder="1" applyAlignment="1">
      <alignment horizontal="right" wrapText="1"/>
    </xf>
    <xf numFmtId="0" fontId="0" fillId="0" borderId="41" xfId="0" applyBorder="1" applyAlignment="1">
      <alignment horizontal="left" wrapText="1"/>
    </xf>
    <xf numFmtId="3" fontId="0" fillId="0" borderId="48" xfId="0" applyNumberFormat="1" applyBorder="1" applyAlignment="1">
      <alignment horizontal="right"/>
    </xf>
    <xf numFmtId="0" fontId="0" fillId="2" borderId="48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2" borderId="36" xfId="0" applyFill="1" applyBorder="1" applyAlignment="1">
      <alignment horizontal="center"/>
    </xf>
    <xf numFmtId="0" fontId="0" fillId="0" borderId="29" xfId="0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50" xfId="0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0" borderId="26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66" fillId="0" borderId="12" xfId="0" applyFont="1" applyFill="1" applyBorder="1" applyAlignment="1">
      <alignment horizontal="right" wrapText="1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33" borderId="4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0" fillId="0" borderId="4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/>
    </xf>
    <xf numFmtId="3" fontId="0" fillId="0" borderId="4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33" borderId="45" xfId="0" applyNumberFormat="1" applyFont="1" applyFill="1" applyBorder="1" applyAlignment="1">
      <alignment/>
    </xf>
    <xf numFmtId="0" fontId="0" fillId="0" borderId="46" xfId="0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/>
    </xf>
    <xf numFmtId="3" fontId="0" fillId="0" borderId="61" xfId="0" applyNumberFormat="1" applyFont="1" applyBorder="1" applyAlignment="1">
      <alignment horizontal="right"/>
    </xf>
    <xf numFmtId="0" fontId="0" fillId="0" borderId="58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3" fontId="0" fillId="0" borderId="26" xfId="0" applyNumberFormat="1" applyFont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0" borderId="38" xfId="0" applyFont="1" applyBorder="1" applyAlignment="1">
      <alignment horizontal="left" vertical="center" wrapText="1"/>
    </xf>
    <xf numFmtId="3" fontId="0" fillId="0" borderId="39" xfId="0" applyNumberFormat="1" applyFont="1" applyFill="1" applyBorder="1" applyAlignment="1">
      <alignment vertical="center"/>
    </xf>
    <xf numFmtId="3" fontId="0" fillId="2" borderId="39" xfId="0" applyNumberFormat="1" applyFont="1" applyFill="1" applyBorder="1" applyAlignment="1">
      <alignment/>
    </xf>
    <xf numFmtId="0" fontId="0" fillId="0" borderId="43" xfId="0" applyFont="1" applyBorder="1" applyAlignment="1">
      <alignment horizontal="left"/>
    </xf>
    <xf numFmtId="3" fontId="0" fillId="0" borderId="42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8" xfId="0" applyBorder="1" applyAlignment="1">
      <alignment horizontal="right" vertical="center"/>
    </xf>
    <xf numFmtId="3" fontId="0" fillId="0" borderId="61" xfId="0" applyNumberFormat="1" applyBorder="1" applyAlignment="1">
      <alignment horizontal="right"/>
    </xf>
    <xf numFmtId="0" fontId="0" fillId="0" borderId="41" xfId="0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/>
    </xf>
    <xf numFmtId="0" fontId="0" fillId="36" borderId="26" xfId="0" applyFill="1" applyBorder="1" applyAlignment="1">
      <alignment horizontal="right" vertical="center"/>
    </xf>
    <xf numFmtId="0" fontId="0" fillId="36" borderId="34" xfId="0" applyFill="1" applyBorder="1" applyAlignment="1">
      <alignment horizontal="right" vertical="center"/>
    </xf>
    <xf numFmtId="0" fontId="0" fillId="0" borderId="35" xfId="0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 horizontal="left"/>
    </xf>
    <xf numFmtId="3" fontId="0" fillId="36" borderId="27" xfId="0" applyNumberFormat="1" applyFill="1" applyBorder="1" applyAlignment="1">
      <alignment horizontal="right"/>
    </xf>
    <xf numFmtId="3" fontId="0" fillId="36" borderId="30" xfId="0" applyNumberFormat="1" applyFill="1" applyBorder="1" applyAlignment="1">
      <alignment horizontal="right"/>
    </xf>
    <xf numFmtId="0" fontId="79" fillId="0" borderId="12" xfId="0" applyFont="1" applyBorder="1" applyAlignment="1">
      <alignment horizontal="right"/>
    </xf>
    <xf numFmtId="0" fontId="79" fillId="0" borderId="15" xfId="0" applyFont="1" applyBorder="1" applyAlignment="1">
      <alignment horizontal="right"/>
    </xf>
    <xf numFmtId="0" fontId="79" fillId="0" borderId="20" xfId="0" applyFont="1" applyBorder="1" applyAlignment="1">
      <alignment horizontal="right"/>
    </xf>
    <xf numFmtId="0" fontId="80" fillId="0" borderId="11" xfId="0" applyFont="1" applyBorder="1" applyAlignment="1">
      <alignment horizontal="right"/>
    </xf>
    <xf numFmtId="164" fontId="80" fillId="0" borderId="11" xfId="0" applyNumberFormat="1" applyFont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77" fillId="0" borderId="26" xfId="0" applyFont="1" applyBorder="1" applyAlignment="1">
      <alignment horizontal="center" wrapText="1"/>
    </xf>
    <xf numFmtId="0" fontId="77" fillId="0" borderId="11" xfId="0" applyFont="1" applyFill="1" applyBorder="1" applyAlignment="1">
      <alignment horizontal="center" wrapText="1"/>
    </xf>
    <xf numFmtId="0" fontId="77" fillId="0" borderId="15" xfId="0" applyFont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3" fontId="0" fillId="33" borderId="11" xfId="0" applyNumberFormat="1" applyFill="1" applyBorder="1" applyAlignment="1">
      <alignment/>
    </xf>
    <xf numFmtId="0" fontId="77" fillId="0" borderId="61" xfId="0" applyFont="1" applyBorder="1" applyAlignment="1">
      <alignment horizontal="center" wrapText="1"/>
    </xf>
    <xf numFmtId="0" fontId="0" fillId="33" borderId="11" xfId="0" applyFill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46" xfId="0" applyBorder="1" applyAlignment="1">
      <alignment vertical="center"/>
    </xf>
    <xf numFmtId="3" fontId="0" fillId="0" borderId="58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41" xfId="0" applyFill="1" applyBorder="1" applyAlignment="1">
      <alignment horizontal="left" vertical="center" wrapText="1"/>
    </xf>
    <xf numFmtId="3" fontId="0" fillId="0" borderId="26" xfId="0" applyNumberFormat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0" borderId="38" xfId="0" applyBorder="1" applyAlignment="1">
      <alignment horizontal="left" vertical="center" wrapText="1"/>
    </xf>
    <xf numFmtId="0" fontId="0" fillId="36" borderId="39" xfId="0" applyFill="1" applyBorder="1" applyAlignment="1">
      <alignment vertical="center"/>
    </xf>
    <xf numFmtId="3" fontId="0" fillId="36" borderId="36" xfId="0" applyNumberFormat="1" applyFill="1" applyBorder="1" applyAlignment="1">
      <alignment/>
    </xf>
    <xf numFmtId="3" fontId="0" fillId="0" borderId="42" xfId="0" applyNumberFormat="1" applyBorder="1" applyAlignment="1">
      <alignment/>
    </xf>
    <xf numFmtId="3" fontId="0" fillId="36" borderId="27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 horizontal="left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left"/>
    </xf>
    <xf numFmtId="0" fontId="84" fillId="0" borderId="10" xfId="0" applyFont="1" applyBorder="1" applyAlignment="1">
      <alignment horizontal="right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right" vertical="center"/>
    </xf>
    <xf numFmtId="3" fontId="84" fillId="0" borderId="47" xfId="0" applyNumberFormat="1" applyFont="1" applyBorder="1" applyAlignment="1">
      <alignment horizontal="right"/>
    </xf>
    <xf numFmtId="3" fontId="84" fillId="0" borderId="10" xfId="0" applyNumberFormat="1" applyFont="1" applyBorder="1" applyAlignment="1">
      <alignment horizontal="right"/>
    </xf>
    <xf numFmtId="3" fontId="84" fillId="0" borderId="27" xfId="0" applyNumberFormat="1" applyFont="1" applyBorder="1" applyAlignment="1">
      <alignment horizontal="right"/>
    </xf>
    <xf numFmtId="0" fontId="66" fillId="33" borderId="56" xfId="0" applyFont="1" applyFill="1" applyBorder="1" applyAlignment="1">
      <alignment horizontal="center"/>
    </xf>
    <xf numFmtId="0" fontId="66" fillId="33" borderId="54" xfId="0" applyFont="1" applyFill="1" applyBorder="1" applyAlignment="1">
      <alignment horizontal="center"/>
    </xf>
    <xf numFmtId="0" fontId="66" fillId="33" borderId="55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52" xfId="0" applyFont="1" applyFill="1" applyBorder="1" applyAlignment="1">
      <alignment horizontal="center"/>
    </xf>
    <xf numFmtId="3" fontId="66" fillId="33" borderId="44" xfId="0" applyNumberFormat="1" applyFont="1" applyFill="1" applyBorder="1" applyAlignment="1">
      <alignment/>
    </xf>
    <xf numFmtId="3" fontId="66" fillId="33" borderId="53" xfId="0" applyNumberFormat="1" applyFont="1" applyFill="1" applyBorder="1" applyAlignment="1">
      <alignment/>
    </xf>
    <xf numFmtId="3" fontId="66" fillId="33" borderId="49" xfId="0" applyNumberFormat="1" applyFont="1" applyFill="1" applyBorder="1" applyAlignment="1">
      <alignment/>
    </xf>
    <xf numFmtId="3" fontId="66" fillId="33" borderId="60" xfId="0" applyNumberFormat="1" applyFont="1" applyFill="1" applyBorder="1" applyAlignment="1">
      <alignment/>
    </xf>
    <xf numFmtId="3" fontId="66" fillId="33" borderId="50" xfId="0" applyNumberFormat="1" applyFont="1" applyFill="1" applyBorder="1" applyAlignment="1">
      <alignment/>
    </xf>
    <xf numFmtId="0" fontId="66" fillId="0" borderId="63" xfId="0" applyFont="1" applyFill="1" applyBorder="1" applyAlignment="1">
      <alignment horizontal="center"/>
    </xf>
    <xf numFmtId="3" fontId="66" fillId="0" borderId="47" xfId="0" applyNumberFormat="1" applyFont="1" applyBorder="1" applyAlignment="1">
      <alignment/>
    </xf>
    <xf numFmtId="0" fontId="66" fillId="0" borderId="6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66" fillId="0" borderId="15" xfId="0" applyFont="1" applyBorder="1" applyAlignment="1">
      <alignment wrapText="1"/>
    </xf>
    <xf numFmtId="0" fontId="66" fillId="0" borderId="20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66" fillId="0" borderId="67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84" fillId="0" borderId="0" xfId="0" applyFont="1" applyAlignment="1">
      <alignment horizontal="left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66" fontId="0" fillId="2" borderId="26" xfId="0" applyNumberForma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166" fontId="0" fillId="2" borderId="27" xfId="0" applyNumberForma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4" fontId="0" fillId="2" borderId="62" xfId="0" applyNumberFormat="1" applyFont="1" applyFill="1" applyBorder="1" applyAlignment="1">
      <alignment horizontal="center" vertical="center" wrapText="1"/>
    </xf>
    <xf numFmtId="164" fontId="0" fillId="2" borderId="23" xfId="0" applyNumberFormat="1" applyFont="1" applyFill="1" applyBorder="1" applyAlignment="1">
      <alignment horizontal="center" vertical="center" wrapText="1"/>
    </xf>
    <xf numFmtId="164" fontId="0" fillId="2" borderId="64" xfId="0" applyNumberFormat="1" applyFont="1" applyFill="1" applyBorder="1" applyAlignment="1">
      <alignment horizontal="center" vertical="center" wrapText="1"/>
    </xf>
    <xf numFmtId="3" fontId="0" fillId="2" borderId="41" xfId="0" applyNumberFormat="1" applyFill="1" applyBorder="1" applyAlignment="1">
      <alignment horizontal="center" vertical="center" wrapText="1"/>
    </xf>
    <xf numFmtId="3" fontId="0" fillId="2" borderId="34" xfId="0" applyNumberForma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3" fontId="0" fillId="2" borderId="35" xfId="0" applyNumberFormat="1" applyFill="1" applyBorder="1" applyAlignment="1">
      <alignment horizontal="center" vertical="center" wrapText="1"/>
    </xf>
    <xf numFmtId="3" fontId="0" fillId="2" borderId="36" xfId="0" applyNumberForma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 vertical="center"/>
    </xf>
    <xf numFmtId="0" fontId="84" fillId="33" borderId="71" xfId="0" applyFont="1" applyFill="1" applyBorder="1" applyAlignment="1">
      <alignment horizontal="center" vertical="center"/>
    </xf>
    <xf numFmtId="0" fontId="84" fillId="33" borderId="58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3" fontId="0" fillId="2" borderId="55" xfId="0" applyNumberFormat="1" applyFill="1" applyBorder="1" applyAlignment="1">
      <alignment horizontal="center" vertical="center" wrapText="1"/>
    </xf>
    <xf numFmtId="3" fontId="0" fillId="2" borderId="71" xfId="0" applyNumberFormat="1" applyFill="1" applyBorder="1" applyAlignment="1">
      <alignment horizontal="center" vertical="center" wrapText="1"/>
    </xf>
    <xf numFmtId="3" fontId="0" fillId="2" borderId="72" xfId="0" applyNumberForma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0" fillId="2" borderId="4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3" fontId="0" fillId="2" borderId="56" xfId="0" applyNumberFormat="1" applyFill="1" applyBorder="1" applyAlignment="1">
      <alignment horizontal="center" vertical="center" wrapText="1"/>
    </xf>
    <xf numFmtId="3" fontId="0" fillId="2" borderId="73" xfId="0" applyNumberFormat="1" applyFill="1" applyBorder="1" applyAlignment="1">
      <alignment horizontal="center" vertical="center" wrapText="1"/>
    </xf>
    <xf numFmtId="3" fontId="0" fillId="2" borderId="74" xfId="0" applyNumberFormat="1" applyFill="1" applyBorder="1" applyAlignment="1">
      <alignment horizontal="center" vertical="center" wrapText="1"/>
    </xf>
    <xf numFmtId="164" fontId="0" fillId="2" borderId="65" xfId="0" applyNumberFormat="1" applyFont="1" applyFill="1" applyBorder="1" applyAlignment="1">
      <alignment horizontal="center" vertical="center" wrapText="1"/>
    </xf>
    <xf numFmtId="164" fontId="0" fillId="2" borderId="75" xfId="0" applyNumberFormat="1" applyFont="1" applyFill="1" applyBorder="1" applyAlignment="1">
      <alignment horizontal="center" vertical="center" wrapText="1"/>
    </xf>
    <xf numFmtId="164" fontId="0" fillId="2" borderId="32" xfId="0" applyNumberFormat="1" applyFont="1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2" borderId="34" xfId="0" applyNumberFormat="1" applyFont="1" applyFill="1" applyBorder="1" applyAlignment="1">
      <alignment horizontal="center" vertical="center" wrapText="1"/>
    </xf>
    <xf numFmtId="164" fontId="0" fillId="2" borderId="36" xfId="0" applyNumberFormat="1" applyFont="1" applyFill="1" applyBorder="1" applyAlignment="1">
      <alignment horizontal="center" vertical="center" wrapText="1"/>
    </xf>
    <xf numFmtId="164" fontId="0" fillId="2" borderId="3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2" borderId="27" xfId="0" applyNumberFormat="1" applyFill="1" applyBorder="1" applyAlignment="1">
      <alignment horizontal="center" vertical="center" wrapText="1"/>
    </xf>
    <xf numFmtId="166" fontId="0" fillId="2" borderId="48" xfId="0" applyNumberFormat="1" applyFill="1" applyBorder="1" applyAlignment="1">
      <alignment horizontal="center" vertical="center" wrapText="1"/>
    </xf>
    <xf numFmtId="166" fontId="0" fillId="2" borderId="21" xfId="0" applyNumberFormat="1" applyFill="1" applyBorder="1" applyAlignment="1">
      <alignment horizontal="center" vertical="center" wrapText="1"/>
    </xf>
    <xf numFmtId="166" fontId="0" fillId="2" borderId="31" xfId="0" applyNumberFormat="1" applyFill="1" applyBorder="1" applyAlignment="1">
      <alignment horizontal="center" vertical="center" wrapText="1"/>
    </xf>
    <xf numFmtId="164" fontId="0" fillId="2" borderId="41" xfId="0" applyNumberFormat="1" applyFill="1" applyBorder="1" applyAlignment="1">
      <alignment horizontal="center" vertical="center" wrapText="1"/>
    </xf>
    <xf numFmtId="164" fontId="0" fillId="2" borderId="34" xfId="0" applyNumberFormat="1" applyFill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/>
    </xf>
    <xf numFmtId="0" fontId="74" fillId="33" borderId="71" xfId="0" applyFont="1" applyFill="1" applyBorder="1" applyAlignment="1">
      <alignment horizontal="center" vertical="center"/>
    </xf>
    <xf numFmtId="0" fontId="74" fillId="33" borderId="58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76" xfId="0" applyNumberFormat="1" applyFill="1" applyBorder="1" applyAlignment="1">
      <alignment horizontal="center" vertical="center" wrapText="1"/>
    </xf>
    <xf numFmtId="164" fontId="0" fillId="2" borderId="63" xfId="0" applyNumberForma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42" xfId="0" applyNumberFormat="1" applyFill="1" applyBorder="1" applyAlignment="1">
      <alignment horizontal="center" vertical="center" wrapText="1"/>
    </xf>
    <xf numFmtId="3" fontId="0" fillId="2" borderId="31" xfId="0" applyNumberFormat="1" applyFill="1" applyBorder="1" applyAlignment="1">
      <alignment horizontal="center" vertical="center" wrapText="1"/>
    </xf>
    <xf numFmtId="3" fontId="0" fillId="2" borderId="62" xfId="0" applyNumberFormat="1" applyFill="1" applyBorder="1" applyAlignment="1">
      <alignment horizontal="center" vertical="center" wrapText="1"/>
    </xf>
    <xf numFmtId="3" fontId="0" fillId="2" borderId="68" xfId="0" applyNumberForma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0" fillId="2" borderId="77" xfId="0" applyNumberFormat="1" applyFill="1" applyBorder="1" applyAlignment="1">
      <alignment horizontal="center" vertical="center" wrapText="1"/>
    </xf>
    <xf numFmtId="0" fontId="82" fillId="0" borderId="78" xfId="0" applyFont="1" applyFill="1" applyBorder="1" applyAlignment="1">
      <alignment horizontal="center" vertical="center"/>
    </xf>
    <xf numFmtId="0" fontId="82" fillId="0" borderId="79" xfId="0" applyFont="1" applyFill="1" applyBorder="1" applyAlignment="1">
      <alignment horizontal="center" vertical="center"/>
    </xf>
    <xf numFmtId="0" fontId="74" fillId="0" borderId="71" xfId="0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166" fontId="0" fillId="2" borderId="65" xfId="0" applyNumberFormat="1" applyFont="1" applyFill="1" applyBorder="1" applyAlignment="1">
      <alignment horizontal="center" vertical="center" wrapText="1"/>
    </xf>
    <xf numFmtId="166" fontId="0" fillId="2" borderId="75" xfId="0" applyNumberFormat="1" applyFont="1" applyFill="1" applyBorder="1" applyAlignment="1">
      <alignment horizontal="center" vertical="center" wrapText="1"/>
    </xf>
    <xf numFmtId="166" fontId="0" fillId="2" borderId="32" xfId="0" applyNumberFormat="1" applyFont="1" applyFill="1" applyBorder="1" applyAlignment="1">
      <alignment horizontal="center" vertical="center" wrapText="1"/>
    </xf>
    <xf numFmtId="164" fontId="0" fillId="2" borderId="56" xfId="0" applyNumberFormat="1" applyFill="1" applyBorder="1" applyAlignment="1">
      <alignment horizontal="center" vertical="center" wrapText="1"/>
    </xf>
    <xf numFmtId="164" fontId="0" fillId="2" borderId="73" xfId="0" applyNumberFormat="1" applyFill="1" applyBorder="1" applyAlignment="1">
      <alignment horizontal="center" vertical="center" wrapText="1"/>
    </xf>
    <xf numFmtId="164" fontId="0" fillId="2" borderId="74" xfId="0" applyNumberForma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/>
    </xf>
    <xf numFmtId="0" fontId="74" fillId="0" borderId="71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166" fontId="0" fillId="2" borderId="62" xfId="0" applyNumberFormat="1" applyFont="1" applyFill="1" applyBorder="1" applyAlignment="1">
      <alignment horizontal="center" vertical="center" wrapText="1"/>
    </xf>
    <xf numFmtId="166" fontId="0" fillId="2" borderId="23" xfId="0" applyNumberFormat="1" applyFont="1" applyFill="1" applyBorder="1" applyAlignment="1">
      <alignment horizontal="center" vertical="center" wrapText="1"/>
    </xf>
    <xf numFmtId="166" fontId="0" fillId="2" borderId="64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3" borderId="70" xfId="0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166" fontId="0" fillId="2" borderId="11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3" xfId="0" applyFont="1" applyFill="1" applyBorder="1" applyAlignment="1">
      <alignment horizontal="left" wrapText="1"/>
    </xf>
    <xf numFmtId="164" fontId="0" fillId="2" borderId="26" xfId="0" applyNumberFormat="1" applyFon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center" wrapText="1"/>
    </xf>
    <xf numFmtId="164" fontId="0" fillId="2" borderId="27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58" xfId="0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2" borderId="43" xfId="0" applyNumberFormat="1" applyFill="1" applyBorder="1" applyAlignment="1">
      <alignment horizontal="center" vertical="center" wrapText="1"/>
    </xf>
    <xf numFmtId="3" fontId="0" fillId="2" borderId="40" xfId="0" applyNumberFormat="1" applyFill="1" applyBorder="1" applyAlignment="1">
      <alignment horizontal="center" vertical="center" wrapText="1"/>
    </xf>
    <xf numFmtId="3" fontId="0" fillId="2" borderId="32" xfId="0" applyNumberForma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0" fontId="76" fillId="2" borderId="26" xfId="0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/>
    </xf>
    <xf numFmtId="0" fontId="76" fillId="2" borderId="27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 wrapText="1"/>
    </xf>
    <xf numFmtId="0" fontId="76" fillId="2" borderId="21" xfId="0" applyFont="1" applyFill="1" applyBorder="1" applyAlignment="1">
      <alignment horizontal="center" vertical="center" wrapText="1"/>
    </xf>
    <xf numFmtId="0" fontId="76" fillId="2" borderId="31" xfId="0" applyFont="1" applyFill="1" applyBorder="1" applyAlignment="1">
      <alignment horizontal="center" vertical="center" wrapText="1"/>
    </xf>
    <xf numFmtId="164" fontId="76" fillId="2" borderId="65" xfId="0" applyNumberFormat="1" applyFont="1" applyFill="1" applyBorder="1" applyAlignment="1">
      <alignment horizontal="center" vertical="center" wrapText="1"/>
    </xf>
    <xf numFmtId="164" fontId="76" fillId="2" borderId="75" xfId="0" applyNumberFormat="1" applyFont="1" applyFill="1" applyBorder="1" applyAlignment="1">
      <alignment horizontal="center" vertical="center" wrapText="1"/>
    </xf>
    <xf numFmtId="164" fontId="76" fillId="2" borderId="32" xfId="0" applyNumberFormat="1" applyFont="1" applyFill="1" applyBorder="1" applyAlignment="1">
      <alignment horizontal="center" vertical="center" wrapText="1"/>
    </xf>
    <xf numFmtId="164" fontId="76" fillId="2" borderId="56" xfId="0" applyNumberFormat="1" applyFont="1" applyFill="1" applyBorder="1" applyAlignment="1">
      <alignment horizontal="center" vertical="center" wrapText="1"/>
    </xf>
    <xf numFmtId="164" fontId="76" fillId="2" borderId="73" xfId="0" applyNumberFormat="1" applyFont="1" applyFill="1" applyBorder="1" applyAlignment="1">
      <alignment horizontal="center" vertical="center" wrapText="1"/>
    </xf>
    <xf numFmtId="164" fontId="76" fillId="2" borderId="74" xfId="0" applyNumberFormat="1" applyFont="1" applyFill="1" applyBorder="1" applyAlignment="1">
      <alignment horizontal="center" vertical="center" wrapText="1"/>
    </xf>
    <xf numFmtId="3" fontId="76" fillId="2" borderId="55" xfId="0" applyNumberFormat="1" applyFont="1" applyFill="1" applyBorder="1" applyAlignment="1">
      <alignment horizontal="center" vertical="center" wrapText="1"/>
    </xf>
    <xf numFmtId="3" fontId="76" fillId="2" borderId="71" xfId="0" applyNumberFormat="1" applyFont="1" applyFill="1" applyBorder="1" applyAlignment="1">
      <alignment horizontal="center" vertical="center" wrapText="1"/>
    </xf>
    <xf numFmtId="3" fontId="76" fillId="2" borderId="72" xfId="0" applyNumberFormat="1" applyFont="1" applyFill="1" applyBorder="1" applyAlignment="1">
      <alignment horizontal="center" vertical="center" wrapText="1"/>
    </xf>
    <xf numFmtId="0" fontId="76" fillId="2" borderId="69" xfId="0" applyFont="1" applyFill="1" applyBorder="1" applyAlignment="1">
      <alignment horizontal="center" vertical="center" wrapText="1"/>
    </xf>
    <xf numFmtId="0" fontId="76" fillId="2" borderId="70" xfId="0" applyFont="1" applyFill="1" applyBorder="1" applyAlignment="1">
      <alignment horizontal="center" vertical="center" wrapText="1"/>
    </xf>
    <xf numFmtId="0" fontId="76" fillId="2" borderId="40" xfId="0" applyFont="1" applyFill="1" applyBorder="1" applyAlignment="1">
      <alignment horizontal="center" vertical="center" wrapText="1"/>
    </xf>
    <xf numFmtId="0" fontId="76" fillId="2" borderId="26" xfId="0" applyFont="1" applyFill="1" applyBorder="1" applyAlignment="1">
      <alignment horizontal="center" vertical="center" wrapText="1"/>
    </xf>
    <xf numFmtId="0" fontId="76" fillId="2" borderId="10" xfId="0" applyFont="1" applyFill="1" applyBorder="1" applyAlignment="1">
      <alignment horizontal="center" vertical="center" wrapText="1"/>
    </xf>
    <xf numFmtId="0" fontId="76" fillId="2" borderId="27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39">
      <selection activeCell="A34" sqref="A34:A35"/>
    </sheetView>
  </sheetViews>
  <sheetFormatPr defaultColWidth="8.796875" defaultRowHeight="14.25"/>
  <cols>
    <col min="1" max="1" width="27.59765625" style="0" customWidth="1"/>
    <col min="2" max="2" width="20.8984375" style="0" customWidth="1"/>
    <col min="3" max="3" width="13.69921875" style="0" customWidth="1"/>
    <col min="4" max="4" width="12.69921875" style="0" customWidth="1"/>
    <col min="5" max="5" width="12.09765625" style="0" customWidth="1"/>
    <col min="6" max="6" width="12.5" style="0" customWidth="1"/>
    <col min="7" max="7" width="17.69921875" style="0" customWidth="1"/>
  </cols>
  <sheetData>
    <row r="1" spans="1:12" s="1" customFormat="1" ht="15.75">
      <c r="A1" s="1558" t="s">
        <v>1845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1558"/>
    </row>
    <row r="2" spans="1:12" s="1" customFormat="1" ht="15">
      <c r="A2" s="1528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</row>
    <row r="3" spans="1:12" s="1" customFormat="1" ht="15.75">
      <c r="A3" s="1389" t="s">
        <v>1534</v>
      </c>
      <c r="B3" s="1389"/>
      <c r="C3" s="1389"/>
      <c r="D3" s="1528"/>
      <c r="E3" s="1528"/>
      <c r="F3" s="1528"/>
      <c r="G3" s="1528"/>
      <c r="H3" s="1528"/>
      <c r="I3" s="1528"/>
      <c r="J3" s="1528"/>
      <c r="K3" s="1528"/>
      <c r="L3" s="1528"/>
    </row>
    <row r="4" spans="1:12" s="1" customFormat="1" ht="15.75">
      <c r="A4" s="1389"/>
      <c r="B4" s="1559"/>
      <c r="C4" s="1559"/>
      <c r="D4" s="1559"/>
      <c r="E4" s="1559"/>
      <c r="F4" s="1528"/>
      <c r="G4" s="1528"/>
      <c r="H4" s="1528"/>
      <c r="I4" s="1528"/>
      <c r="J4" s="1528"/>
      <c r="K4" s="1528"/>
      <c r="L4" s="1528"/>
    </row>
    <row r="5" spans="1:12" s="1" customFormat="1" ht="15.75">
      <c r="A5" s="1389" t="s">
        <v>1</v>
      </c>
      <c r="B5" s="1389"/>
      <c r="C5" s="1389"/>
      <c r="D5" s="1528"/>
      <c r="E5" s="1528"/>
      <c r="F5" s="1528"/>
      <c r="G5" s="1528"/>
      <c r="H5" s="1528"/>
      <c r="I5" s="1528"/>
      <c r="J5" s="1528"/>
      <c r="K5" s="1528"/>
      <c r="L5" s="1528"/>
    </row>
    <row r="6" spans="1:12" s="1" customFormat="1" ht="15.75">
      <c r="A6" s="1528" t="s">
        <v>1833</v>
      </c>
      <c r="B6" s="1389"/>
      <c r="C6" s="1389"/>
      <c r="D6" s="1528"/>
      <c r="E6" s="1528"/>
      <c r="F6" s="1528"/>
      <c r="G6" s="1528"/>
      <c r="H6" s="1528"/>
      <c r="I6" s="1528"/>
      <c r="J6" s="1528"/>
      <c r="K6" s="1528"/>
      <c r="L6" s="1528"/>
    </row>
    <row r="7" spans="1:12" s="1" customFormat="1" ht="15.75">
      <c r="A7" s="1529" t="s">
        <v>1839</v>
      </c>
      <c r="B7" s="1389"/>
      <c r="C7" s="1389"/>
      <c r="D7" s="1528"/>
      <c r="E7" s="1528"/>
      <c r="F7" s="1528"/>
      <c r="G7" s="1528"/>
      <c r="H7" s="1528"/>
      <c r="I7" s="1528"/>
      <c r="J7" s="1528"/>
      <c r="K7" s="1528"/>
      <c r="L7" s="1528"/>
    </row>
    <row r="8" spans="1:12" s="1" customFormat="1" ht="15.75">
      <c r="A8" s="1529" t="s">
        <v>1840</v>
      </c>
      <c r="B8" s="1389"/>
      <c r="C8" s="1389"/>
      <c r="D8" s="1528"/>
      <c r="E8" s="1528"/>
      <c r="F8" s="1528"/>
      <c r="G8" s="1528"/>
      <c r="H8" s="1528"/>
      <c r="I8" s="1528"/>
      <c r="J8" s="1528"/>
      <c r="K8" s="1528"/>
      <c r="L8" s="1528"/>
    </row>
    <row r="9" spans="1:12" s="1" customFormat="1" ht="15.75">
      <c r="A9" s="1528" t="s">
        <v>1837</v>
      </c>
      <c r="B9" s="1389"/>
      <c r="C9" s="1389"/>
      <c r="D9" s="1528"/>
      <c r="E9" s="1528"/>
      <c r="F9" s="1528"/>
      <c r="G9" s="1528"/>
      <c r="H9" s="1528"/>
      <c r="I9" s="1528"/>
      <c r="J9" s="1528"/>
      <c r="K9" s="1528"/>
      <c r="L9" s="1528"/>
    </row>
    <row r="10" spans="1:12" s="1" customFormat="1" ht="15.75">
      <c r="A10" s="1528"/>
      <c r="B10" s="1389"/>
      <c r="C10" s="1389"/>
      <c r="D10" s="1528"/>
      <c r="E10" s="1528"/>
      <c r="F10" s="1528"/>
      <c r="G10" s="1528"/>
      <c r="H10" s="1528"/>
      <c r="I10" s="1528"/>
      <c r="J10" s="1528"/>
      <c r="K10" s="1528"/>
      <c r="L10" s="1528"/>
    </row>
    <row r="11" spans="1:12" s="1" customFormat="1" ht="15.75">
      <c r="A11" s="1530" t="s">
        <v>1841</v>
      </c>
      <c r="B11" s="1567" t="s">
        <v>1838</v>
      </c>
      <c r="C11" s="1567"/>
      <c r="D11" s="1567"/>
      <c r="E11" s="1567"/>
      <c r="F11" s="1567"/>
      <c r="G11" s="1567"/>
      <c r="H11" s="1567"/>
      <c r="I11" s="1567"/>
      <c r="J11" s="1567"/>
      <c r="K11" s="1531"/>
      <c r="L11" s="1531"/>
    </row>
    <row r="12" spans="1:12" s="1" customFormat="1" ht="15.75">
      <c r="A12" s="1530"/>
      <c r="B12" s="1532"/>
      <c r="C12" s="1532"/>
      <c r="D12" s="1532"/>
      <c r="E12" s="1532"/>
      <c r="F12" s="1532"/>
      <c r="G12" s="1532"/>
      <c r="H12" s="1532"/>
      <c r="I12" s="1532"/>
      <c r="J12" s="1532"/>
      <c r="K12" s="1531"/>
      <c r="L12" s="1531"/>
    </row>
    <row r="13" spans="1:12" s="1" customFormat="1" ht="78" customHeight="1">
      <c r="A13" s="1534" t="s">
        <v>1842</v>
      </c>
      <c r="B13" s="1534" t="s">
        <v>1843</v>
      </c>
      <c r="C13" s="1534" t="s">
        <v>1844</v>
      </c>
      <c r="D13" s="1532"/>
      <c r="E13" s="1532"/>
      <c r="F13" s="1532"/>
      <c r="G13" s="1532"/>
      <c r="H13" s="1532"/>
      <c r="I13" s="1532"/>
      <c r="J13" s="1532"/>
      <c r="K13" s="1531"/>
      <c r="L13" s="1531"/>
    </row>
    <row r="14" spans="1:12" s="1" customFormat="1" ht="15.75">
      <c r="A14" s="1533" t="s">
        <v>145</v>
      </c>
      <c r="B14" s="1537">
        <f>'Miasto Mińsk!'!M312</f>
        <v>3115681.97</v>
      </c>
      <c r="C14" s="1537">
        <f>'Miasto Mińsk!'!O311</f>
        <v>63</v>
      </c>
      <c r="D14" s="1532"/>
      <c r="E14" s="1532"/>
      <c r="F14" s="1532"/>
      <c r="G14" s="1532"/>
      <c r="H14" s="1532"/>
      <c r="I14" s="1532"/>
      <c r="J14" s="1532"/>
      <c r="K14" s="1531"/>
      <c r="L14" s="1531"/>
    </row>
    <row r="15" spans="1:12" s="1" customFormat="1" ht="15.75">
      <c r="A15" s="1533" t="s">
        <v>836</v>
      </c>
      <c r="B15" s="1537">
        <f>'Powiat Miński!'!M156</f>
        <v>1718869</v>
      </c>
      <c r="C15" s="1537">
        <f>'Powiat Miński!'!O155</f>
        <v>20</v>
      </c>
      <c r="D15" s="1532"/>
      <c r="E15" s="1532"/>
      <c r="F15" s="1532"/>
      <c r="G15" s="1532"/>
      <c r="H15" s="1532"/>
      <c r="I15" s="1532"/>
      <c r="J15" s="1532"/>
      <c r="K15" s="1531"/>
      <c r="L15" s="1531"/>
    </row>
    <row r="16" spans="1:12" s="1" customFormat="1" ht="15.75">
      <c r="A16" s="1533" t="s">
        <v>1101</v>
      </c>
      <c r="B16" s="1537">
        <f>'Gmina Halinów!'!M202</f>
        <v>1713980.0400000005</v>
      </c>
      <c r="C16" s="1537">
        <f>'Gmina Halinów!'!O201</f>
        <v>48</v>
      </c>
      <c r="D16" s="1532"/>
      <c r="E16" s="1532"/>
      <c r="F16" s="1532"/>
      <c r="G16" s="1532"/>
      <c r="H16" s="1532"/>
      <c r="I16" s="1532"/>
      <c r="J16" s="1532"/>
      <c r="K16" s="1531"/>
      <c r="L16" s="1531"/>
    </row>
    <row r="17" spans="1:12" s="1" customFormat="1" ht="15.75">
      <c r="A17" s="1533" t="s">
        <v>737</v>
      </c>
      <c r="B17" s="1537">
        <f>'Gmina Mrozy!'!N233</f>
        <v>1234609.0500000003</v>
      </c>
      <c r="C17" s="1537">
        <f>'Gmina Mrozy!'!P232</f>
        <v>54</v>
      </c>
      <c r="D17" s="1532"/>
      <c r="E17" s="1532"/>
      <c r="F17" s="1532"/>
      <c r="G17" s="1532"/>
      <c r="H17" s="1532"/>
      <c r="I17" s="1532"/>
      <c r="J17" s="1532"/>
      <c r="K17" s="1531"/>
      <c r="L17" s="1531"/>
    </row>
    <row r="18" spans="1:12" s="1" customFormat="1" ht="15.75">
      <c r="A18" s="1533" t="s">
        <v>285</v>
      </c>
      <c r="B18" s="1537">
        <f>'Gmina Mińsk!'!M219</f>
        <v>963406.8</v>
      </c>
      <c r="C18" s="1537">
        <f>'Gmina Mińsk!'!O218</f>
        <v>54</v>
      </c>
      <c r="D18" s="1532"/>
      <c r="E18" s="1532"/>
      <c r="F18" s="1532"/>
      <c r="G18" s="1532"/>
      <c r="H18" s="1532"/>
      <c r="I18" s="1532"/>
      <c r="J18" s="1532"/>
      <c r="K18" s="1531"/>
      <c r="L18" s="1531"/>
    </row>
    <row r="19" spans="1:12" s="1" customFormat="1" ht="15.75">
      <c r="A19" s="1533" t="s">
        <v>378</v>
      </c>
      <c r="B19" s="1537">
        <f>'Gmina Dębe Wielkie!'!M123</f>
        <v>628701.1299999999</v>
      </c>
      <c r="C19" s="1537">
        <f>'Gmina Dębe Wielkie!'!O122</f>
        <v>31</v>
      </c>
      <c r="D19" s="1532"/>
      <c r="E19" s="1532"/>
      <c r="F19" s="1532"/>
      <c r="G19" s="1532"/>
      <c r="H19" s="1532"/>
      <c r="I19" s="1532"/>
      <c r="J19" s="1532"/>
      <c r="K19" s="1531"/>
      <c r="L19" s="1531"/>
    </row>
    <row r="20" spans="1:12" s="1" customFormat="1" ht="15.75">
      <c r="A20" s="1533" t="s">
        <v>450</v>
      </c>
      <c r="B20" s="1537">
        <f>'Gmina Siennica!'!M218</f>
        <v>661241.5</v>
      </c>
      <c r="C20" s="1537">
        <f>'Gmina Siennica!'!O217</f>
        <v>37</v>
      </c>
      <c r="D20" s="1532"/>
      <c r="E20" s="1532"/>
      <c r="F20" s="1532"/>
      <c r="G20" s="1532"/>
      <c r="H20" s="1532"/>
      <c r="I20" s="1532"/>
      <c r="J20" s="1532"/>
      <c r="K20" s="1531"/>
      <c r="L20" s="1531"/>
    </row>
    <row r="21" spans="1:12" s="1" customFormat="1" ht="15.75">
      <c r="A21" s="1533" t="s">
        <v>477</v>
      </c>
      <c r="B21" s="1537">
        <f>'Gmina Latowicz!'!M124</f>
        <v>295272.30000000005</v>
      </c>
      <c r="C21" s="1537">
        <f>'Gmina Latowicz!'!O123</f>
        <v>40</v>
      </c>
      <c r="D21" s="1532"/>
      <c r="E21" s="1532"/>
      <c r="F21" s="1532"/>
      <c r="G21" s="1532"/>
      <c r="H21" s="1532"/>
      <c r="I21" s="1532"/>
      <c r="J21" s="1532"/>
      <c r="K21" s="1531"/>
      <c r="L21" s="1531"/>
    </row>
    <row r="22" spans="1:12" s="1" customFormat="1" ht="15.75">
      <c r="A22" s="1533" t="s">
        <v>521</v>
      </c>
      <c r="B22" s="1537">
        <f>'Gmina Cegłów!'!M147</f>
        <v>424860.39999999997</v>
      </c>
      <c r="C22" s="1537">
        <f>'Gmina Cegłów!'!O146</f>
        <v>36</v>
      </c>
      <c r="D22" s="1532"/>
      <c r="E22" s="1532"/>
      <c r="F22" s="1532"/>
      <c r="G22" s="1532"/>
      <c r="H22" s="1532"/>
      <c r="I22" s="1532"/>
      <c r="J22" s="1532"/>
      <c r="K22" s="1531"/>
      <c r="L22" s="1531"/>
    </row>
    <row r="23" spans="1:12" s="1" customFormat="1" ht="15.75">
      <c r="A23" s="1533" t="s">
        <v>616</v>
      </c>
      <c r="B23" s="1537">
        <f>'Miasto Sulejówek!'!M231</f>
        <v>2602805.500000001</v>
      </c>
      <c r="C23" s="1537">
        <f>'Miasto Sulejówek!'!O230</f>
        <v>67</v>
      </c>
      <c r="D23" s="1532"/>
      <c r="E23" s="1532"/>
      <c r="F23" s="1532"/>
      <c r="G23" s="1532"/>
      <c r="H23" s="1532"/>
      <c r="I23" s="1532"/>
      <c r="J23" s="1532"/>
      <c r="K23" s="1531"/>
      <c r="L23" s="1531"/>
    </row>
    <row r="24" spans="1:12" s="1" customFormat="1" ht="15.75">
      <c r="A24" s="1533" t="s">
        <v>896</v>
      </c>
      <c r="B24" s="1537">
        <f>'Gmina Dobre!'!M92</f>
        <v>495145.8500000001</v>
      </c>
      <c r="C24" s="1537">
        <f>'Gmina Dobre!'!O91</f>
        <v>34</v>
      </c>
      <c r="D24" s="1532"/>
      <c r="E24" s="1532"/>
      <c r="F24" s="1532"/>
      <c r="G24" s="1532"/>
      <c r="H24" s="1532"/>
      <c r="I24" s="1532"/>
      <c r="J24" s="1532"/>
      <c r="K24" s="1531"/>
      <c r="L24" s="1531"/>
    </row>
    <row r="25" spans="1:12" s="1" customFormat="1" ht="15.75">
      <c r="A25" s="1533" t="s">
        <v>884</v>
      </c>
      <c r="B25" s="1537">
        <f>'Gmina Jakubów!'!M116</f>
        <v>401962.6</v>
      </c>
      <c r="C25" s="1537">
        <f>'Gmina Jakubów!'!O115</f>
        <v>27</v>
      </c>
      <c r="D25" s="1532"/>
      <c r="E25" s="1532"/>
      <c r="F25" s="1532"/>
      <c r="G25" s="1532"/>
      <c r="H25" s="1532"/>
      <c r="I25" s="1532"/>
      <c r="J25" s="1532"/>
      <c r="K25" s="1531"/>
      <c r="L25" s="1531"/>
    </row>
    <row r="26" spans="1:12" s="1" customFormat="1" ht="15.75">
      <c r="A26" s="1533" t="s">
        <v>1576</v>
      </c>
      <c r="B26" s="1537">
        <f>'Gmina Kałuszyn!'!M147</f>
        <v>519060.9700000001</v>
      </c>
      <c r="C26" s="1537">
        <f>'Gmina Kałuszyn!'!O146</f>
        <v>41</v>
      </c>
      <c r="D26" s="1532"/>
      <c r="E26" s="1532"/>
      <c r="F26" s="1532"/>
      <c r="G26" s="1532"/>
      <c r="H26" s="1532"/>
      <c r="I26" s="1532"/>
      <c r="J26" s="1532"/>
      <c r="K26" s="1531"/>
      <c r="L26" s="1531"/>
    </row>
    <row r="27" spans="1:12" s="1" customFormat="1" ht="15.75">
      <c r="A27" s="1533" t="s">
        <v>739</v>
      </c>
      <c r="B27" s="1537">
        <f>'Gmina Stanisławów!'!M97</f>
        <v>623713.2</v>
      </c>
      <c r="C27" s="1537">
        <f>'Gmina Stanisławów!'!O96</f>
        <v>24</v>
      </c>
      <c r="D27" s="1532"/>
      <c r="E27" s="1532"/>
      <c r="F27" s="1532"/>
      <c r="G27" s="1532"/>
      <c r="H27" s="1532"/>
      <c r="I27" s="1532"/>
      <c r="J27" s="1532"/>
      <c r="K27" s="1531"/>
      <c r="L27" s="1531"/>
    </row>
    <row r="28" spans="1:12" s="1" customFormat="1" ht="16.5" thickBot="1">
      <c r="A28" s="1535" t="s">
        <v>1604</v>
      </c>
      <c r="B28" s="1538">
        <f>'Gmina Kotuń'!M155</f>
        <v>711621.3</v>
      </c>
      <c r="C28" s="1538">
        <f>'Gmina Kotuń'!O154</f>
        <v>73</v>
      </c>
      <c r="D28" s="1532"/>
      <c r="E28" s="1532"/>
      <c r="F28" s="1532"/>
      <c r="G28" s="1532"/>
      <c r="H28" s="1532"/>
      <c r="I28" s="1532"/>
      <c r="J28" s="1532"/>
      <c r="K28" s="1531"/>
      <c r="L28" s="1531"/>
    </row>
    <row r="29" spans="1:12" s="1" customFormat="1" ht="16.5" thickBot="1">
      <c r="A29" s="1530" t="s">
        <v>761</v>
      </c>
      <c r="B29" s="1536">
        <f>SUM(B14:B28)</f>
        <v>16110931.610000005</v>
      </c>
      <c r="C29" s="1536">
        <f>SUM(C14:C28)</f>
        <v>649</v>
      </c>
      <c r="D29" s="1532"/>
      <c r="E29" s="1532"/>
      <c r="F29" s="1532"/>
      <c r="G29" s="1532"/>
      <c r="H29" s="1532"/>
      <c r="I29" s="1532"/>
      <c r="J29" s="1532"/>
      <c r="K29" s="1531"/>
      <c r="L29" s="1531"/>
    </row>
    <row r="30" spans="1:12" s="1" customFormat="1" ht="15.75">
      <c r="A30" s="1530"/>
      <c r="B30" s="1532"/>
      <c r="C30" s="1532"/>
      <c r="D30" s="1532"/>
      <c r="E30" s="1532"/>
      <c r="F30" s="1532"/>
      <c r="G30" s="1532"/>
      <c r="H30" s="1532"/>
      <c r="I30" s="1532"/>
      <c r="J30" s="1532"/>
      <c r="K30" s="1531"/>
      <c r="L30" s="1531"/>
    </row>
    <row r="31" spans="1:8" ht="15">
      <c r="A31" s="1"/>
      <c r="B31" s="1"/>
      <c r="C31" s="1"/>
      <c r="D31" s="1"/>
      <c r="E31" s="1"/>
      <c r="F31" s="1"/>
      <c r="G31" s="915"/>
      <c r="H31" s="1"/>
    </row>
    <row r="32" spans="1:8" ht="15.75">
      <c r="A32" s="1559" t="s">
        <v>1846</v>
      </c>
      <c r="B32" s="1559"/>
      <c r="C32" s="1559"/>
      <c r="D32" s="1559"/>
      <c r="E32" s="1559"/>
      <c r="F32" s="1559"/>
      <c r="G32" s="1559"/>
      <c r="H32" s="1"/>
    </row>
    <row r="33" spans="1:8" ht="15" thickBot="1">
      <c r="A33" s="1"/>
      <c r="B33" s="1"/>
      <c r="C33" s="1"/>
      <c r="D33" s="1"/>
      <c r="E33" s="1"/>
      <c r="F33" s="1"/>
      <c r="G33" s="1"/>
      <c r="H33" s="1"/>
    </row>
    <row r="34" spans="1:8" ht="21" customHeight="1">
      <c r="A34" s="1560" t="s">
        <v>60</v>
      </c>
      <c r="B34" s="1562" t="s">
        <v>1244</v>
      </c>
      <c r="C34" s="1563"/>
      <c r="D34" s="1563"/>
      <c r="E34" s="1563"/>
      <c r="F34" s="1564"/>
      <c r="G34" s="1565" t="s">
        <v>1250</v>
      </c>
      <c r="H34" s="1"/>
    </row>
    <row r="35" spans="1:8" ht="36" customHeight="1" thickBot="1">
      <c r="A35" s="1561"/>
      <c r="B35" s="1551" t="s">
        <v>1245</v>
      </c>
      <c r="C35" s="1552" t="s">
        <v>1246</v>
      </c>
      <c r="D35" s="1552" t="s">
        <v>1247</v>
      </c>
      <c r="E35" s="1552" t="s">
        <v>1248</v>
      </c>
      <c r="F35" s="1553" t="s">
        <v>1249</v>
      </c>
      <c r="G35" s="1566"/>
      <c r="H35" s="1"/>
    </row>
    <row r="36" spans="1:8" ht="15">
      <c r="A36" s="1539" t="s">
        <v>747</v>
      </c>
      <c r="B36" s="890">
        <f>'Miasto Mińsk!'!L306+'Powiat Miński!'!L151+'Gmina Halinów!'!L196+'Gmina Siennica!'!L211+'Gmina Latowicz!'!L117+'Gmina Cegłów!'!L141+'Gmina Dobre!'!L87+'Gmina Jakubów!'!L110+'Gmina Kałuszyn!'!L142+'Gmina Stanisławów!'!L91+'Gmina Kotuń'!L149</f>
        <v>199312</v>
      </c>
      <c r="C36" s="891"/>
      <c r="D36" s="891"/>
      <c r="E36" s="891"/>
      <c r="F36" s="892"/>
      <c r="G36" s="1544">
        <f>'Miasto Mińsk!'!O306+'Powiat Miński!'!O151+'Gmina Halinów!'!O196+'Gmina Siennica!'!O211+'Gmina Latowicz!'!O117+'Gmina Cegłów!'!O141+'Gmina Dobre!'!O87+'Gmina Jakubów!'!O110+'Gmina Kałuszyn!'!O142+'Gmina Stanisławów!'!O91+'Gmina Kotuń'!O149</f>
        <v>38</v>
      </c>
      <c r="H36" s="1"/>
    </row>
    <row r="37" spans="1:7" s="1" customFormat="1" ht="15">
      <c r="A37" s="1540" t="s">
        <v>1155</v>
      </c>
      <c r="B37" s="893"/>
      <c r="C37" s="894"/>
      <c r="D37" s="894"/>
      <c r="E37" s="895">
        <f>'Powiat Miński!'!M152+'Gmina Halinów!'!M197+'Gmina Siennica!'!M212</f>
        <v>241610</v>
      </c>
      <c r="F37" s="896">
        <f>'Powiat Miński!'!N152+'Gmina Halinów!'!N197+'Gmina Siennica!'!N212</f>
        <v>96490</v>
      </c>
      <c r="G37" s="1545">
        <f>'Powiat Miński!'!O152+'Gmina Halinów!'!O197+'Gmina Siennica!'!O212</f>
        <v>5</v>
      </c>
    </row>
    <row r="38" spans="1:7" s="1" customFormat="1" ht="15">
      <c r="A38" s="1540" t="s">
        <v>1394</v>
      </c>
      <c r="B38" s="893"/>
      <c r="C38" s="894"/>
      <c r="D38" s="894"/>
      <c r="E38" s="895">
        <f>'Powiat Miński!'!M153</f>
        <v>90000</v>
      </c>
      <c r="F38" s="896">
        <f>'Powiat Miński!'!N153</f>
        <v>65000</v>
      </c>
      <c r="G38" s="1545">
        <f>'Powiat Miński!'!O153</f>
        <v>1</v>
      </c>
    </row>
    <row r="39" spans="1:8" ht="15">
      <c r="A39" s="1541" t="s">
        <v>29</v>
      </c>
      <c r="B39" s="897">
        <f>'Miasto Mińsk!'!L305+'Powiat Miński!'!L150+'Gmina Halinów!'!L198+'Gmina Mrozy!'!M227+'Gmina Mińsk!'!L214+'Gmina Dębe Wielkie!'!L118+'Gmina Siennica!'!L213+'Gmina Latowicz!'!L118+'Gmina Cegłów!'!L142+'Miasto Sulejówek!'!L227+'Gmina Dobre!'!L88+'Gmina Jakubów!'!L111+'Gmina Kałuszyn!'!L143+'Gmina Stanisławów!'!L93+'Gmina Kotuń'!L150</f>
        <v>2467105.07</v>
      </c>
      <c r="C39" s="898"/>
      <c r="D39" s="898"/>
      <c r="E39" s="898"/>
      <c r="F39" s="899"/>
      <c r="G39" s="1545">
        <f>'Miasto Mińsk!'!O305+'Powiat Miński!'!O150+'Gmina Halinów!'!O198+'Gmina Mrozy!'!P227+'Gmina Mińsk!'!O214+'Gmina Dębe Wielkie!'!O118+'Gmina Siennica!'!O213+'Gmina Latowicz!'!O118+'Gmina Cegłów!'!O142+'Miasto Sulejówek!'!O227+'Gmina Dobre!'!O88+'Gmina Jakubów!'!O111+'Gmina Kałuszyn!'!O143+'Gmina Stanisławów!'!O93+'Gmina Kotuń'!O150</f>
        <v>297</v>
      </c>
      <c r="H39" s="1"/>
    </row>
    <row r="40" spans="1:8" ht="15">
      <c r="A40" s="1542" t="s">
        <v>67</v>
      </c>
      <c r="B40" s="900"/>
      <c r="C40" s="901">
        <f>'Miasto Mińsk!'!M308+'Gmina Halinów!'!M199+'Gmina Mrozy!'!N231+'Gmina Mińsk!'!M216+'Gmina Dębe Wielkie!'!M121+'Gmina Siennica!'!M214+'Gmina Latowicz!'!M120+'Gmina Cegłów!'!M144+'Miasto Sulejówek!'!M229+'Gmina Dobre!'!M90+'Gmina Jakubów!'!M113+'Gmina Kałuszyn!'!M145+'Gmina Stanisławów!'!M94+'Gmina Kotuń'!M151</f>
        <v>737614.7999999999</v>
      </c>
      <c r="D40" s="901">
        <f>'Miasto Mińsk!'!N308+'Gmina Halinów!'!N199+'Gmina Mrozy!'!O231+'Gmina Mińsk!'!N216+'Gmina Dębe Wielkie!'!N121+'Gmina Siennica!'!N214+'Gmina Latowicz!'!N120+'Gmina Cegłów!'!N144+'Miasto Sulejówek!'!N229+'Gmina Dobre!'!N90+'Gmina Jakubów!'!N113+'Gmina Kałuszyn!'!N145+'Gmina Stanisławów!'!N94+'Gmina Kotuń'!N151</f>
        <v>1761773.65</v>
      </c>
      <c r="E40" s="898"/>
      <c r="F40" s="899"/>
      <c r="G40" s="1546">
        <f>'Miasto Mińsk!'!O308+'Gmina Halinów!'!O199+'Gmina Mrozy!'!P231+'Gmina Mińsk!'!O216+'Gmina Dębe Wielkie!'!O121+'Gmina Siennica!'!O214+'Gmina Latowicz!'!O120+'Gmina Cegłów!'!O144+'Miasto Sulejówek!'!O229+'Gmina Dobre!'!O90+'Gmina Jakubów!'!O113+'Gmina Kałuszyn!'!O145+'Gmina Stanisławów!'!O94+'Gmina Kotuń'!O151</f>
        <v>227</v>
      </c>
      <c r="H40" s="1"/>
    </row>
    <row r="41" spans="1:8" ht="15">
      <c r="A41" s="1542" t="s">
        <v>457</v>
      </c>
      <c r="B41" s="900"/>
      <c r="C41" s="898"/>
      <c r="D41" s="898"/>
      <c r="E41" s="902">
        <f>'Gmina Siennica!'!M215+'Gmina Latowicz!'!M121+'Gmina Cegłów!'!M145+'Gmina Jakubów!'!M114+'Gmina Kotuń'!M152</f>
        <v>12163</v>
      </c>
      <c r="F41" s="903">
        <f>'Gmina Siennica!'!N215+'Gmina Latowicz!'!N121+'Gmina Cegłów!'!N145+'Gmina Jakubów!'!N114+'Gmina Kotuń'!N152</f>
        <v>5458</v>
      </c>
      <c r="G41" s="1546">
        <f>'Gmina Siennica!'!O215+'Gmina Latowicz!'!O121+'Gmina Cegłów!'!O145+'Gmina Jakubów!'!O114+'Gmina Kotuń'!O152</f>
        <v>6</v>
      </c>
      <c r="H41" s="1"/>
    </row>
    <row r="42" spans="1:7" s="1" customFormat="1" ht="15">
      <c r="A42" s="1542" t="s">
        <v>22</v>
      </c>
      <c r="B42" s="904">
        <f>'Miasto Mińsk!'!L307+'Powiat Miński!'!L154+'Gmina Halinów!'!L200+'Gmina Mrozy!'!M228+'Gmina Mińsk!'!L215+'Gmina Dębe Wielkie!'!L119+'Gmina Latowicz!'!L119+'Gmina Cegłów!'!L143+'Miasto Sulejówek!'!L228+'Gmina Dobre!'!L89+'Gmina Jakubów!'!L112+'Gmina Kałuszyn!'!L144+'Gmina Kotuń'!L153</f>
        <v>7039390.240000001</v>
      </c>
      <c r="C42" s="898"/>
      <c r="D42" s="898"/>
      <c r="E42" s="905"/>
      <c r="F42" s="906"/>
      <c r="G42" s="1546">
        <f>'Miasto Mińsk!'!O307+'Powiat Miński!'!O154+'Gmina Halinów!'!O200+'Gmina Mrozy!'!P228+'Gmina Mińsk!'!O215+'Gmina Dębe Wielkie!'!O119+'Gmina Latowicz!'!O119+'Gmina Cegłów!'!O143+'Miasto Sulejówek!'!O228+'Gmina Dobre!'!O89+'Gmina Jakubów!'!O112+'Gmina Kałuszyn!'!O144+'Gmina Kotuń'!O153</f>
        <v>55</v>
      </c>
    </row>
    <row r="43" spans="1:7" s="1" customFormat="1" ht="15">
      <c r="A43" s="1542" t="s">
        <v>72</v>
      </c>
      <c r="B43" s="900"/>
      <c r="C43" s="902">
        <f>'Miasto Mińsk!'!M309+'Gmina Mrozy!'!N229+'Gmina Mińsk!'!M217+'Gmina Dębe Wielkie!'!M120+'Gmina Siennica!'!M216+'Gmina Stanisławów!'!M95</f>
        <v>886268.4999999999</v>
      </c>
      <c r="D43" s="902">
        <f>'Miasto Mińsk!'!N309+'Gmina Mrozy!'!O229+'Gmina Mińsk!'!N217+'Gmina Dębe Wielkie!'!N120+'Gmina Siennica!'!N216+'Gmina Stanisławów!'!N95</f>
        <v>2040467.5000000002</v>
      </c>
      <c r="E43" s="905"/>
      <c r="F43" s="906"/>
      <c r="G43" s="1546">
        <f>'Miasto Mińsk!'!O309+'Gmina Mrozy!'!P229+'Gmina Mińsk!'!O217+'Gmina Dębe Wielkie!'!O120+'Gmina Siennica!'!O216+'Gmina Stanisławów!'!O95</f>
        <v>16</v>
      </c>
    </row>
    <row r="44" spans="1:7" s="1" customFormat="1" ht="15">
      <c r="A44" s="1542" t="s">
        <v>272</v>
      </c>
      <c r="B44" s="900"/>
      <c r="C44" s="898"/>
      <c r="D44" s="898"/>
      <c r="E44" s="902">
        <f>'Gmina Mrozy!'!N230</f>
        <v>170160.75000000006</v>
      </c>
      <c r="F44" s="903">
        <f>'Gmina Mrozy!'!O230</f>
        <v>112183.50000000003</v>
      </c>
      <c r="G44" s="1546">
        <f>'Gmina Mrozy!'!P230</f>
        <v>1</v>
      </c>
    </row>
    <row r="45" spans="1:7" s="1" customFormat="1" ht="15">
      <c r="A45" s="1543" t="s">
        <v>1200</v>
      </c>
      <c r="B45" s="907">
        <f>'Gmina Latowicz!'!L122</f>
        <v>54249.600000000006</v>
      </c>
      <c r="C45" s="908"/>
      <c r="D45" s="908"/>
      <c r="E45" s="909"/>
      <c r="F45" s="910"/>
      <c r="G45" s="1547">
        <f>'Gmina Latowicz!'!O122</f>
        <v>1</v>
      </c>
    </row>
    <row r="46" spans="1:7" s="1" customFormat="1" ht="15">
      <c r="A46" s="1543" t="s">
        <v>750</v>
      </c>
      <c r="B46" s="907">
        <f>'Gmina Stanisławów!'!L92</f>
        <v>126501</v>
      </c>
      <c r="C46" s="908"/>
      <c r="D46" s="908"/>
      <c r="E46" s="909"/>
      <c r="F46" s="910"/>
      <c r="G46" s="1547">
        <f>'Gmina Stanisławów!'!O92</f>
        <v>1</v>
      </c>
    </row>
    <row r="47" spans="1:7" s="1" customFormat="1" ht="15.75" thickBot="1">
      <c r="A47" s="1542" t="s">
        <v>160</v>
      </c>
      <c r="B47" s="911">
        <f>'Miasto Mińsk!'!L310</f>
        <v>5184</v>
      </c>
      <c r="C47" s="912"/>
      <c r="D47" s="912"/>
      <c r="E47" s="913"/>
      <c r="F47" s="914"/>
      <c r="G47" s="1548">
        <f>'Miasto Mińsk!'!O310</f>
        <v>1</v>
      </c>
    </row>
    <row r="48" spans="1:8" ht="15.75" thickBot="1">
      <c r="A48" s="1549" t="s">
        <v>1847</v>
      </c>
      <c r="B48" s="1550">
        <f aca="true" t="shared" si="0" ref="B48:G48">SUM(B36:B47)</f>
        <v>9891741.91</v>
      </c>
      <c r="C48" s="1550">
        <f t="shared" si="0"/>
        <v>1623883.2999999998</v>
      </c>
      <c r="D48" s="1550">
        <f t="shared" si="0"/>
        <v>3802241.1500000004</v>
      </c>
      <c r="E48" s="1550">
        <f t="shared" si="0"/>
        <v>513933.75000000006</v>
      </c>
      <c r="F48" s="1550">
        <f t="shared" si="0"/>
        <v>279131.5</v>
      </c>
      <c r="G48" s="889">
        <f t="shared" si="0"/>
        <v>649</v>
      </c>
      <c r="H48" s="1"/>
    </row>
    <row r="49" spans="1:8" ht="15.75" thickBot="1">
      <c r="A49" s="1"/>
      <c r="B49" s="1"/>
      <c r="C49" s="1"/>
      <c r="D49" s="1"/>
      <c r="E49" s="1" t="s">
        <v>761</v>
      </c>
      <c r="F49" s="657">
        <f>SUM(B36:F47)</f>
        <v>16110931.610000001</v>
      </c>
      <c r="G49" s="1"/>
      <c r="H49" s="1"/>
    </row>
    <row r="50" spans="1:8" ht="14.25">
      <c r="A50" s="1"/>
      <c r="B50" s="1"/>
      <c r="C50" s="1"/>
      <c r="D50" s="1"/>
      <c r="E50" s="1"/>
      <c r="F50" s="33"/>
      <c r="G50" s="1"/>
      <c r="H50" s="1"/>
    </row>
  </sheetData>
  <sheetProtection/>
  <mergeCells count="7">
    <mergeCell ref="A1:L1"/>
    <mergeCell ref="B4:E4"/>
    <mergeCell ref="A32:G32"/>
    <mergeCell ref="A34:A35"/>
    <mergeCell ref="B34:F34"/>
    <mergeCell ref="G34:G35"/>
    <mergeCell ref="B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7"/>
  <sheetViews>
    <sheetView zoomScale="80" zoomScaleNormal="80" zoomScalePageLayoutView="0" workbookViewId="0" topLeftCell="A115">
      <selection activeCell="B119" sqref="B119:H123"/>
    </sheetView>
  </sheetViews>
  <sheetFormatPr defaultColWidth="8.796875" defaultRowHeight="14.25"/>
  <cols>
    <col min="1" max="1" width="14" style="1" customWidth="1"/>
    <col min="2" max="2" width="16.19921875" style="1" customWidth="1"/>
    <col min="3" max="3" width="14.09765625" style="1" customWidth="1"/>
    <col min="4" max="4" width="14" style="1" customWidth="1"/>
    <col min="5" max="5" width="10.09765625" style="1" customWidth="1"/>
    <col min="6" max="6" width="11.09765625" style="1" customWidth="1"/>
    <col min="7" max="7" width="9.69921875" style="1" customWidth="1"/>
    <col min="8" max="8" width="25.69921875" style="1" customWidth="1"/>
    <col min="9" max="9" width="15.09765625" style="1" customWidth="1"/>
    <col min="10" max="10" width="9.8984375" style="1" customWidth="1"/>
    <col min="11" max="11" width="12" style="112" customWidth="1"/>
    <col min="12" max="12" width="14.3984375" style="1" customWidth="1"/>
    <col min="13" max="13" width="15.59765625" style="1" customWidth="1"/>
    <col min="14" max="14" width="17.09765625" style="1" customWidth="1"/>
    <col min="15" max="15" width="16.09765625" style="1" customWidth="1"/>
    <col min="16" max="16" width="12.69921875" style="1" customWidth="1"/>
    <col min="17" max="17" width="13.3984375" style="1" customWidth="1"/>
    <col min="18" max="18" width="14.59765625" style="1" customWidth="1"/>
    <col min="19" max="19" width="12" style="1" customWidth="1"/>
    <col min="20" max="20" width="21.5" style="1" customWidth="1"/>
    <col min="21" max="16384" width="9" style="1" customWidth="1"/>
  </cols>
  <sheetData>
    <row r="1" spans="2:9" ht="18">
      <c r="B1" s="1609" t="s">
        <v>1231</v>
      </c>
      <c r="C1" s="1609"/>
      <c r="D1" s="1609"/>
      <c r="E1" s="1609"/>
      <c r="F1" s="1609"/>
      <c r="G1" s="1609"/>
      <c r="H1" s="1609"/>
      <c r="I1" s="1609"/>
    </row>
    <row r="3" spans="2:9" ht="28.5" customHeight="1">
      <c r="B3" s="1642" t="s">
        <v>731</v>
      </c>
      <c r="C3" s="1643"/>
      <c r="D3" s="1643"/>
      <c r="E3" s="1643"/>
      <c r="F3" s="1643"/>
      <c r="G3" s="1643"/>
      <c r="H3" s="1643"/>
      <c r="I3" s="1644"/>
    </row>
    <row r="4" spans="2:9" ht="15">
      <c r="B4" s="487"/>
      <c r="C4" s="487"/>
      <c r="D4" s="487"/>
      <c r="E4" s="487"/>
      <c r="F4" s="487"/>
      <c r="G4" s="487"/>
      <c r="H4" s="487"/>
      <c r="I4" s="487"/>
    </row>
    <row r="5" spans="2:9" ht="15">
      <c r="B5" s="1605" t="s">
        <v>1103</v>
      </c>
      <c r="C5" s="1605"/>
      <c r="D5" s="1605"/>
      <c r="E5" s="1605"/>
      <c r="F5" s="1605"/>
      <c r="G5" s="1605"/>
      <c r="H5" s="1605"/>
      <c r="I5" s="1605"/>
    </row>
    <row r="6" spans="2:9" ht="15">
      <c r="B6" s="487"/>
      <c r="C6" s="487"/>
      <c r="D6" s="487"/>
      <c r="E6" s="487"/>
      <c r="F6" s="487"/>
      <c r="G6" s="487"/>
      <c r="H6" s="490"/>
      <c r="I6" s="489"/>
    </row>
    <row r="7" spans="2:9" ht="15.75">
      <c r="B7" s="488" t="s">
        <v>1</v>
      </c>
      <c r="C7" s="489"/>
      <c r="D7" s="487"/>
      <c r="E7" s="487"/>
      <c r="F7" s="487"/>
      <c r="G7" s="489"/>
      <c r="H7" s="490"/>
      <c r="I7" s="489"/>
    </row>
    <row r="8" spans="2:9" ht="15.75">
      <c r="B8" s="1389" t="s">
        <v>1833</v>
      </c>
      <c r="C8" s="489"/>
      <c r="D8" s="487"/>
      <c r="E8" s="487"/>
      <c r="F8" s="487"/>
      <c r="G8" s="489"/>
      <c r="H8" s="490"/>
      <c r="I8" s="489"/>
    </row>
    <row r="9" spans="2:9" ht="15.75">
      <c r="B9" s="491" t="s">
        <v>1535</v>
      </c>
      <c r="C9" s="489"/>
      <c r="D9" s="492"/>
      <c r="E9" s="487"/>
      <c r="F9" s="487"/>
      <c r="G9" s="489"/>
      <c r="H9" s="490"/>
      <c r="I9" s="489"/>
    </row>
    <row r="10" spans="2:9" ht="15.75">
      <c r="B10" s="491" t="s">
        <v>1096</v>
      </c>
      <c r="C10" s="489"/>
      <c r="D10" s="492"/>
      <c r="E10" s="487"/>
      <c r="F10" s="487"/>
      <c r="G10" s="489"/>
      <c r="H10" s="490"/>
      <c r="I10" s="489"/>
    </row>
    <row r="11" spans="2:9" ht="15">
      <c r="B11" s="489" t="s">
        <v>727</v>
      </c>
      <c r="C11" s="489"/>
      <c r="D11" s="489"/>
      <c r="E11" s="489"/>
      <c r="F11" s="489"/>
      <c r="G11" s="489"/>
      <c r="H11" s="490"/>
      <c r="I11" s="489"/>
    </row>
    <row r="12" spans="2:9" ht="15.75">
      <c r="B12" s="493"/>
      <c r="C12" s="494"/>
      <c r="D12" s="492"/>
      <c r="E12" s="492"/>
      <c r="F12" s="492"/>
      <c r="G12" s="492"/>
      <c r="H12" s="489"/>
      <c r="I12" s="489"/>
    </row>
    <row r="13" spans="2:9" ht="15.75">
      <c r="B13" s="493" t="s">
        <v>5</v>
      </c>
      <c r="C13" s="488" t="s">
        <v>6</v>
      </c>
      <c r="D13" s="492"/>
      <c r="E13" s="492"/>
      <c r="F13" s="492"/>
      <c r="G13" s="492"/>
      <c r="H13" s="489"/>
      <c r="I13" s="489"/>
    </row>
    <row r="14" spans="1:9" ht="15" thickBot="1">
      <c r="A14" s="56"/>
      <c r="B14" s="57"/>
      <c r="C14" s="56"/>
      <c r="D14" s="56"/>
      <c r="E14" s="56"/>
      <c r="F14" s="56"/>
      <c r="G14" s="56"/>
      <c r="H14" s="56"/>
      <c r="I14" s="56"/>
    </row>
    <row r="15" spans="1:15" ht="49.5" customHeight="1">
      <c r="A15" s="1588" t="s">
        <v>7</v>
      </c>
      <c r="B15" s="1591" t="s">
        <v>664</v>
      </c>
      <c r="C15" s="1594" t="s">
        <v>9</v>
      </c>
      <c r="D15" s="1594" t="s">
        <v>10</v>
      </c>
      <c r="E15" s="1574" t="s">
        <v>919</v>
      </c>
      <c r="F15" s="1574" t="s">
        <v>12</v>
      </c>
      <c r="G15" s="1594" t="s">
        <v>13</v>
      </c>
      <c r="H15" s="1574" t="s">
        <v>14</v>
      </c>
      <c r="I15" s="1574" t="s">
        <v>282</v>
      </c>
      <c r="J15" s="1574" t="s">
        <v>60</v>
      </c>
      <c r="K15" s="1583" t="s">
        <v>666</v>
      </c>
      <c r="L15" s="1640" t="s">
        <v>667</v>
      </c>
      <c r="M15" s="1634"/>
      <c r="N15" s="1634"/>
      <c r="O15" s="1641"/>
    </row>
    <row r="16" spans="1:15" ht="40.5" customHeight="1">
      <c r="A16" s="1589"/>
      <c r="B16" s="1592"/>
      <c r="C16" s="1595"/>
      <c r="D16" s="1595"/>
      <c r="E16" s="1575"/>
      <c r="F16" s="1575"/>
      <c r="G16" s="1595"/>
      <c r="H16" s="1575"/>
      <c r="I16" s="1613"/>
      <c r="J16" s="1575"/>
      <c r="K16" s="1584"/>
      <c r="L16" s="1597" t="s">
        <v>668</v>
      </c>
      <c r="M16" s="1568"/>
      <c r="N16" s="1568"/>
      <c r="O16" s="1598"/>
    </row>
    <row r="17" spans="1:15" ht="35.25" customHeight="1" thickBot="1">
      <c r="A17" s="1590"/>
      <c r="B17" s="1593"/>
      <c r="C17" s="1596"/>
      <c r="D17" s="1596"/>
      <c r="E17" s="1576"/>
      <c r="F17" s="1576"/>
      <c r="G17" s="1596"/>
      <c r="H17" s="1576"/>
      <c r="I17" s="1614"/>
      <c r="J17" s="1576"/>
      <c r="K17" s="1585"/>
      <c r="L17" s="270" t="s">
        <v>669</v>
      </c>
      <c r="M17" s="277" t="s">
        <v>670</v>
      </c>
      <c r="N17" s="277" t="s">
        <v>671</v>
      </c>
      <c r="O17" s="272" t="s">
        <v>17</v>
      </c>
    </row>
    <row r="18" spans="1:15" ht="26.25">
      <c r="A18" s="570" t="s">
        <v>27</v>
      </c>
      <c r="B18" s="243" t="s">
        <v>506</v>
      </c>
      <c r="C18" s="243" t="s">
        <v>267</v>
      </c>
      <c r="D18" s="243" t="s">
        <v>30</v>
      </c>
      <c r="E18" s="243">
        <v>4</v>
      </c>
      <c r="F18" s="243" t="s">
        <v>266</v>
      </c>
      <c r="G18" s="240" t="s">
        <v>267</v>
      </c>
      <c r="H18" s="719" t="s">
        <v>928</v>
      </c>
      <c r="I18" s="554">
        <v>39879</v>
      </c>
      <c r="J18" s="873" t="s">
        <v>67</v>
      </c>
      <c r="K18" s="244">
        <v>20</v>
      </c>
      <c r="L18" s="35"/>
      <c r="M18" s="34">
        <f>48307-38457</f>
        <v>9850</v>
      </c>
      <c r="N18" s="34">
        <f>123635-96869</f>
        <v>26766</v>
      </c>
      <c r="O18" s="245">
        <f>SUM(M18:N18)</f>
        <v>36616</v>
      </c>
    </row>
    <row r="19" spans="1:15" ht="26.25">
      <c r="A19" s="570" t="s">
        <v>27</v>
      </c>
      <c r="B19" s="243" t="s">
        <v>1381</v>
      </c>
      <c r="C19" s="243" t="s">
        <v>267</v>
      </c>
      <c r="D19" s="243" t="s">
        <v>81</v>
      </c>
      <c r="E19" s="243"/>
      <c r="F19" s="243" t="s">
        <v>266</v>
      </c>
      <c r="G19" s="240" t="s">
        <v>267</v>
      </c>
      <c r="H19" s="719" t="s">
        <v>932</v>
      </c>
      <c r="I19" s="554">
        <v>39874</v>
      </c>
      <c r="J19" s="873" t="s">
        <v>67</v>
      </c>
      <c r="K19" s="244">
        <v>3</v>
      </c>
      <c r="L19" s="35"/>
      <c r="M19" s="34">
        <f>44-13</f>
        <v>31</v>
      </c>
      <c r="N19" s="34">
        <f>155-32</f>
        <v>123</v>
      </c>
      <c r="O19" s="245">
        <f aca="true" t="shared" si="0" ref="O19:O32">SUM(M19:N19)</f>
        <v>154</v>
      </c>
    </row>
    <row r="20" spans="1:15" ht="18">
      <c r="A20" s="570" t="s">
        <v>27</v>
      </c>
      <c r="B20" s="243" t="s">
        <v>507</v>
      </c>
      <c r="C20" s="243" t="s">
        <v>508</v>
      </c>
      <c r="D20" s="4"/>
      <c r="E20" s="243"/>
      <c r="F20" s="243" t="s">
        <v>266</v>
      </c>
      <c r="G20" s="240" t="s">
        <v>267</v>
      </c>
      <c r="H20" s="719" t="s">
        <v>934</v>
      </c>
      <c r="I20" s="554">
        <v>39138</v>
      </c>
      <c r="J20" s="873" t="s">
        <v>67</v>
      </c>
      <c r="K20" s="244">
        <v>3</v>
      </c>
      <c r="L20" s="35"/>
      <c r="M20" s="34">
        <f>2</f>
        <v>2</v>
      </c>
      <c r="N20" s="34">
        <v>8</v>
      </c>
      <c r="O20" s="245">
        <f t="shared" si="0"/>
        <v>10</v>
      </c>
    </row>
    <row r="21" spans="1:15" ht="18">
      <c r="A21" s="570" t="s">
        <v>27</v>
      </c>
      <c r="B21" s="243" t="s">
        <v>509</v>
      </c>
      <c r="C21" s="243" t="s">
        <v>265</v>
      </c>
      <c r="D21" s="4"/>
      <c r="E21" s="243">
        <v>93</v>
      </c>
      <c r="F21" s="243" t="s">
        <v>266</v>
      </c>
      <c r="G21" s="240" t="s">
        <v>267</v>
      </c>
      <c r="H21" s="719" t="s">
        <v>926</v>
      </c>
      <c r="I21" s="554">
        <v>39875</v>
      </c>
      <c r="J21" s="873" t="s">
        <v>67</v>
      </c>
      <c r="K21" s="244">
        <v>3</v>
      </c>
      <c r="L21" s="35"/>
      <c r="M21" s="34">
        <f>1948-1489</f>
        <v>459</v>
      </c>
      <c r="N21" s="34">
        <f>5987-4457</f>
        <v>1530</v>
      </c>
      <c r="O21" s="245">
        <f t="shared" si="0"/>
        <v>1989</v>
      </c>
    </row>
    <row r="22" spans="1:15" ht="18">
      <c r="A22" s="570" t="s">
        <v>27</v>
      </c>
      <c r="B22" s="243" t="s">
        <v>510</v>
      </c>
      <c r="C22" s="243" t="s">
        <v>511</v>
      </c>
      <c r="D22" s="4"/>
      <c r="E22" s="243">
        <v>58</v>
      </c>
      <c r="F22" s="243" t="s">
        <v>266</v>
      </c>
      <c r="G22" s="240" t="s">
        <v>267</v>
      </c>
      <c r="H22" s="719" t="s">
        <v>936</v>
      </c>
      <c r="I22" s="554">
        <v>39143</v>
      </c>
      <c r="J22" s="873" t="s">
        <v>67</v>
      </c>
      <c r="K22" s="244">
        <v>4</v>
      </c>
      <c r="L22" s="35"/>
      <c r="M22" s="34">
        <v>0</v>
      </c>
      <c r="N22" s="34">
        <v>0</v>
      </c>
      <c r="O22" s="245">
        <f t="shared" si="0"/>
        <v>0</v>
      </c>
    </row>
    <row r="23" spans="1:15" ht="18">
      <c r="A23" s="570" t="s">
        <v>27</v>
      </c>
      <c r="B23" s="243" t="s">
        <v>362</v>
      </c>
      <c r="C23" s="243" t="s">
        <v>512</v>
      </c>
      <c r="D23" s="4"/>
      <c r="E23" s="243">
        <v>17</v>
      </c>
      <c r="F23" s="243" t="s">
        <v>266</v>
      </c>
      <c r="G23" s="240" t="s">
        <v>267</v>
      </c>
      <c r="H23" s="719" t="s">
        <v>933</v>
      </c>
      <c r="I23" s="554">
        <v>39136</v>
      </c>
      <c r="J23" s="873" t="s">
        <v>67</v>
      </c>
      <c r="K23" s="244">
        <v>4</v>
      </c>
      <c r="L23" s="35"/>
      <c r="M23" s="34">
        <f>767-685</f>
        <v>82</v>
      </c>
      <c r="N23" s="34">
        <f>2018-1728</f>
        <v>290</v>
      </c>
      <c r="O23" s="245">
        <f t="shared" si="0"/>
        <v>372</v>
      </c>
    </row>
    <row r="24" spans="1:15" ht="18">
      <c r="A24" s="570" t="s">
        <v>27</v>
      </c>
      <c r="B24" s="243" t="s">
        <v>513</v>
      </c>
      <c r="C24" s="243" t="s">
        <v>514</v>
      </c>
      <c r="D24" s="4"/>
      <c r="E24" s="243">
        <v>78</v>
      </c>
      <c r="F24" s="243" t="s">
        <v>266</v>
      </c>
      <c r="G24" s="240" t="s">
        <v>267</v>
      </c>
      <c r="H24" s="719" t="s">
        <v>924</v>
      </c>
      <c r="I24" s="554">
        <v>39876</v>
      </c>
      <c r="J24" s="873" t="s">
        <v>67</v>
      </c>
      <c r="K24" s="244">
        <v>5.5</v>
      </c>
      <c r="L24" s="35"/>
      <c r="M24" s="34">
        <f>3495-3066</f>
        <v>429</v>
      </c>
      <c r="N24" s="34">
        <f>8770-7666</f>
        <v>1104</v>
      </c>
      <c r="O24" s="245">
        <f t="shared" si="0"/>
        <v>1533</v>
      </c>
    </row>
    <row r="25" spans="1:15" ht="18">
      <c r="A25" s="570" t="s">
        <v>27</v>
      </c>
      <c r="B25" s="243" t="s">
        <v>197</v>
      </c>
      <c r="C25" s="243" t="s">
        <v>267</v>
      </c>
      <c r="D25" s="243" t="s">
        <v>1437</v>
      </c>
      <c r="E25" s="243"/>
      <c r="F25" s="243" t="s">
        <v>266</v>
      </c>
      <c r="G25" s="240" t="s">
        <v>267</v>
      </c>
      <c r="H25" s="719" t="s">
        <v>929</v>
      </c>
      <c r="I25" s="554">
        <v>37111</v>
      </c>
      <c r="J25" s="873" t="s">
        <v>67</v>
      </c>
      <c r="K25" s="244">
        <v>10</v>
      </c>
      <c r="L25" s="35"/>
      <c r="M25" s="34">
        <f>22762-18711</f>
        <v>4051</v>
      </c>
      <c r="N25" s="34">
        <f>58112-47407</f>
        <v>10705</v>
      </c>
      <c r="O25" s="245">
        <f t="shared" si="0"/>
        <v>14756</v>
      </c>
    </row>
    <row r="26" spans="1:15" ht="18">
      <c r="A26" s="570" t="s">
        <v>27</v>
      </c>
      <c r="B26" s="243" t="s">
        <v>515</v>
      </c>
      <c r="C26" s="243" t="s">
        <v>516</v>
      </c>
      <c r="D26" s="4"/>
      <c r="E26" s="243">
        <v>2</v>
      </c>
      <c r="F26" s="243" t="s">
        <v>266</v>
      </c>
      <c r="G26" s="240" t="s">
        <v>267</v>
      </c>
      <c r="H26" s="719" t="s">
        <v>927</v>
      </c>
      <c r="I26" s="554">
        <v>37107</v>
      </c>
      <c r="J26" s="873" t="s">
        <v>67</v>
      </c>
      <c r="K26" s="244">
        <v>6.6</v>
      </c>
      <c r="L26" s="35"/>
      <c r="M26" s="34">
        <f>1233-814</f>
        <v>419</v>
      </c>
      <c r="N26" s="34">
        <f>3001-2208</f>
        <v>793</v>
      </c>
      <c r="O26" s="245">
        <f t="shared" si="0"/>
        <v>1212</v>
      </c>
    </row>
    <row r="27" spans="1:15" ht="40.5" customHeight="1">
      <c r="A27" s="570" t="s">
        <v>27</v>
      </c>
      <c r="B27" s="243" t="s">
        <v>1436</v>
      </c>
      <c r="C27" s="923" t="s">
        <v>517</v>
      </c>
      <c r="D27" s="4"/>
      <c r="E27" s="243">
        <v>131</v>
      </c>
      <c r="F27" s="243" t="s">
        <v>266</v>
      </c>
      <c r="G27" s="240" t="s">
        <v>267</v>
      </c>
      <c r="H27" s="719" t="s">
        <v>923</v>
      </c>
      <c r="I27" s="554">
        <v>39139</v>
      </c>
      <c r="J27" s="873" t="s">
        <v>67</v>
      </c>
      <c r="K27" s="244">
        <v>5.5</v>
      </c>
      <c r="L27" s="35"/>
      <c r="M27" s="34">
        <f>18-17</f>
        <v>1</v>
      </c>
      <c r="N27" s="34">
        <f>89-81</f>
        <v>8</v>
      </c>
      <c r="O27" s="245">
        <f t="shared" si="0"/>
        <v>9</v>
      </c>
    </row>
    <row r="28" spans="1:15" ht="26.25">
      <c r="A28" s="570" t="s">
        <v>27</v>
      </c>
      <c r="B28" s="243"/>
      <c r="C28" s="243" t="s">
        <v>267</v>
      </c>
      <c r="D28" s="243" t="s">
        <v>518</v>
      </c>
      <c r="E28" s="243">
        <v>39</v>
      </c>
      <c r="F28" s="243" t="s">
        <v>266</v>
      </c>
      <c r="G28" s="240" t="s">
        <v>267</v>
      </c>
      <c r="H28" s="719" t="s">
        <v>931</v>
      </c>
      <c r="I28" s="554">
        <v>39881</v>
      </c>
      <c r="J28" s="873" t="s">
        <v>67</v>
      </c>
      <c r="K28" s="244">
        <v>6.6</v>
      </c>
      <c r="L28" s="35"/>
      <c r="M28" s="34">
        <f>10804-2898</f>
        <v>7906</v>
      </c>
      <c r="N28" s="34">
        <f>25849-20751</f>
        <v>5098</v>
      </c>
      <c r="O28" s="245">
        <f t="shared" si="0"/>
        <v>13004</v>
      </c>
    </row>
    <row r="29" spans="1:15" ht="18">
      <c r="A29" s="570" t="s">
        <v>27</v>
      </c>
      <c r="B29" s="243" t="s">
        <v>471</v>
      </c>
      <c r="C29" s="243" t="s">
        <v>519</v>
      </c>
      <c r="D29" s="4"/>
      <c r="E29" s="243">
        <v>16</v>
      </c>
      <c r="F29" s="243" t="s">
        <v>266</v>
      </c>
      <c r="G29" s="240" t="s">
        <v>267</v>
      </c>
      <c r="H29" s="719" t="s">
        <v>935</v>
      </c>
      <c r="I29" s="554">
        <v>1000641</v>
      </c>
      <c r="J29" s="873" t="s">
        <v>67</v>
      </c>
      <c r="K29" s="244">
        <v>5</v>
      </c>
      <c r="L29" s="35"/>
      <c r="M29" s="34">
        <v>0</v>
      </c>
      <c r="N29" s="34">
        <v>0</v>
      </c>
      <c r="O29" s="245">
        <f t="shared" si="0"/>
        <v>0</v>
      </c>
    </row>
    <row r="30" spans="1:15" ht="18">
      <c r="A30" s="570" t="s">
        <v>27</v>
      </c>
      <c r="B30" s="243" t="s">
        <v>241</v>
      </c>
      <c r="C30" s="243" t="s">
        <v>514</v>
      </c>
      <c r="D30" s="4"/>
      <c r="E30" s="243">
        <v>52</v>
      </c>
      <c r="F30" s="243" t="s">
        <v>266</v>
      </c>
      <c r="G30" s="240" t="s">
        <v>267</v>
      </c>
      <c r="H30" s="719" t="s">
        <v>925</v>
      </c>
      <c r="I30" s="554">
        <v>39877</v>
      </c>
      <c r="J30" s="873" t="s">
        <v>67</v>
      </c>
      <c r="K30" s="244">
        <v>7</v>
      </c>
      <c r="L30" s="35"/>
      <c r="M30" s="34">
        <f>2068-1987</f>
        <v>81</v>
      </c>
      <c r="N30" s="34">
        <f>6060-5846</f>
        <v>214</v>
      </c>
      <c r="O30" s="245">
        <f t="shared" si="0"/>
        <v>295</v>
      </c>
    </row>
    <row r="31" spans="1:15" ht="18">
      <c r="A31" s="570" t="s">
        <v>27</v>
      </c>
      <c r="B31" s="246" t="s">
        <v>1438</v>
      </c>
      <c r="C31" s="246" t="s">
        <v>267</v>
      </c>
      <c r="D31" s="246" t="s">
        <v>1437</v>
      </c>
      <c r="E31" s="243"/>
      <c r="F31" s="243" t="s">
        <v>266</v>
      </c>
      <c r="G31" s="240" t="s">
        <v>267</v>
      </c>
      <c r="H31" s="719" t="s">
        <v>930</v>
      </c>
      <c r="I31" s="554">
        <v>37202</v>
      </c>
      <c r="J31" s="873" t="s">
        <v>67</v>
      </c>
      <c r="K31" s="244">
        <v>10</v>
      </c>
      <c r="L31" s="35"/>
      <c r="M31" s="34">
        <f>3777-3147</f>
        <v>630</v>
      </c>
      <c r="N31" s="34">
        <f>10845-8804</f>
        <v>2041</v>
      </c>
      <c r="O31" s="245">
        <f t="shared" si="0"/>
        <v>2671</v>
      </c>
    </row>
    <row r="32" spans="1:15" ht="18">
      <c r="A32" s="570" t="s">
        <v>27</v>
      </c>
      <c r="B32" s="672"/>
      <c r="C32" s="453" t="s">
        <v>530</v>
      </c>
      <c r="D32" s="673"/>
      <c r="E32" s="48">
        <v>85</v>
      </c>
      <c r="F32" s="4" t="s">
        <v>266</v>
      </c>
      <c r="G32" s="4" t="s">
        <v>267</v>
      </c>
      <c r="H32" s="719" t="s">
        <v>1382</v>
      </c>
      <c r="I32" s="4">
        <v>341543</v>
      </c>
      <c r="J32" s="31" t="s">
        <v>67</v>
      </c>
      <c r="K32" s="8">
        <v>38</v>
      </c>
      <c r="L32" s="35"/>
      <c r="M32" s="34">
        <f>2743-654</f>
        <v>2089</v>
      </c>
      <c r="N32" s="4">
        <f>6830-1942</f>
        <v>4888</v>
      </c>
      <c r="O32" s="245">
        <f t="shared" si="0"/>
        <v>6977</v>
      </c>
    </row>
    <row r="33" spans="1:15" ht="18.75" thickBot="1">
      <c r="A33" s="570" t="s">
        <v>27</v>
      </c>
      <c r="B33" s="672"/>
      <c r="C33" s="453" t="s">
        <v>267</v>
      </c>
      <c r="D33" s="673" t="s">
        <v>340</v>
      </c>
      <c r="E33" s="48" t="s">
        <v>1434</v>
      </c>
      <c r="F33" s="1503" t="s">
        <v>266</v>
      </c>
      <c r="G33" s="1505" t="s">
        <v>267</v>
      </c>
      <c r="H33" s="797" t="s">
        <v>1435</v>
      </c>
      <c r="I33" s="554">
        <v>219105</v>
      </c>
      <c r="J33" s="398" t="s">
        <v>29</v>
      </c>
      <c r="K33" s="8">
        <v>7</v>
      </c>
      <c r="L33" s="36">
        <v>200</v>
      </c>
      <c r="M33" s="35"/>
      <c r="N33" s="32"/>
      <c r="O33" s="245">
        <f>L33</f>
        <v>200</v>
      </c>
    </row>
    <row r="34" spans="2:15" ht="24.75" customHeight="1">
      <c r="B34" s="721" t="s">
        <v>23</v>
      </c>
      <c r="C34" s="11" t="s">
        <v>521</v>
      </c>
      <c r="D34" s="12"/>
      <c r="E34" s="253"/>
      <c r="F34" s="458"/>
      <c r="G34" s="721" t="s">
        <v>1719</v>
      </c>
      <c r="H34" s="12" t="s">
        <v>521</v>
      </c>
      <c r="L34" s="33"/>
      <c r="M34" s="33"/>
      <c r="N34" s="275" t="s">
        <v>24</v>
      </c>
      <c r="O34" s="585">
        <f>SUM(O18:O33)</f>
        <v>79798</v>
      </c>
    </row>
    <row r="35" spans="2:15" ht="15">
      <c r="B35" s="571"/>
      <c r="C35" s="14" t="s">
        <v>544</v>
      </c>
      <c r="D35" s="15"/>
      <c r="E35" s="56"/>
      <c r="F35" s="190"/>
      <c r="G35" s="56"/>
      <c r="H35" s="15" t="s">
        <v>544</v>
      </c>
      <c r="L35" s="33"/>
      <c r="M35" s="33"/>
      <c r="N35" s="33"/>
      <c r="O35" s="33"/>
    </row>
    <row r="36" spans="2:15" ht="15.75" thickBot="1">
      <c r="B36" s="571"/>
      <c r="C36" s="14" t="s">
        <v>532</v>
      </c>
      <c r="D36" s="15"/>
      <c r="E36" s="253"/>
      <c r="F36" s="193"/>
      <c r="G36" s="233"/>
      <c r="H36" s="18" t="s">
        <v>532</v>
      </c>
      <c r="L36" s="33"/>
      <c r="M36" s="33"/>
      <c r="N36" s="33"/>
      <c r="O36" s="33"/>
    </row>
    <row r="37" spans="2:15" ht="15">
      <c r="B37" s="571" t="s">
        <v>169</v>
      </c>
      <c r="C37" s="14" t="s">
        <v>1836</v>
      </c>
      <c r="D37" s="15"/>
      <c r="E37" s="253"/>
      <c r="L37" s="33"/>
      <c r="M37" s="33"/>
      <c r="N37" s="33"/>
      <c r="O37" s="33"/>
    </row>
    <row r="38" spans="2:15" ht="15.75" thickBot="1">
      <c r="B38" s="447" t="s">
        <v>1112</v>
      </c>
      <c r="C38" s="17" t="s">
        <v>1230</v>
      </c>
      <c r="D38" s="18"/>
      <c r="E38" s="56"/>
      <c r="H38" s="112"/>
      <c r="L38" s="33"/>
      <c r="M38" s="33"/>
      <c r="N38" s="33"/>
      <c r="O38" s="33"/>
    </row>
    <row r="39" spans="2:15" ht="15">
      <c r="B39" s="252"/>
      <c r="C39" s="14"/>
      <c r="D39" s="56"/>
      <c r="E39" s="56"/>
      <c r="H39" s="112"/>
      <c r="L39" s="33"/>
      <c r="M39" s="33"/>
      <c r="N39" s="33"/>
      <c r="O39" s="33"/>
    </row>
    <row r="40" spans="12:15" ht="15" thickBot="1">
      <c r="L40" s="33"/>
      <c r="M40" s="33"/>
      <c r="N40" s="33"/>
      <c r="O40" s="33"/>
    </row>
    <row r="41" spans="1:15" ht="48.75" customHeight="1">
      <c r="A41" s="1588" t="s">
        <v>7</v>
      </c>
      <c r="B41" s="1591" t="s">
        <v>664</v>
      </c>
      <c r="C41" s="1594" t="s">
        <v>9</v>
      </c>
      <c r="D41" s="1594" t="s">
        <v>10</v>
      </c>
      <c r="E41" s="1574" t="s">
        <v>919</v>
      </c>
      <c r="F41" s="1574" t="s">
        <v>12</v>
      </c>
      <c r="G41" s="1594" t="s">
        <v>13</v>
      </c>
      <c r="H41" s="1574" t="s">
        <v>14</v>
      </c>
      <c r="I41" s="1574" t="s">
        <v>282</v>
      </c>
      <c r="J41" s="1574" t="s">
        <v>60</v>
      </c>
      <c r="K41" s="1583" t="s">
        <v>666</v>
      </c>
      <c r="L41" s="1640" t="s">
        <v>667</v>
      </c>
      <c r="M41" s="1634"/>
      <c r="N41" s="1634"/>
      <c r="O41" s="1641"/>
    </row>
    <row r="42" spans="1:15" ht="40.5" customHeight="1">
      <c r="A42" s="1589"/>
      <c r="B42" s="1592"/>
      <c r="C42" s="1595"/>
      <c r="D42" s="1595"/>
      <c r="E42" s="1575"/>
      <c r="F42" s="1575"/>
      <c r="G42" s="1595"/>
      <c r="H42" s="1575"/>
      <c r="I42" s="1613"/>
      <c r="J42" s="1575"/>
      <c r="K42" s="1584"/>
      <c r="L42" s="1597" t="s">
        <v>668</v>
      </c>
      <c r="M42" s="1568"/>
      <c r="N42" s="1568"/>
      <c r="O42" s="1598"/>
    </row>
    <row r="43" spans="1:15" ht="35.25" customHeight="1" thickBot="1">
      <c r="A43" s="1590"/>
      <c r="B43" s="1593"/>
      <c r="C43" s="1596"/>
      <c r="D43" s="1596"/>
      <c r="E43" s="1576"/>
      <c r="F43" s="1576"/>
      <c r="G43" s="1596"/>
      <c r="H43" s="1576"/>
      <c r="I43" s="1614"/>
      <c r="J43" s="1576"/>
      <c r="K43" s="1585"/>
      <c r="L43" s="270" t="s">
        <v>669</v>
      </c>
      <c r="M43" s="277" t="s">
        <v>670</v>
      </c>
      <c r="N43" s="277" t="s">
        <v>671</v>
      </c>
      <c r="O43" s="272" t="s">
        <v>17</v>
      </c>
    </row>
    <row r="44" spans="1:15" ht="18">
      <c r="A44" s="570" t="s">
        <v>27</v>
      </c>
      <c r="B44" s="239" t="s">
        <v>351</v>
      </c>
      <c r="C44" s="239" t="s">
        <v>267</v>
      </c>
      <c r="D44" s="239" t="s">
        <v>340</v>
      </c>
      <c r="E44" s="239" t="s">
        <v>939</v>
      </c>
      <c r="F44" s="239" t="s">
        <v>266</v>
      </c>
      <c r="G44" s="240" t="s">
        <v>267</v>
      </c>
      <c r="H44" s="719" t="s">
        <v>522</v>
      </c>
      <c r="I44" s="553">
        <v>1002311</v>
      </c>
      <c r="J44" s="873" t="s">
        <v>67</v>
      </c>
      <c r="K44" s="241">
        <v>4</v>
      </c>
      <c r="L44" s="35"/>
      <c r="M44" s="34">
        <f>836-719</f>
        <v>117</v>
      </c>
      <c r="N44" s="34">
        <f>1429-1232</f>
        <v>197</v>
      </c>
      <c r="O44" s="259">
        <f>SUM(M44:N44)</f>
        <v>314</v>
      </c>
    </row>
    <row r="45" spans="1:15" ht="18">
      <c r="A45" s="570" t="s">
        <v>27</v>
      </c>
      <c r="B45" s="239" t="s">
        <v>351</v>
      </c>
      <c r="C45" s="239" t="s">
        <v>267</v>
      </c>
      <c r="D45" s="239" t="s">
        <v>340</v>
      </c>
      <c r="E45" s="239" t="s">
        <v>938</v>
      </c>
      <c r="F45" s="239" t="s">
        <v>266</v>
      </c>
      <c r="G45" s="240" t="s">
        <v>267</v>
      </c>
      <c r="H45" s="574" t="s">
        <v>523</v>
      </c>
      <c r="I45" s="553">
        <v>39883</v>
      </c>
      <c r="J45" s="873" t="s">
        <v>67</v>
      </c>
      <c r="K45" s="241">
        <v>27</v>
      </c>
      <c r="L45" s="35"/>
      <c r="M45" s="34">
        <f>82980-69976</f>
        <v>13004</v>
      </c>
      <c r="N45" s="34">
        <f>178741-149703</f>
        <v>29038</v>
      </c>
      <c r="O45" s="242">
        <f>SUM(M45:N45)</f>
        <v>42042</v>
      </c>
    </row>
    <row r="46" spans="1:15" ht="26.25">
      <c r="A46" s="570" t="s">
        <v>27</v>
      </c>
      <c r="B46" s="239" t="s">
        <v>524</v>
      </c>
      <c r="C46" s="239" t="s">
        <v>267</v>
      </c>
      <c r="D46" s="239" t="s">
        <v>525</v>
      </c>
      <c r="E46" s="239">
        <v>6</v>
      </c>
      <c r="F46" s="239" t="s">
        <v>266</v>
      </c>
      <c r="G46" s="240" t="s">
        <v>267</v>
      </c>
      <c r="H46" s="843" t="s">
        <v>526</v>
      </c>
      <c r="I46" s="553">
        <v>39880</v>
      </c>
      <c r="J46" s="873" t="s">
        <v>67</v>
      </c>
      <c r="K46" s="241">
        <v>7</v>
      </c>
      <c r="L46" s="35"/>
      <c r="M46" s="34">
        <v>2500</v>
      </c>
      <c r="N46" s="34">
        <f>26234-18247</f>
        <v>7987</v>
      </c>
      <c r="O46" s="242">
        <f>SUM(M46:N46)</f>
        <v>10487</v>
      </c>
    </row>
    <row r="47" spans="1:15" ht="18.75" thickBot="1">
      <c r="A47" s="570" t="s">
        <v>27</v>
      </c>
      <c r="B47" s="261" t="s">
        <v>351</v>
      </c>
      <c r="C47" s="261" t="s">
        <v>267</v>
      </c>
      <c r="D47" s="261" t="s">
        <v>340</v>
      </c>
      <c r="E47" s="239">
        <v>27</v>
      </c>
      <c r="F47" s="261" t="s">
        <v>266</v>
      </c>
      <c r="G47" s="1505" t="s">
        <v>267</v>
      </c>
      <c r="H47" s="1506" t="s">
        <v>527</v>
      </c>
      <c r="I47" s="553">
        <v>1000898</v>
      </c>
      <c r="J47" s="873" t="s">
        <v>67</v>
      </c>
      <c r="K47" s="241">
        <v>4</v>
      </c>
      <c r="L47" s="35"/>
      <c r="M47" s="34">
        <f>3346-2606</f>
        <v>740</v>
      </c>
      <c r="N47" s="34">
        <v>600</v>
      </c>
      <c r="O47" s="242">
        <f>SUM(M47:N47)</f>
        <v>1340</v>
      </c>
    </row>
    <row r="48" spans="2:15" ht="15">
      <c r="B48" s="721" t="s">
        <v>23</v>
      </c>
      <c r="C48" s="11" t="s">
        <v>521</v>
      </c>
      <c r="D48" s="12"/>
      <c r="E48" s="72"/>
      <c r="F48" s="458"/>
      <c r="G48" s="721" t="s">
        <v>1719</v>
      </c>
      <c r="H48" s="12" t="s">
        <v>528</v>
      </c>
      <c r="M48" s="33"/>
      <c r="N48" s="118" t="s">
        <v>24</v>
      </c>
      <c r="O48" s="574">
        <f>SUM(O44:O47)</f>
        <v>54183</v>
      </c>
    </row>
    <row r="49" spans="2:15" ht="15">
      <c r="B49" s="571"/>
      <c r="C49" s="14" t="s">
        <v>544</v>
      </c>
      <c r="D49" s="15"/>
      <c r="E49" s="72"/>
      <c r="F49" s="190"/>
      <c r="G49" s="56"/>
      <c r="H49" s="15" t="s">
        <v>1771</v>
      </c>
      <c r="M49" s="33"/>
      <c r="N49" s="262"/>
      <c r="O49" s="33"/>
    </row>
    <row r="50" spans="2:15" ht="15.75" thickBot="1">
      <c r="B50" s="571"/>
      <c r="C50" s="14" t="s">
        <v>532</v>
      </c>
      <c r="D50" s="15"/>
      <c r="E50" s="72"/>
      <c r="F50" s="193"/>
      <c r="G50" s="233"/>
      <c r="H50" s="18" t="s">
        <v>532</v>
      </c>
      <c r="M50" s="33"/>
      <c r="N50" s="33"/>
      <c r="O50" s="33"/>
    </row>
    <row r="51" spans="2:15" ht="15">
      <c r="B51" s="571" t="s">
        <v>169</v>
      </c>
      <c r="C51" s="14" t="s">
        <v>1836</v>
      </c>
      <c r="D51" s="15"/>
      <c r="E51" s="72"/>
      <c r="M51" s="33"/>
      <c r="N51" s="33"/>
      <c r="O51" s="33"/>
    </row>
    <row r="52" spans="2:15" ht="15.75" thickBot="1">
      <c r="B52" s="447" t="s">
        <v>1112</v>
      </c>
      <c r="C52" s="17" t="s">
        <v>1230</v>
      </c>
      <c r="D52" s="18"/>
      <c r="E52" s="72"/>
      <c r="M52" s="33"/>
      <c r="N52" s="33"/>
      <c r="O52" s="33"/>
    </row>
    <row r="53" spans="12:15" ht="15" thickBot="1">
      <c r="L53" s="33"/>
      <c r="M53" s="33"/>
      <c r="N53" s="33"/>
      <c r="O53" s="33"/>
    </row>
    <row r="54" spans="1:15" ht="46.5" customHeight="1">
      <c r="A54" s="1588" t="s">
        <v>7</v>
      </c>
      <c r="B54" s="1591" t="s">
        <v>664</v>
      </c>
      <c r="C54" s="1594" t="s">
        <v>9</v>
      </c>
      <c r="D54" s="1594" t="s">
        <v>10</v>
      </c>
      <c r="E54" s="1574" t="s">
        <v>919</v>
      </c>
      <c r="F54" s="1574" t="s">
        <v>12</v>
      </c>
      <c r="G54" s="1594" t="s">
        <v>13</v>
      </c>
      <c r="H54" s="1574" t="s">
        <v>14</v>
      </c>
      <c r="I54" s="1574" t="s">
        <v>282</v>
      </c>
      <c r="J54" s="1574" t="s">
        <v>60</v>
      </c>
      <c r="K54" s="1583" t="s">
        <v>666</v>
      </c>
      <c r="L54" s="1640" t="s">
        <v>667</v>
      </c>
      <c r="M54" s="1634"/>
      <c r="N54" s="1634"/>
      <c r="O54" s="1641"/>
    </row>
    <row r="55" spans="1:15" ht="40.5" customHeight="1">
      <c r="A55" s="1589"/>
      <c r="B55" s="1592"/>
      <c r="C55" s="1595"/>
      <c r="D55" s="1595"/>
      <c r="E55" s="1575"/>
      <c r="F55" s="1575"/>
      <c r="G55" s="1595"/>
      <c r="H55" s="1575"/>
      <c r="I55" s="1613"/>
      <c r="J55" s="1575"/>
      <c r="K55" s="1584"/>
      <c r="L55" s="1597" t="s">
        <v>668</v>
      </c>
      <c r="M55" s="1568"/>
      <c r="N55" s="1568"/>
      <c r="O55" s="1598"/>
    </row>
    <row r="56" spans="1:15" ht="35.25" customHeight="1" thickBot="1">
      <c r="A56" s="1590"/>
      <c r="B56" s="1593"/>
      <c r="C56" s="1596"/>
      <c r="D56" s="1596"/>
      <c r="E56" s="1576"/>
      <c r="F56" s="1576"/>
      <c r="G56" s="1596"/>
      <c r="H56" s="1576"/>
      <c r="I56" s="1614"/>
      <c r="J56" s="1576"/>
      <c r="K56" s="1585"/>
      <c r="L56" s="270" t="s">
        <v>669</v>
      </c>
      <c r="M56" s="277" t="s">
        <v>670</v>
      </c>
      <c r="N56" s="277" t="s">
        <v>671</v>
      </c>
      <c r="O56" s="272" t="s">
        <v>17</v>
      </c>
    </row>
    <row r="57" spans="1:15" ht="18.75" thickBot="1">
      <c r="A57" s="570" t="s">
        <v>27</v>
      </c>
      <c r="B57" s="246" t="s">
        <v>351</v>
      </c>
      <c r="C57" s="246" t="s">
        <v>265</v>
      </c>
      <c r="D57" s="6"/>
      <c r="E57" s="1502">
        <v>152</v>
      </c>
      <c r="F57" s="246" t="s">
        <v>266</v>
      </c>
      <c r="G57" s="1503" t="s">
        <v>267</v>
      </c>
      <c r="H57" s="797" t="s">
        <v>529</v>
      </c>
      <c r="I57" s="916">
        <v>37109</v>
      </c>
      <c r="J57" s="917" t="s">
        <v>67</v>
      </c>
      <c r="K57" s="918">
        <v>6.6</v>
      </c>
      <c r="L57" s="39"/>
      <c r="M57" s="34">
        <f>17677-15189</f>
        <v>2488</v>
      </c>
      <c r="N57" s="34">
        <f>32260-26921</f>
        <v>5339</v>
      </c>
      <c r="O57" s="245">
        <f>SUM(M57:N57)</f>
        <v>7827</v>
      </c>
    </row>
    <row r="58" spans="2:15" ht="15">
      <c r="B58" s="721" t="s">
        <v>23</v>
      </c>
      <c r="C58" s="11" t="s">
        <v>521</v>
      </c>
      <c r="D58" s="12"/>
      <c r="E58" s="72"/>
      <c r="F58" s="458"/>
      <c r="G58" s="721" t="s">
        <v>1719</v>
      </c>
      <c r="H58" s="248" t="s">
        <v>1772</v>
      </c>
      <c r="I58" s="28"/>
      <c r="M58" s="33"/>
      <c r="N58" s="34" t="s">
        <v>24</v>
      </c>
      <c r="O58" s="574">
        <f>SUM(O57)</f>
        <v>7827</v>
      </c>
    </row>
    <row r="59" spans="2:15" ht="15">
      <c r="B59" s="571"/>
      <c r="C59" s="14" t="s">
        <v>544</v>
      </c>
      <c r="D59" s="15"/>
      <c r="E59" s="72"/>
      <c r="F59" s="1504"/>
      <c r="G59" s="56"/>
      <c r="H59" s="252" t="s">
        <v>1773</v>
      </c>
      <c r="I59" s="29"/>
      <c r="M59" s="33"/>
      <c r="N59" s="33"/>
      <c r="O59" s="33"/>
    </row>
    <row r="60" spans="2:15" ht="15.75" thickBot="1">
      <c r="B60" s="571"/>
      <c r="C60" s="14" t="s">
        <v>532</v>
      </c>
      <c r="D60" s="15"/>
      <c r="E60" s="72"/>
      <c r="F60" s="193"/>
      <c r="G60" s="233"/>
      <c r="H60" s="233" t="s">
        <v>532</v>
      </c>
      <c r="I60" s="30"/>
      <c r="M60" s="33"/>
      <c r="N60" s="33"/>
      <c r="O60" s="33"/>
    </row>
    <row r="61" spans="2:15" ht="15">
      <c r="B61" s="571" t="s">
        <v>169</v>
      </c>
      <c r="C61" s="14" t="s">
        <v>1836</v>
      </c>
      <c r="D61" s="15"/>
      <c r="E61" s="72"/>
      <c r="M61" s="33"/>
      <c r="N61" s="33"/>
      <c r="O61" s="33"/>
    </row>
    <row r="62" spans="2:15" ht="15.75" thickBot="1">
      <c r="B62" s="447" t="s">
        <v>1112</v>
      </c>
      <c r="C62" s="17" t="s">
        <v>1230</v>
      </c>
      <c r="D62" s="18"/>
      <c r="E62" s="72"/>
      <c r="M62" s="33"/>
      <c r="N62" s="33"/>
      <c r="O62" s="33"/>
    </row>
    <row r="63" spans="12:15" ht="15" thickBot="1">
      <c r="L63" s="33"/>
      <c r="M63" s="33"/>
      <c r="N63" s="33"/>
      <c r="O63" s="33"/>
    </row>
    <row r="64" spans="1:15" ht="46.5" customHeight="1">
      <c r="A64" s="1588" t="s">
        <v>7</v>
      </c>
      <c r="B64" s="1591" t="s">
        <v>664</v>
      </c>
      <c r="C64" s="1594" t="s">
        <v>9</v>
      </c>
      <c r="D64" s="1594" t="s">
        <v>10</v>
      </c>
      <c r="E64" s="1574" t="s">
        <v>919</v>
      </c>
      <c r="F64" s="1574" t="s">
        <v>12</v>
      </c>
      <c r="G64" s="1594" t="s">
        <v>13</v>
      </c>
      <c r="H64" s="1574" t="s">
        <v>14</v>
      </c>
      <c r="I64" s="1574" t="s">
        <v>282</v>
      </c>
      <c r="J64" s="1574" t="s">
        <v>60</v>
      </c>
      <c r="K64" s="1583" t="s">
        <v>666</v>
      </c>
      <c r="L64" s="1640" t="s">
        <v>667</v>
      </c>
      <c r="M64" s="1634"/>
      <c r="N64" s="1634"/>
      <c r="O64" s="1641"/>
    </row>
    <row r="65" spans="1:15" ht="40.5" customHeight="1">
      <c r="A65" s="1589"/>
      <c r="B65" s="1592"/>
      <c r="C65" s="1595"/>
      <c r="D65" s="1595"/>
      <c r="E65" s="1575"/>
      <c r="F65" s="1575"/>
      <c r="G65" s="1595"/>
      <c r="H65" s="1575"/>
      <c r="I65" s="1613"/>
      <c r="J65" s="1575"/>
      <c r="K65" s="1584"/>
      <c r="L65" s="1597" t="s">
        <v>668</v>
      </c>
      <c r="M65" s="1568"/>
      <c r="N65" s="1568"/>
      <c r="O65" s="1598"/>
    </row>
    <row r="66" spans="1:15" ht="37.5" customHeight="1" thickBot="1">
      <c r="A66" s="1590"/>
      <c r="B66" s="1593"/>
      <c r="C66" s="1596"/>
      <c r="D66" s="1596"/>
      <c r="E66" s="1576"/>
      <c r="F66" s="1576"/>
      <c r="G66" s="1632"/>
      <c r="H66" s="1576"/>
      <c r="I66" s="1614"/>
      <c r="J66" s="1576"/>
      <c r="K66" s="1585"/>
      <c r="L66" s="270" t="s">
        <v>669</v>
      </c>
      <c r="M66" s="277" t="s">
        <v>670</v>
      </c>
      <c r="N66" s="277" t="s">
        <v>671</v>
      </c>
      <c r="O66" s="272" t="s">
        <v>17</v>
      </c>
    </row>
    <row r="67" spans="1:15" ht="27" thickBot="1">
      <c r="A67" s="570" t="s">
        <v>27</v>
      </c>
      <c r="B67" s="263" t="s">
        <v>346</v>
      </c>
      <c r="C67" s="6" t="s">
        <v>267</v>
      </c>
      <c r="D67" s="264" t="s">
        <v>1439</v>
      </c>
      <c r="E67" s="265">
        <v>13</v>
      </c>
      <c r="F67" s="263" t="s">
        <v>266</v>
      </c>
      <c r="G67" s="924" t="s">
        <v>267</v>
      </c>
      <c r="H67" s="797" t="s">
        <v>531</v>
      </c>
      <c r="I67" s="1498">
        <v>4137759</v>
      </c>
      <c r="J67" s="1069" t="s">
        <v>67</v>
      </c>
      <c r="K67" s="1499">
        <v>8</v>
      </c>
      <c r="L67" s="39"/>
      <c r="M67" s="815">
        <v>2500</v>
      </c>
      <c r="N67" s="815">
        <v>5000</v>
      </c>
      <c r="O67" s="266">
        <f>SUM(M67:N67)</f>
        <v>7500</v>
      </c>
    </row>
    <row r="68" spans="2:15" ht="15">
      <c r="B68" s="196" t="s">
        <v>23</v>
      </c>
      <c r="C68" s="248" t="s">
        <v>348</v>
      </c>
      <c r="D68" s="249"/>
      <c r="E68" s="249"/>
      <c r="F68" s="250"/>
      <c r="H68" s="721" t="s">
        <v>1719</v>
      </c>
      <c r="I68" s="248" t="s">
        <v>348</v>
      </c>
      <c r="J68" s="268"/>
      <c r="K68" s="1500"/>
      <c r="L68" s="919"/>
      <c r="M68" s="33"/>
      <c r="N68" s="34" t="s">
        <v>24</v>
      </c>
      <c r="O68" s="574">
        <f>SUM(O67)</f>
        <v>7500</v>
      </c>
    </row>
    <row r="69" spans="2:15" ht="15">
      <c r="B69" s="197"/>
      <c r="C69" s="252" t="s">
        <v>1774</v>
      </c>
      <c r="D69" s="253"/>
      <c r="E69" s="253"/>
      <c r="F69" s="254"/>
      <c r="H69" s="251"/>
      <c r="I69" s="252" t="s">
        <v>1774</v>
      </c>
      <c r="J69" s="56"/>
      <c r="K69" s="90"/>
      <c r="L69" s="920"/>
      <c r="M69" s="33"/>
      <c r="N69" s="72"/>
      <c r="O69" s="61"/>
    </row>
    <row r="70" spans="2:15" ht="15.75" thickBot="1">
      <c r="B70" s="197"/>
      <c r="C70" s="252" t="s">
        <v>532</v>
      </c>
      <c r="D70" s="253"/>
      <c r="E70" s="253"/>
      <c r="F70" s="254"/>
      <c r="H70" s="255"/>
      <c r="I70" s="256" t="s">
        <v>532</v>
      </c>
      <c r="J70" s="233"/>
      <c r="K70" s="1501"/>
      <c r="L70" s="921"/>
      <c r="M70" s="33"/>
      <c r="N70" s="33"/>
      <c r="O70" s="33"/>
    </row>
    <row r="71" spans="2:15" ht="15">
      <c r="B71" s="197"/>
      <c r="C71" s="252" t="s">
        <v>533</v>
      </c>
      <c r="D71" s="253"/>
      <c r="E71" s="253"/>
      <c r="F71" s="254"/>
      <c r="G71" s="252"/>
      <c r="L71" s="33"/>
      <c r="M71" s="33"/>
      <c r="N71" s="33"/>
      <c r="O71" s="33"/>
    </row>
    <row r="72" spans="2:15" ht="15.75" thickBot="1">
      <c r="B72" s="198" t="s">
        <v>1112</v>
      </c>
      <c r="C72" s="256" t="s">
        <v>1425</v>
      </c>
      <c r="D72" s="257"/>
      <c r="E72" s="257"/>
      <c r="F72" s="258"/>
      <c r="G72" s="252"/>
      <c r="L72" s="33"/>
      <c r="M72" s="33"/>
      <c r="N72" s="33"/>
      <c r="O72" s="33"/>
    </row>
    <row r="73" spans="12:15" ht="14.25">
      <c r="L73" s="33"/>
      <c r="M73" s="33"/>
      <c r="N73" s="33"/>
      <c r="O73" s="33"/>
    </row>
    <row r="74" spans="12:15" ht="15" thickBot="1">
      <c r="L74" s="33"/>
      <c r="M74" s="33"/>
      <c r="N74" s="33"/>
      <c r="O74" s="33"/>
    </row>
    <row r="75" spans="1:15" ht="46.5" customHeight="1">
      <c r="A75" s="1588" t="s">
        <v>7</v>
      </c>
      <c r="B75" s="1591" t="s">
        <v>664</v>
      </c>
      <c r="C75" s="1594" t="s">
        <v>9</v>
      </c>
      <c r="D75" s="1594" t="s">
        <v>10</v>
      </c>
      <c r="E75" s="1574" t="s">
        <v>919</v>
      </c>
      <c r="F75" s="1574" t="s">
        <v>12</v>
      </c>
      <c r="G75" s="1594" t="s">
        <v>13</v>
      </c>
      <c r="H75" s="1574" t="s">
        <v>14</v>
      </c>
      <c r="I75" s="1574" t="s">
        <v>282</v>
      </c>
      <c r="J75" s="1574" t="s">
        <v>60</v>
      </c>
      <c r="K75" s="1583" t="s">
        <v>666</v>
      </c>
      <c r="L75" s="1640" t="s">
        <v>667</v>
      </c>
      <c r="M75" s="1634"/>
      <c r="N75" s="1634"/>
      <c r="O75" s="1641"/>
    </row>
    <row r="76" spans="1:15" ht="40.5" customHeight="1">
      <c r="A76" s="1589"/>
      <c r="B76" s="1592"/>
      <c r="C76" s="1595"/>
      <c r="D76" s="1595"/>
      <c r="E76" s="1575"/>
      <c r="F76" s="1575"/>
      <c r="G76" s="1595"/>
      <c r="H76" s="1575"/>
      <c r="I76" s="1613"/>
      <c r="J76" s="1575"/>
      <c r="K76" s="1584"/>
      <c r="L76" s="1597" t="s">
        <v>668</v>
      </c>
      <c r="M76" s="1568"/>
      <c r="N76" s="1568"/>
      <c r="O76" s="1598"/>
    </row>
    <row r="77" spans="1:15" ht="36.75" customHeight="1" thickBot="1">
      <c r="A77" s="1590"/>
      <c r="B77" s="1593"/>
      <c r="C77" s="1596"/>
      <c r="D77" s="1596"/>
      <c r="E77" s="1576"/>
      <c r="F77" s="1576"/>
      <c r="G77" s="1596"/>
      <c r="H77" s="1576"/>
      <c r="I77" s="1614"/>
      <c r="J77" s="1576"/>
      <c r="K77" s="1585"/>
      <c r="L77" s="270" t="s">
        <v>669</v>
      </c>
      <c r="M77" s="277" t="s">
        <v>670</v>
      </c>
      <c r="N77" s="277" t="s">
        <v>671</v>
      </c>
      <c r="O77" s="272" t="s">
        <v>17</v>
      </c>
    </row>
    <row r="78" spans="1:15" ht="26.25">
      <c r="A78" s="570" t="s">
        <v>27</v>
      </c>
      <c r="B78" s="239" t="s">
        <v>294</v>
      </c>
      <c r="C78" s="239" t="s">
        <v>267</v>
      </c>
      <c r="D78" s="239" t="s">
        <v>920</v>
      </c>
      <c r="E78" s="4">
        <v>37</v>
      </c>
      <c r="F78" s="239" t="s">
        <v>266</v>
      </c>
      <c r="G78" s="239" t="s">
        <v>267</v>
      </c>
      <c r="H78" s="719" t="s">
        <v>534</v>
      </c>
      <c r="I78" s="553">
        <v>880197</v>
      </c>
      <c r="J78" s="742" t="s">
        <v>22</v>
      </c>
      <c r="K78" s="241">
        <v>40</v>
      </c>
      <c r="L78" s="34">
        <f>(20377.89-15830.61)*30</f>
        <v>136418.39999999997</v>
      </c>
      <c r="M78" s="35"/>
      <c r="N78" s="35"/>
      <c r="O78" s="242">
        <f>L78</f>
        <v>136418.39999999997</v>
      </c>
    </row>
    <row r="79" spans="1:15" ht="26.25">
      <c r="A79" s="570" t="s">
        <v>27</v>
      </c>
      <c r="B79" s="243" t="s">
        <v>147</v>
      </c>
      <c r="C79" s="243" t="s">
        <v>267</v>
      </c>
      <c r="D79" s="239" t="s">
        <v>920</v>
      </c>
      <c r="E79" s="4"/>
      <c r="F79" s="243" t="s">
        <v>266</v>
      </c>
      <c r="G79" s="243" t="s">
        <v>267</v>
      </c>
      <c r="H79" s="719" t="s">
        <v>535</v>
      </c>
      <c r="I79" s="554">
        <v>4139108</v>
      </c>
      <c r="J79" s="873" t="s">
        <v>67</v>
      </c>
      <c r="K79" s="244">
        <v>4</v>
      </c>
      <c r="L79" s="925"/>
      <c r="M79" s="815">
        <v>1000</v>
      </c>
      <c r="N79" s="815">
        <v>3500</v>
      </c>
      <c r="O79" s="926">
        <f>SUM(M79:N79)</f>
        <v>4500</v>
      </c>
    </row>
    <row r="80" spans="1:15" ht="26.25">
      <c r="A80" s="570" t="s">
        <v>27</v>
      </c>
      <c r="B80" s="243" t="s">
        <v>147</v>
      </c>
      <c r="C80" s="243" t="s">
        <v>267</v>
      </c>
      <c r="D80" s="243" t="s">
        <v>921</v>
      </c>
      <c r="E80" s="4">
        <v>108</v>
      </c>
      <c r="F80" s="243" t="s">
        <v>266</v>
      </c>
      <c r="G80" s="243" t="s">
        <v>267</v>
      </c>
      <c r="H80" s="719" t="s">
        <v>537</v>
      </c>
      <c r="I80" s="554">
        <v>4139107</v>
      </c>
      <c r="J80" s="873" t="s">
        <v>67</v>
      </c>
      <c r="K80" s="244">
        <v>2</v>
      </c>
      <c r="L80" s="35"/>
      <c r="M80" s="815">
        <v>70</v>
      </c>
      <c r="N80" s="815">
        <v>190</v>
      </c>
      <c r="O80" s="926">
        <f>SUM(M80:N80)</f>
        <v>260</v>
      </c>
    </row>
    <row r="81" spans="1:15" ht="26.25">
      <c r="A81" s="570" t="s">
        <v>27</v>
      </c>
      <c r="B81" s="243" t="s">
        <v>147</v>
      </c>
      <c r="C81" s="243" t="s">
        <v>267</v>
      </c>
      <c r="D81" s="243" t="s">
        <v>921</v>
      </c>
      <c r="E81" s="22"/>
      <c r="F81" s="243" t="s">
        <v>266</v>
      </c>
      <c r="G81" s="243" t="s">
        <v>267</v>
      </c>
      <c r="H81" s="719" t="s">
        <v>538</v>
      </c>
      <c r="I81" s="554">
        <v>908005</v>
      </c>
      <c r="J81" s="873" t="s">
        <v>67</v>
      </c>
      <c r="K81" s="244">
        <v>6</v>
      </c>
      <c r="L81" s="35"/>
      <c r="M81" s="815">
        <f>30*12</f>
        <v>360</v>
      </c>
      <c r="N81" s="815">
        <f>109*12</f>
        <v>1308</v>
      </c>
      <c r="O81" s="926">
        <f>SUM(M81:N81)</f>
        <v>1668</v>
      </c>
    </row>
    <row r="82" spans="1:15" ht="27" thickBot="1">
      <c r="A82" s="570" t="s">
        <v>27</v>
      </c>
      <c r="B82" s="246" t="s">
        <v>539</v>
      </c>
      <c r="C82" s="246" t="s">
        <v>267</v>
      </c>
      <c r="D82" s="856" t="s">
        <v>540</v>
      </c>
      <c r="E82" s="4">
        <v>19</v>
      </c>
      <c r="F82" s="1507" t="s">
        <v>266</v>
      </c>
      <c r="G82" s="246" t="s">
        <v>267</v>
      </c>
      <c r="H82" s="797" t="s">
        <v>541</v>
      </c>
      <c r="I82" s="554">
        <v>4137777</v>
      </c>
      <c r="J82" s="873" t="s">
        <v>67</v>
      </c>
      <c r="K82" s="244">
        <v>2</v>
      </c>
      <c r="L82" s="35"/>
      <c r="M82" s="815">
        <f>19*12</f>
        <v>228</v>
      </c>
      <c r="N82" s="815">
        <f>82*12</f>
        <v>984</v>
      </c>
      <c r="O82" s="926">
        <f>SUM(M82:N82)</f>
        <v>1212</v>
      </c>
    </row>
    <row r="83" spans="2:15" ht="15">
      <c r="B83" s="721" t="s">
        <v>23</v>
      </c>
      <c r="C83" s="11" t="s">
        <v>521</v>
      </c>
      <c r="D83" s="12"/>
      <c r="E83" s="253"/>
      <c r="F83" s="458"/>
      <c r="G83" s="721" t="s">
        <v>1719</v>
      </c>
      <c r="H83" s="12" t="s">
        <v>521</v>
      </c>
      <c r="L83" s="33"/>
      <c r="M83" s="33"/>
      <c r="N83" s="34" t="s">
        <v>24</v>
      </c>
      <c r="O83" s="574">
        <f>SUM(O78:O82)</f>
        <v>144058.39999999997</v>
      </c>
    </row>
    <row r="84" spans="2:15" ht="15">
      <c r="B84" s="571"/>
      <c r="C84" s="14" t="s">
        <v>544</v>
      </c>
      <c r="D84" s="15"/>
      <c r="E84" s="253"/>
      <c r="F84" s="190"/>
      <c r="G84" s="56"/>
      <c r="H84" s="15" t="s">
        <v>544</v>
      </c>
      <c r="I84" s="253"/>
      <c r="L84" s="33"/>
      <c r="M84" s="33"/>
      <c r="N84" s="33"/>
      <c r="O84" s="33"/>
    </row>
    <row r="85" spans="2:15" ht="15.75" thickBot="1">
      <c r="B85" s="571"/>
      <c r="C85" s="14" t="s">
        <v>532</v>
      </c>
      <c r="D85" s="15"/>
      <c r="E85" s="253"/>
      <c r="F85" s="193"/>
      <c r="G85" s="233"/>
      <c r="H85" s="18" t="s">
        <v>532</v>
      </c>
      <c r="I85" s="253"/>
      <c r="L85" s="33"/>
      <c r="M85" s="33"/>
      <c r="N85" s="33"/>
      <c r="O85" s="33"/>
    </row>
    <row r="86" spans="2:15" ht="15">
      <c r="B86" s="571" t="s">
        <v>169</v>
      </c>
      <c r="C86" s="14" t="s">
        <v>1836</v>
      </c>
      <c r="D86" s="15"/>
      <c r="E86" s="253"/>
      <c r="I86" s="253"/>
      <c r="L86" s="33"/>
      <c r="M86" s="33"/>
      <c r="N86" s="33"/>
      <c r="O86" s="33"/>
    </row>
    <row r="87" spans="2:15" ht="15.75" thickBot="1">
      <c r="B87" s="447" t="s">
        <v>1112</v>
      </c>
      <c r="C87" s="17" t="s">
        <v>1230</v>
      </c>
      <c r="D87" s="18"/>
      <c r="E87" s="253"/>
      <c r="I87" s="253"/>
      <c r="L87" s="33"/>
      <c r="M87" s="33"/>
      <c r="N87" s="33"/>
      <c r="O87" s="33"/>
    </row>
    <row r="88" spans="2:15" ht="15.75" thickBot="1">
      <c r="B88" s="253"/>
      <c r="C88" s="252"/>
      <c r="D88" s="253"/>
      <c r="E88" s="253"/>
      <c r="I88" s="253"/>
      <c r="L88" s="33"/>
      <c r="M88" s="33"/>
      <c r="N88" s="33"/>
      <c r="O88" s="33"/>
    </row>
    <row r="89" spans="1:15" ht="47.25" customHeight="1">
      <c r="A89" s="1588" t="s">
        <v>7</v>
      </c>
      <c r="B89" s="1591" t="s">
        <v>664</v>
      </c>
      <c r="C89" s="1594" t="s">
        <v>9</v>
      </c>
      <c r="D89" s="1594" t="s">
        <v>10</v>
      </c>
      <c r="E89" s="1574" t="s">
        <v>919</v>
      </c>
      <c r="F89" s="1574" t="s">
        <v>12</v>
      </c>
      <c r="G89" s="1594" t="s">
        <v>13</v>
      </c>
      <c r="H89" s="1574" t="s">
        <v>14</v>
      </c>
      <c r="I89" s="1574" t="s">
        <v>282</v>
      </c>
      <c r="J89" s="1574" t="s">
        <v>60</v>
      </c>
      <c r="K89" s="1583" t="s">
        <v>666</v>
      </c>
      <c r="L89" s="1640" t="s">
        <v>667</v>
      </c>
      <c r="M89" s="1634"/>
      <c r="N89" s="1634"/>
      <c r="O89" s="1641"/>
    </row>
    <row r="90" spans="1:15" ht="40.5" customHeight="1">
      <c r="A90" s="1589"/>
      <c r="B90" s="1592"/>
      <c r="C90" s="1595"/>
      <c r="D90" s="1595"/>
      <c r="E90" s="1575"/>
      <c r="F90" s="1575"/>
      <c r="G90" s="1595"/>
      <c r="H90" s="1575"/>
      <c r="I90" s="1613"/>
      <c r="J90" s="1575"/>
      <c r="K90" s="1584"/>
      <c r="L90" s="1597" t="s">
        <v>668</v>
      </c>
      <c r="M90" s="1568"/>
      <c r="N90" s="1568"/>
      <c r="O90" s="1598"/>
    </row>
    <row r="91" spans="1:15" ht="23.25" customHeight="1" thickBot="1">
      <c r="A91" s="1590"/>
      <c r="B91" s="1593"/>
      <c r="C91" s="1596"/>
      <c r="D91" s="1596"/>
      <c r="E91" s="1576"/>
      <c r="F91" s="1576"/>
      <c r="G91" s="1596"/>
      <c r="H91" s="1576"/>
      <c r="I91" s="1614"/>
      <c r="J91" s="1576"/>
      <c r="K91" s="1585"/>
      <c r="L91" s="485" t="s">
        <v>669</v>
      </c>
      <c r="M91" s="486" t="s">
        <v>670</v>
      </c>
      <c r="N91" s="486" t="s">
        <v>671</v>
      </c>
      <c r="O91" s="484" t="s">
        <v>17</v>
      </c>
    </row>
    <row r="92" spans="1:15" ht="30" thickBot="1">
      <c r="A92" s="570" t="s">
        <v>27</v>
      </c>
      <c r="B92" s="803" t="s">
        <v>232</v>
      </c>
      <c r="C92" s="804" t="s">
        <v>267</v>
      </c>
      <c r="D92" s="804" t="s">
        <v>536</v>
      </c>
      <c r="E92" s="804">
        <v>22</v>
      </c>
      <c r="F92" s="1120" t="s">
        <v>266</v>
      </c>
      <c r="G92" s="4" t="s">
        <v>267</v>
      </c>
      <c r="H92" s="1508" t="s">
        <v>937</v>
      </c>
      <c r="I92" s="22">
        <v>302714</v>
      </c>
      <c r="J92" s="1069" t="s">
        <v>67</v>
      </c>
      <c r="K92" s="770">
        <v>10</v>
      </c>
      <c r="L92" s="35"/>
      <c r="M92" s="36">
        <f>3771-2589</f>
        <v>1182</v>
      </c>
      <c r="N92" s="36">
        <f>15315-10502</f>
        <v>4813</v>
      </c>
      <c r="O92" s="34">
        <f>SUM(M92:N92)</f>
        <v>5995</v>
      </c>
    </row>
    <row r="93" spans="2:15" ht="15">
      <c r="B93" s="721" t="s">
        <v>23</v>
      </c>
      <c r="C93" s="11" t="s">
        <v>542</v>
      </c>
      <c r="D93" s="11"/>
      <c r="E93" s="12"/>
      <c r="F93" s="14"/>
      <c r="H93" s="721" t="s">
        <v>1719</v>
      </c>
      <c r="I93" s="11" t="s">
        <v>542</v>
      </c>
      <c r="J93" s="1500"/>
      <c r="K93" s="1509"/>
      <c r="L93" s="33"/>
      <c r="M93" s="33"/>
      <c r="N93" s="34" t="s">
        <v>24</v>
      </c>
      <c r="O93" s="574">
        <f>SUM(O92)</f>
        <v>5995</v>
      </c>
    </row>
    <row r="94" spans="2:15" ht="15">
      <c r="B94" s="571"/>
      <c r="C94" s="14" t="s">
        <v>543</v>
      </c>
      <c r="D94" s="14"/>
      <c r="E94" s="15"/>
      <c r="F94" s="14"/>
      <c r="H94" s="190"/>
      <c r="I94" s="14" t="s">
        <v>543</v>
      </c>
      <c r="J94" s="90"/>
      <c r="K94" s="1510"/>
      <c r="L94" s="33"/>
      <c r="M94" s="33"/>
      <c r="N94" s="33"/>
      <c r="O94" s="33"/>
    </row>
    <row r="95" spans="2:15" ht="15.75" thickBot="1">
      <c r="B95" s="571"/>
      <c r="C95" s="14" t="s">
        <v>532</v>
      </c>
      <c r="D95" s="14"/>
      <c r="E95" s="15"/>
      <c r="F95" s="14"/>
      <c r="H95" s="193"/>
      <c r="I95" s="17" t="s">
        <v>532</v>
      </c>
      <c r="J95" s="233"/>
      <c r="K95" s="1511"/>
      <c r="L95" s="7"/>
      <c r="M95" s="33"/>
      <c r="N95" s="33"/>
      <c r="O95" s="33"/>
    </row>
    <row r="96" spans="2:15" ht="15">
      <c r="B96" s="571" t="s">
        <v>169</v>
      </c>
      <c r="C96" s="14" t="s">
        <v>1835</v>
      </c>
      <c r="D96" s="14"/>
      <c r="E96" s="15"/>
      <c r="F96" s="14"/>
      <c r="L96" s="7"/>
      <c r="M96" s="33"/>
      <c r="N96" s="33"/>
      <c r="O96" s="33"/>
    </row>
    <row r="97" spans="2:15" ht="15.75" thickBot="1">
      <c r="B97" s="447" t="s">
        <v>1112</v>
      </c>
      <c r="C97" s="17" t="s">
        <v>1223</v>
      </c>
      <c r="D97" s="17"/>
      <c r="E97" s="18"/>
      <c r="F97" s="14"/>
      <c r="L97" s="7"/>
      <c r="M97" s="33"/>
      <c r="N97" s="33"/>
      <c r="O97" s="33"/>
    </row>
    <row r="98" spans="2:15" ht="15">
      <c r="B98" s="14"/>
      <c r="C98" s="14"/>
      <c r="D98" s="14"/>
      <c r="E98" s="14"/>
      <c r="F98" s="14"/>
      <c r="L98" s="7"/>
      <c r="M98" s="33"/>
      <c r="N98" s="33"/>
      <c r="O98" s="33"/>
    </row>
    <row r="99" spans="12:15" ht="15" thickBot="1">
      <c r="L99" s="7"/>
      <c r="M99" s="33"/>
      <c r="N99" s="33"/>
      <c r="O99" s="33"/>
    </row>
    <row r="100" spans="1:15" ht="43.5" customHeight="1">
      <c r="A100" s="1588" t="s">
        <v>7</v>
      </c>
      <c r="B100" s="1591" t="s">
        <v>664</v>
      </c>
      <c r="C100" s="1594" t="s">
        <v>9</v>
      </c>
      <c r="D100" s="1594" t="s">
        <v>10</v>
      </c>
      <c r="E100" s="1574" t="s">
        <v>919</v>
      </c>
      <c r="F100" s="1574" t="s">
        <v>12</v>
      </c>
      <c r="G100" s="1594" t="s">
        <v>13</v>
      </c>
      <c r="H100" s="1574" t="s">
        <v>14</v>
      </c>
      <c r="I100" s="1574" t="s">
        <v>282</v>
      </c>
      <c r="J100" s="1574" t="s">
        <v>60</v>
      </c>
      <c r="K100" s="1583" t="s">
        <v>666</v>
      </c>
      <c r="L100" s="1640" t="s">
        <v>667</v>
      </c>
      <c r="M100" s="1634"/>
      <c r="N100" s="1634"/>
      <c r="O100" s="1641"/>
    </row>
    <row r="101" spans="1:15" ht="38.25" customHeight="1">
      <c r="A101" s="1589"/>
      <c r="B101" s="1592"/>
      <c r="C101" s="1595"/>
      <c r="D101" s="1595"/>
      <c r="E101" s="1575"/>
      <c r="F101" s="1575"/>
      <c r="G101" s="1595"/>
      <c r="H101" s="1575"/>
      <c r="I101" s="1613"/>
      <c r="J101" s="1575"/>
      <c r="K101" s="1584"/>
      <c r="L101" s="1597" t="s">
        <v>668</v>
      </c>
      <c r="M101" s="1568"/>
      <c r="N101" s="1568"/>
      <c r="O101" s="1598"/>
    </row>
    <row r="102" spans="1:15" ht="23.25" customHeight="1" thickBot="1">
      <c r="A102" s="1590"/>
      <c r="B102" s="1593"/>
      <c r="C102" s="1596"/>
      <c r="D102" s="1596"/>
      <c r="E102" s="1576"/>
      <c r="F102" s="1576"/>
      <c r="G102" s="1596"/>
      <c r="H102" s="1576"/>
      <c r="I102" s="1614"/>
      <c r="J102" s="1576"/>
      <c r="K102" s="1585"/>
      <c r="L102" s="485" t="s">
        <v>669</v>
      </c>
      <c r="M102" s="486" t="s">
        <v>670</v>
      </c>
      <c r="N102" s="486" t="s">
        <v>671</v>
      </c>
      <c r="O102" s="484" t="s">
        <v>17</v>
      </c>
    </row>
    <row r="103" spans="1:15" ht="39" customHeight="1">
      <c r="A103" s="621" t="s">
        <v>27</v>
      </c>
      <c r="B103" s="372" t="s">
        <v>521</v>
      </c>
      <c r="C103" s="372" t="s">
        <v>267</v>
      </c>
      <c r="D103" s="372" t="s">
        <v>340</v>
      </c>
      <c r="E103" s="187">
        <v>27</v>
      </c>
      <c r="F103" s="187" t="s">
        <v>266</v>
      </c>
      <c r="G103" s="187" t="s">
        <v>267</v>
      </c>
      <c r="H103" s="734" t="s">
        <v>922</v>
      </c>
      <c r="I103" s="108">
        <v>70958498</v>
      </c>
      <c r="J103" s="534" t="s">
        <v>29</v>
      </c>
      <c r="K103" s="274">
        <v>39</v>
      </c>
      <c r="L103" s="275">
        <f>57241-47832</f>
        <v>9409</v>
      </c>
      <c r="M103" s="276"/>
      <c r="N103" s="276"/>
      <c r="O103" s="275">
        <f>L103</f>
        <v>9409</v>
      </c>
    </row>
    <row r="104" spans="1:15" ht="39" customHeight="1">
      <c r="A104" s="621" t="s">
        <v>27</v>
      </c>
      <c r="B104" s="674" t="s">
        <v>691</v>
      </c>
      <c r="C104" s="675" t="s">
        <v>983</v>
      </c>
      <c r="D104" s="435"/>
      <c r="E104" s="48">
        <v>33</v>
      </c>
      <c r="F104" s="4" t="s">
        <v>266</v>
      </c>
      <c r="G104" s="4" t="s">
        <v>267</v>
      </c>
      <c r="H104" s="719" t="s">
        <v>1426</v>
      </c>
      <c r="I104" s="731">
        <v>7412</v>
      </c>
      <c r="J104" s="389" t="s">
        <v>457</v>
      </c>
      <c r="K104" s="88">
        <v>9.5</v>
      </c>
      <c r="L104" s="35"/>
      <c r="M104" s="34">
        <v>700</v>
      </c>
      <c r="N104" s="4">
        <f>400</f>
        <v>400</v>
      </c>
      <c r="O104" s="34">
        <f>SUM(M104:N104)</f>
        <v>1100</v>
      </c>
    </row>
    <row r="105" spans="1:15" ht="39" customHeight="1" thickBot="1">
      <c r="A105" s="621" t="s">
        <v>27</v>
      </c>
      <c r="B105" s="617" t="s">
        <v>521</v>
      </c>
      <c r="C105" s="680" t="s">
        <v>267</v>
      </c>
      <c r="D105" s="47" t="s">
        <v>536</v>
      </c>
      <c r="E105" s="48">
        <v>24</v>
      </c>
      <c r="F105" s="6" t="s">
        <v>266</v>
      </c>
      <c r="G105" s="6" t="s">
        <v>267</v>
      </c>
      <c r="H105" s="797" t="s">
        <v>1520</v>
      </c>
      <c r="I105" s="4">
        <v>14213</v>
      </c>
      <c r="J105" s="505" t="s">
        <v>747</v>
      </c>
      <c r="K105" s="88">
        <v>2</v>
      </c>
      <c r="L105" s="34">
        <v>500</v>
      </c>
      <c r="M105" s="35"/>
      <c r="N105" s="32"/>
      <c r="O105" s="34">
        <f>L105</f>
        <v>500</v>
      </c>
    </row>
    <row r="106" spans="2:15" ht="15">
      <c r="B106" s="721" t="s">
        <v>23</v>
      </c>
      <c r="C106" s="11" t="s">
        <v>521</v>
      </c>
      <c r="D106" s="12"/>
      <c r="E106" s="267"/>
      <c r="F106" s="458"/>
      <c r="G106" s="721" t="s">
        <v>1719</v>
      </c>
      <c r="H106" s="12" t="s">
        <v>521</v>
      </c>
      <c r="J106" s="112"/>
      <c r="K106" s="1"/>
      <c r="L106" s="33"/>
      <c r="M106" s="33"/>
      <c r="N106" s="34" t="s">
        <v>24</v>
      </c>
      <c r="O106" s="574">
        <f>SUM(O103:O105)</f>
        <v>11009</v>
      </c>
    </row>
    <row r="107" spans="2:15" ht="15">
      <c r="B107" s="571"/>
      <c r="C107" s="14" t="s">
        <v>544</v>
      </c>
      <c r="D107" s="15"/>
      <c r="E107" s="267"/>
      <c r="F107" s="190"/>
      <c r="G107" s="56"/>
      <c r="H107" s="15" t="s">
        <v>544</v>
      </c>
      <c r="J107" s="112"/>
      <c r="K107" s="1"/>
      <c r="L107" s="33"/>
      <c r="M107" s="33"/>
      <c r="N107" s="33"/>
      <c r="O107" s="33"/>
    </row>
    <row r="108" spans="2:15" ht="14.25" customHeight="1" thickBot="1">
      <c r="B108" s="571"/>
      <c r="C108" s="14" t="s">
        <v>532</v>
      </c>
      <c r="D108" s="15"/>
      <c r="E108" s="267"/>
      <c r="F108" s="193"/>
      <c r="G108" s="233"/>
      <c r="H108" s="18" t="s">
        <v>532</v>
      </c>
      <c r="J108" s="112"/>
      <c r="K108" s="1"/>
      <c r="L108" s="33"/>
      <c r="M108" s="33"/>
      <c r="N108" s="33"/>
      <c r="O108" s="33"/>
    </row>
    <row r="109" spans="2:15" ht="15">
      <c r="B109" s="571" t="s">
        <v>169</v>
      </c>
      <c r="C109" s="14" t="s">
        <v>1836</v>
      </c>
      <c r="D109" s="15"/>
      <c r="E109" s="267"/>
      <c r="I109" s="2"/>
      <c r="L109" s="33"/>
      <c r="M109" s="33"/>
      <c r="N109" s="33"/>
      <c r="O109" s="33"/>
    </row>
    <row r="110" spans="2:15" ht="15.75" thickBot="1">
      <c r="B110" s="447" t="s">
        <v>1112</v>
      </c>
      <c r="C110" s="17" t="s">
        <v>1230</v>
      </c>
      <c r="D110" s="18"/>
      <c r="E110" s="267"/>
      <c r="I110" s="2"/>
      <c r="L110" s="33"/>
      <c r="M110" s="33"/>
      <c r="N110" s="33"/>
      <c r="O110" s="33"/>
    </row>
    <row r="111" spans="2:15" ht="15">
      <c r="B111" s="14"/>
      <c r="C111" s="14"/>
      <c r="D111" s="14"/>
      <c r="E111" s="267"/>
      <c r="I111" s="2"/>
      <c r="L111" s="33"/>
      <c r="M111" s="33"/>
      <c r="N111" s="33"/>
      <c r="O111" s="33"/>
    </row>
    <row r="112" ht="15" thickBot="1"/>
    <row r="113" spans="1:20" ht="42.75" customHeight="1">
      <c r="A113" s="1580" t="s">
        <v>7</v>
      </c>
      <c r="B113" s="1574" t="s">
        <v>8</v>
      </c>
      <c r="C113" s="1574" t="s">
        <v>9</v>
      </c>
      <c r="D113" s="1574" t="s">
        <v>10</v>
      </c>
      <c r="E113" s="1574" t="s">
        <v>844</v>
      </c>
      <c r="F113" s="1574" t="s">
        <v>12</v>
      </c>
      <c r="G113" s="1574" t="s">
        <v>13</v>
      </c>
      <c r="H113" s="1571" t="s">
        <v>14</v>
      </c>
      <c r="I113" s="1571" t="s">
        <v>282</v>
      </c>
      <c r="J113" s="1571" t="s">
        <v>60</v>
      </c>
      <c r="K113" s="1650" t="s">
        <v>16</v>
      </c>
      <c r="L113" s="1568" t="s">
        <v>672</v>
      </c>
      <c r="M113" s="1568"/>
      <c r="N113" s="1568"/>
      <c r="O113" s="1568"/>
      <c r="P113" s="629"/>
      <c r="Q113" s="629"/>
      <c r="R113" s="629"/>
      <c r="S113" s="629"/>
      <c r="T113" s="630"/>
    </row>
    <row r="114" spans="1:20" ht="14.25" customHeight="1">
      <c r="A114" s="1581"/>
      <c r="B114" s="1575"/>
      <c r="C114" s="1575"/>
      <c r="D114" s="1575"/>
      <c r="E114" s="1575"/>
      <c r="F114" s="1575"/>
      <c r="G114" s="1575"/>
      <c r="H114" s="1572"/>
      <c r="I114" s="1572"/>
      <c r="J114" s="1572"/>
      <c r="K114" s="1651"/>
      <c r="L114" s="1568" t="s">
        <v>669</v>
      </c>
      <c r="M114" s="1568" t="s">
        <v>670</v>
      </c>
      <c r="N114" s="1568" t="s">
        <v>671</v>
      </c>
      <c r="O114" s="1568" t="s">
        <v>674</v>
      </c>
      <c r="P114" s="629"/>
      <c r="Q114" s="629"/>
      <c r="R114" s="629"/>
      <c r="S114" s="629"/>
      <c r="T114" s="630"/>
    </row>
    <row r="115" spans="1:20" ht="15" thickBot="1">
      <c r="A115" s="1582"/>
      <c r="B115" s="1576"/>
      <c r="C115" s="1576"/>
      <c r="D115" s="1576"/>
      <c r="E115" s="1576"/>
      <c r="F115" s="1576"/>
      <c r="G115" s="1576"/>
      <c r="H115" s="1573"/>
      <c r="I115" s="1573"/>
      <c r="J115" s="1573"/>
      <c r="K115" s="1662"/>
      <c r="L115" s="1568"/>
      <c r="M115" s="1568"/>
      <c r="N115" s="1568"/>
      <c r="O115" s="1568"/>
      <c r="P115" s="629"/>
      <c r="Q115" s="629"/>
      <c r="R115" s="629"/>
      <c r="S115" s="629"/>
      <c r="T115" s="630"/>
    </row>
    <row r="116" spans="1:20" ht="18">
      <c r="A116" s="615" t="s">
        <v>27</v>
      </c>
      <c r="B116" s="187" t="s">
        <v>182</v>
      </c>
      <c r="C116" s="187" t="s">
        <v>918</v>
      </c>
      <c r="D116" s="187"/>
      <c r="E116" s="187">
        <v>72</v>
      </c>
      <c r="F116" s="187" t="s">
        <v>266</v>
      </c>
      <c r="G116" s="187" t="s">
        <v>267</v>
      </c>
      <c r="H116" s="734" t="s">
        <v>1229</v>
      </c>
      <c r="I116" s="107">
        <v>116460</v>
      </c>
      <c r="J116" s="552" t="s">
        <v>29</v>
      </c>
      <c r="K116" s="696">
        <v>18</v>
      </c>
      <c r="L116" s="36">
        <f>33997-23611</f>
        <v>10386</v>
      </c>
      <c r="M116" s="35"/>
      <c r="N116" s="35"/>
      <c r="O116" s="34">
        <f>L116</f>
        <v>10386</v>
      </c>
      <c r="P116" s="61"/>
      <c r="Q116" s="61"/>
      <c r="R116" s="61"/>
      <c r="S116" s="61"/>
      <c r="T116" s="59"/>
    </row>
    <row r="117" spans="1:20" ht="18">
      <c r="A117" s="570" t="s">
        <v>27</v>
      </c>
      <c r="B117" s="4" t="s">
        <v>905</v>
      </c>
      <c r="C117" s="4" t="s">
        <v>983</v>
      </c>
      <c r="D117" s="4"/>
      <c r="E117" s="24" t="s">
        <v>984</v>
      </c>
      <c r="F117" s="4" t="s">
        <v>266</v>
      </c>
      <c r="G117" s="4" t="s">
        <v>267</v>
      </c>
      <c r="H117" s="719" t="s">
        <v>1228</v>
      </c>
      <c r="I117" s="4">
        <v>4139110</v>
      </c>
      <c r="J117" s="559" t="s">
        <v>67</v>
      </c>
      <c r="K117" s="697">
        <v>6</v>
      </c>
      <c r="L117" s="35"/>
      <c r="M117" s="815">
        <f>25*12</f>
        <v>300</v>
      </c>
      <c r="N117" s="815">
        <f>102*12</f>
        <v>1224</v>
      </c>
      <c r="O117" s="927">
        <f>SUM(M117:N117)</f>
        <v>1524</v>
      </c>
      <c r="P117" s="61"/>
      <c r="Q117" s="61"/>
      <c r="R117" s="61"/>
      <c r="S117" s="61"/>
      <c r="T117" s="59"/>
    </row>
    <row r="118" spans="1:20" ht="18.75" thickBot="1">
      <c r="A118" s="570" t="s">
        <v>27</v>
      </c>
      <c r="B118" s="4" t="s">
        <v>985</v>
      </c>
      <c r="C118" s="4" t="s">
        <v>983</v>
      </c>
      <c r="D118" s="4"/>
      <c r="E118" s="24" t="s">
        <v>986</v>
      </c>
      <c r="F118" s="6" t="s">
        <v>266</v>
      </c>
      <c r="G118" s="6" t="s">
        <v>267</v>
      </c>
      <c r="H118" s="797" t="s">
        <v>1227</v>
      </c>
      <c r="I118" s="4">
        <v>4139111</v>
      </c>
      <c r="J118" s="559" t="s">
        <v>67</v>
      </c>
      <c r="K118" s="697">
        <v>9</v>
      </c>
      <c r="L118" s="35"/>
      <c r="M118" s="815">
        <f>41*12</f>
        <v>492</v>
      </c>
      <c r="N118" s="815">
        <f>174*12</f>
        <v>2088</v>
      </c>
      <c r="O118" s="927">
        <f>SUM(M118:N118)</f>
        <v>2580</v>
      </c>
      <c r="P118" s="61"/>
      <c r="Q118" s="61"/>
      <c r="R118" s="61"/>
      <c r="S118" s="61"/>
      <c r="T118" s="59"/>
    </row>
    <row r="119" spans="2:20" ht="15">
      <c r="B119" s="721" t="s">
        <v>23</v>
      </c>
      <c r="C119" s="11" t="s">
        <v>521</v>
      </c>
      <c r="D119" s="12"/>
      <c r="E119" s="253"/>
      <c r="F119" s="458"/>
      <c r="G119" s="721" t="s">
        <v>1719</v>
      </c>
      <c r="H119" s="12" t="s">
        <v>521</v>
      </c>
      <c r="L119" s="33"/>
      <c r="M119" s="33"/>
      <c r="N119" s="34" t="s">
        <v>24</v>
      </c>
      <c r="O119" s="574">
        <f>SUM(O116:O118)</f>
        <v>14490</v>
      </c>
      <c r="P119" s="61"/>
      <c r="Q119" s="61"/>
      <c r="R119" s="61"/>
      <c r="S119" s="61"/>
      <c r="T119" s="59"/>
    </row>
    <row r="120" spans="2:20" ht="15">
      <c r="B120" s="571"/>
      <c r="C120" s="14" t="s">
        <v>544</v>
      </c>
      <c r="D120" s="15"/>
      <c r="E120" s="253"/>
      <c r="F120" s="190"/>
      <c r="G120" s="56"/>
      <c r="H120" s="15" t="s">
        <v>544</v>
      </c>
      <c r="L120" s="33"/>
      <c r="M120" s="33"/>
      <c r="N120" s="33"/>
      <c r="O120" s="33"/>
      <c r="P120" s="59"/>
      <c r="Q120" s="59"/>
      <c r="R120" s="59"/>
      <c r="S120" s="59"/>
      <c r="T120" s="59"/>
    </row>
    <row r="121" spans="2:15" ht="15.75" thickBot="1">
      <c r="B121" s="571"/>
      <c r="C121" s="14" t="s">
        <v>532</v>
      </c>
      <c r="D121" s="15"/>
      <c r="E121" s="253"/>
      <c r="F121" s="193"/>
      <c r="G121" s="233"/>
      <c r="H121" s="18" t="s">
        <v>532</v>
      </c>
      <c r="L121" s="33"/>
      <c r="M121" s="33"/>
      <c r="O121" s="33"/>
    </row>
    <row r="122" spans="2:15" ht="15">
      <c r="B122" s="571" t="s">
        <v>169</v>
      </c>
      <c r="C122" s="14" t="s">
        <v>1836</v>
      </c>
      <c r="D122" s="15"/>
      <c r="E122" s="253"/>
      <c r="L122" s="33"/>
      <c r="M122" s="33"/>
      <c r="O122" s="33"/>
    </row>
    <row r="123" spans="2:15" ht="15.75" thickBot="1">
      <c r="B123" s="447" t="s">
        <v>1112</v>
      </c>
      <c r="C123" s="17" t="s">
        <v>1230</v>
      </c>
      <c r="D123" s="18"/>
      <c r="E123" s="253"/>
      <c r="L123" s="33"/>
      <c r="M123" s="33"/>
      <c r="O123" s="33"/>
    </row>
    <row r="124" spans="2:15" ht="15">
      <c r="B124" s="14"/>
      <c r="C124" s="14"/>
      <c r="D124" s="14"/>
      <c r="E124" s="253"/>
      <c r="L124" s="33"/>
      <c r="M124" s="33"/>
      <c r="O124" s="33"/>
    </row>
    <row r="125" spans="2:15" ht="18.75" thickBot="1">
      <c r="B125" s="852" t="s">
        <v>1107</v>
      </c>
      <c r="C125" s="677"/>
      <c r="D125" s="253"/>
      <c r="E125" s="253"/>
      <c r="L125" s="33"/>
      <c r="M125" s="33"/>
      <c r="O125" s="33"/>
    </row>
    <row r="126" spans="1:15" ht="44.25" customHeight="1">
      <c r="A126" s="1575" t="s">
        <v>7</v>
      </c>
      <c r="B126" s="1574" t="s">
        <v>8</v>
      </c>
      <c r="C126" s="1574" t="s">
        <v>9</v>
      </c>
      <c r="D126" s="1574" t="s">
        <v>10</v>
      </c>
      <c r="E126" s="1574" t="s">
        <v>11</v>
      </c>
      <c r="F126" s="1574" t="s">
        <v>12</v>
      </c>
      <c r="G126" s="1574" t="s">
        <v>13</v>
      </c>
      <c r="H126" s="1574" t="s">
        <v>15</v>
      </c>
      <c r="I126" s="1574" t="s">
        <v>282</v>
      </c>
      <c r="J126" s="1574" t="s">
        <v>60</v>
      </c>
      <c r="K126" s="1577" t="s">
        <v>16</v>
      </c>
      <c r="L126" s="1570" t="s">
        <v>672</v>
      </c>
      <c r="M126" s="1570"/>
      <c r="N126" s="1570"/>
      <c r="O126" s="1570"/>
    </row>
    <row r="127" spans="1:15" ht="14.25" customHeight="1">
      <c r="A127" s="1575"/>
      <c r="B127" s="1575"/>
      <c r="C127" s="1575"/>
      <c r="D127" s="1575"/>
      <c r="E127" s="1575"/>
      <c r="F127" s="1575"/>
      <c r="G127" s="1575"/>
      <c r="H127" s="1575"/>
      <c r="I127" s="1575"/>
      <c r="J127" s="1575"/>
      <c r="K127" s="1578"/>
      <c r="L127" s="1568" t="s">
        <v>669</v>
      </c>
      <c r="M127" s="1568" t="s">
        <v>670</v>
      </c>
      <c r="N127" s="1568" t="s">
        <v>671</v>
      </c>
      <c r="O127" s="1568" t="s">
        <v>674</v>
      </c>
    </row>
    <row r="128" spans="1:15" ht="14.25">
      <c r="A128" s="1649"/>
      <c r="B128" s="1649"/>
      <c r="C128" s="1649"/>
      <c r="D128" s="1649"/>
      <c r="E128" s="1649"/>
      <c r="F128" s="1649"/>
      <c r="G128" s="1649"/>
      <c r="H128" s="1649"/>
      <c r="I128" s="1649"/>
      <c r="J128" s="1649"/>
      <c r="K128" s="1690"/>
      <c r="L128" s="1652"/>
      <c r="M128" s="1652"/>
      <c r="N128" s="1652"/>
      <c r="O128" s="1652"/>
    </row>
    <row r="129" spans="1:15" ht="29.25">
      <c r="A129" s="593" t="s">
        <v>27</v>
      </c>
      <c r="B129" s="617" t="s">
        <v>1224</v>
      </c>
      <c r="C129" s="680" t="s">
        <v>267</v>
      </c>
      <c r="D129" s="47" t="s">
        <v>1225</v>
      </c>
      <c r="E129" s="48" t="s">
        <v>1226</v>
      </c>
      <c r="F129" s="4" t="s">
        <v>266</v>
      </c>
      <c r="G129" s="4" t="s">
        <v>267</v>
      </c>
      <c r="H129" s="719" t="s">
        <v>1424</v>
      </c>
      <c r="I129" s="731">
        <v>71747302</v>
      </c>
      <c r="J129" s="398" t="s">
        <v>29</v>
      </c>
      <c r="K129" s="88">
        <v>20</v>
      </c>
      <c r="L129" s="34">
        <v>35000</v>
      </c>
      <c r="M129" s="35"/>
      <c r="N129" s="32"/>
      <c r="O129" s="927">
        <f>L129</f>
        <v>35000</v>
      </c>
    </row>
    <row r="130" spans="1:15" ht="59.25" customHeight="1" thickBot="1">
      <c r="A130" s="593" t="s">
        <v>27</v>
      </c>
      <c r="B130" s="674" t="s">
        <v>1422</v>
      </c>
      <c r="C130" s="678" t="s">
        <v>267</v>
      </c>
      <c r="D130" s="47" t="s">
        <v>1441</v>
      </c>
      <c r="E130" s="668">
        <v>24</v>
      </c>
      <c r="F130" s="6" t="s">
        <v>266</v>
      </c>
      <c r="G130" s="6" t="s">
        <v>267</v>
      </c>
      <c r="H130" s="797" t="s">
        <v>1423</v>
      </c>
      <c r="I130" s="731">
        <v>1314655</v>
      </c>
      <c r="J130" s="389" t="s">
        <v>22</v>
      </c>
      <c r="K130" s="88">
        <v>45</v>
      </c>
      <c r="L130" s="34">
        <v>65000</v>
      </c>
      <c r="M130" s="35"/>
      <c r="N130" s="32"/>
      <c r="O130" s="927">
        <f>L130</f>
        <v>65000</v>
      </c>
    </row>
    <row r="131" spans="2:15" ht="15">
      <c r="B131" s="1495" t="s">
        <v>23</v>
      </c>
      <c r="C131" s="679" t="s">
        <v>521</v>
      </c>
      <c r="D131" s="250"/>
      <c r="E131" s="253"/>
      <c r="F131" s="458"/>
      <c r="G131" s="721" t="s">
        <v>1719</v>
      </c>
      <c r="H131" s="12" t="s">
        <v>521</v>
      </c>
      <c r="L131" s="33"/>
      <c r="M131" s="33"/>
      <c r="N131" s="34" t="s">
        <v>24</v>
      </c>
      <c r="O131" s="574">
        <f>SUM(O129:O130)</f>
        <v>100000</v>
      </c>
    </row>
    <row r="132" spans="2:15" ht="15">
      <c r="B132" s="1496"/>
      <c r="C132" s="677" t="s">
        <v>1440</v>
      </c>
      <c r="D132" s="254"/>
      <c r="E132" s="253"/>
      <c r="F132" s="190"/>
      <c r="G132" s="56"/>
      <c r="H132" s="15" t="s">
        <v>544</v>
      </c>
      <c r="L132" s="33"/>
      <c r="M132" s="33"/>
      <c r="O132" s="33"/>
    </row>
    <row r="133" spans="2:15" ht="15.75" thickBot="1">
      <c r="B133" s="1496"/>
      <c r="C133" s="677" t="s">
        <v>532</v>
      </c>
      <c r="D133" s="254"/>
      <c r="E133" s="253"/>
      <c r="F133" s="193"/>
      <c r="G133" s="233"/>
      <c r="H133" s="18" t="s">
        <v>532</v>
      </c>
      <c r="L133" s="33"/>
      <c r="M133" s="33"/>
      <c r="O133" s="33"/>
    </row>
    <row r="134" spans="2:15" ht="15.75" thickBot="1">
      <c r="B134" s="1497" t="s">
        <v>169</v>
      </c>
      <c r="C134" s="676">
        <v>8222158823</v>
      </c>
      <c r="D134" s="258"/>
      <c r="E134" s="253"/>
      <c r="L134" s="33"/>
      <c r="M134" s="33"/>
      <c r="O134" s="33"/>
    </row>
    <row r="135" spans="2:15" ht="15">
      <c r="B135" s="252"/>
      <c r="C135" s="677"/>
      <c r="D135" s="253"/>
      <c r="E135" s="253"/>
      <c r="L135" s="33"/>
      <c r="M135" s="33"/>
      <c r="O135" s="33"/>
    </row>
    <row r="136" spans="2:15" ht="15">
      <c r="B136" s="252"/>
      <c r="C136" s="677"/>
      <c r="D136" s="253"/>
      <c r="E136" s="253"/>
      <c r="L136" s="33"/>
      <c r="M136" s="33"/>
      <c r="O136" s="33"/>
    </row>
    <row r="137" spans="2:15" ht="15">
      <c r="B137" s="252"/>
      <c r="C137" s="252"/>
      <c r="D137" s="253"/>
      <c r="E137" s="253"/>
      <c r="L137" s="33" t="s">
        <v>63</v>
      </c>
      <c r="M137" s="33">
        <f>O34+O48+O58+O68+O83+O93+O106+O119+O131</f>
        <v>424860.39999999997</v>
      </c>
      <c r="N137" s="33"/>
      <c r="O137" s="33"/>
    </row>
    <row r="138" spans="8:15" ht="15" thickBot="1">
      <c r="H138" s="33"/>
      <c r="L138" s="33"/>
      <c r="M138" s="33"/>
      <c r="N138" s="33"/>
      <c r="O138" s="33"/>
    </row>
    <row r="139" spans="11:15" ht="45.75" customHeight="1">
      <c r="K139" s="1692" t="s">
        <v>60</v>
      </c>
      <c r="L139" s="1691" t="s">
        <v>675</v>
      </c>
      <c r="M139" s="1691"/>
      <c r="N139" s="1691"/>
      <c r="O139" s="1694" t="s">
        <v>61</v>
      </c>
    </row>
    <row r="140" spans="11:15" ht="25.5" customHeight="1" thickBot="1">
      <c r="K140" s="1693"/>
      <c r="L140" s="282" t="s">
        <v>62</v>
      </c>
      <c r="M140" s="282" t="s">
        <v>670</v>
      </c>
      <c r="N140" s="282" t="s">
        <v>671</v>
      </c>
      <c r="O140" s="1695"/>
    </row>
    <row r="141" spans="11:15" ht="25.5" customHeight="1">
      <c r="K141" s="1042" t="s">
        <v>747</v>
      </c>
      <c r="L141" s="1003">
        <f>O105</f>
        <v>500</v>
      </c>
      <c r="M141" s="1048"/>
      <c r="N141" s="1049"/>
      <c r="O141" s="1046">
        <v>1</v>
      </c>
    </row>
    <row r="142" spans="11:15" ht="25.5" customHeight="1">
      <c r="K142" s="1043" t="s">
        <v>29</v>
      </c>
      <c r="L142" s="370">
        <f>O33+O103+O116+O129</f>
        <v>54995</v>
      </c>
      <c r="M142" s="176"/>
      <c r="N142" s="1050"/>
      <c r="O142" s="1021">
        <v>4</v>
      </c>
    </row>
    <row r="143" spans="11:15" ht="25.5" customHeight="1">
      <c r="K143" s="1043" t="s">
        <v>22</v>
      </c>
      <c r="L143" s="370">
        <f>O78+O130</f>
        <v>201418.39999999997</v>
      </c>
      <c r="M143" s="176"/>
      <c r="N143" s="1050"/>
      <c r="O143" s="1021">
        <v>2</v>
      </c>
    </row>
    <row r="144" spans="11:15" ht="25.5" customHeight="1">
      <c r="K144" s="1044" t="s">
        <v>67</v>
      </c>
      <c r="L144" s="1051"/>
      <c r="M144" s="208">
        <f>M18+M19+M20+M21+M22+M23+M24+M25+M26+M27+M28+M29+M30+M31+M32+M44+M45+M46+M47+M57+M67+M79+M80+M81+M82+M92+M117+M118</f>
        <v>51011</v>
      </c>
      <c r="N144" s="1052">
        <f>N18+N19+N20+N21+N22+N23+N24+N25+N26+N27+N28+N29+N30+N31+N32+N44+N45+N46+N47+N57+N67+N79+N80+N81+N82+N92+N117+N118</f>
        <v>115836</v>
      </c>
      <c r="O144" s="1047">
        <v>28</v>
      </c>
    </row>
    <row r="145" spans="11:15" ht="25.5" customHeight="1" thickBot="1">
      <c r="K145" s="1045" t="s">
        <v>457</v>
      </c>
      <c r="L145" s="1037"/>
      <c r="M145" s="1038">
        <f>M104</f>
        <v>700</v>
      </c>
      <c r="N145" s="1039">
        <f>N104</f>
        <v>400</v>
      </c>
      <c r="O145" s="1047">
        <v>1</v>
      </c>
    </row>
    <row r="146" spans="11:15" ht="25.5" customHeight="1" thickBot="1">
      <c r="K146" s="353" t="s">
        <v>63</v>
      </c>
      <c r="L146" s="299">
        <f>SUM(L141:L145)</f>
        <v>256913.39999999997</v>
      </c>
      <c r="M146" s="300">
        <f>SUM(M141:M145)</f>
        <v>51711</v>
      </c>
      <c r="N146" s="177">
        <f>SUM(N141:N145)</f>
        <v>116236</v>
      </c>
      <c r="O146" s="685">
        <f>SUM(O141:O145)</f>
        <v>36</v>
      </c>
    </row>
    <row r="147" spans="11:14" ht="25.5" customHeight="1" thickBot="1">
      <c r="K147" s="1"/>
      <c r="L147" s="38" t="s">
        <v>64</v>
      </c>
      <c r="M147" s="698">
        <f>SUM(L146:N146)</f>
        <v>424860.39999999997</v>
      </c>
      <c r="N147" s="38"/>
    </row>
  </sheetData>
  <sheetProtection/>
  <mergeCells count="129">
    <mergeCell ref="J75:J77"/>
    <mergeCell ref="K75:K77"/>
    <mergeCell ref="A75:A77"/>
    <mergeCell ref="B75:B77"/>
    <mergeCell ref="C75:C77"/>
    <mergeCell ref="D75:D77"/>
    <mergeCell ref="E75:E77"/>
    <mergeCell ref="L75:O75"/>
    <mergeCell ref="L76:O76"/>
    <mergeCell ref="G75:G77"/>
    <mergeCell ref="C64:C66"/>
    <mergeCell ref="D64:D66"/>
    <mergeCell ref="E64:E66"/>
    <mergeCell ref="I64:I66"/>
    <mergeCell ref="J64:J66"/>
    <mergeCell ref="F75:F77"/>
    <mergeCell ref="K64:K66"/>
    <mergeCell ref="K54:K56"/>
    <mergeCell ref="A64:A66"/>
    <mergeCell ref="B64:B66"/>
    <mergeCell ref="L54:O54"/>
    <mergeCell ref="F113:F115"/>
    <mergeCell ref="G113:G115"/>
    <mergeCell ref="H113:H115"/>
    <mergeCell ref="I113:I115"/>
    <mergeCell ref="J113:J115"/>
    <mergeCell ref="L64:O64"/>
    <mergeCell ref="I54:I56"/>
    <mergeCell ref="A113:A115"/>
    <mergeCell ref="B113:B115"/>
    <mergeCell ref="C113:C115"/>
    <mergeCell ref="D113:D115"/>
    <mergeCell ref="E113:E115"/>
    <mergeCell ref="H75:H77"/>
    <mergeCell ref="I75:I77"/>
    <mergeCell ref="A100:A102"/>
    <mergeCell ref="B100:B102"/>
    <mergeCell ref="A54:A56"/>
    <mergeCell ref="B54:B56"/>
    <mergeCell ref="C54:C56"/>
    <mergeCell ref="D54:D56"/>
    <mergeCell ref="E54:E56"/>
    <mergeCell ref="F54:F56"/>
    <mergeCell ref="A41:A43"/>
    <mergeCell ref="B41:B43"/>
    <mergeCell ref="C41:C43"/>
    <mergeCell ref="D41:D43"/>
    <mergeCell ref="E41:E43"/>
    <mergeCell ref="I41:I43"/>
    <mergeCell ref="A15:A17"/>
    <mergeCell ref="B15:B17"/>
    <mergeCell ref="C15:C17"/>
    <mergeCell ref="D15:D17"/>
    <mergeCell ref="E15:E17"/>
    <mergeCell ref="F15:F17"/>
    <mergeCell ref="C100:C102"/>
    <mergeCell ref="D100:D102"/>
    <mergeCell ref="E100:E102"/>
    <mergeCell ref="F100:F102"/>
    <mergeCell ref="I15:I17"/>
    <mergeCell ref="J15:J17"/>
    <mergeCell ref="G15:G17"/>
    <mergeCell ref="J54:J56"/>
    <mergeCell ref="G54:G56"/>
    <mergeCell ref="H54:H56"/>
    <mergeCell ref="L139:N139"/>
    <mergeCell ref="K139:K140"/>
    <mergeCell ref="O139:O140"/>
    <mergeCell ref="G100:G102"/>
    <mergeCell ref="K15:K17"/>
    <mergeCell ref="L15:O15"/>
    <mergeCell ref="J41:J43"/>
    <mergeCell ref="G64:G66"/>
    <mergeCell ref="H64:H66"/>
    <mergeCell ref="L65:O65"/>
    <mergeCell ref="L16:O16"/>
    <mergeCell ref="F41:F43"/>
    <mergeCell ref="G41:G43"/>
    <mergeCell ref="H41:H43"/>
    <mergeCell ref="L42:O42"/>
    <mergeCell ref="H15:H17"/>
    <mergeCell ref="K41:K43"/>
    <mergeCell ref="L41:O41"/>
    <mergeCell ref="A89:A91"/>
    <mergeCell ref="B89:B91"/>
    <mergeCell ref="C89:C91"/>
    <mergeCell ref="D89:D91"/>
    <mergeCell ref="E89:E91"/>
    <mergeCell ref="L100:O100"/>
    <mergeCell ref="G89:G91"/>
    <mergeCell ref="H89:H91"/>
    <mergeCell ref="I89:I91"/>
    <mergeCell ref="J89:J91"/>
    <mergeCell ref="B3:I3"/>
    <mergeCell ref="K89:K91"/>
    <mergeCell ref="L89:O89"/>
    <mergeCell ref="H100:H102"/>
    <mergeCell ref="I100:I102"/>
    <mergeCell ref="J100:J102"/>
    <mergeCell ref="F89:F91"/>
    <mergeCell ref="K100:K102"/>
    <mergeCell ref="L55:O55"/>
    <mergeCell ref="F64:F66"/>
    <mergeCell ref="L90:O90"/>
    <mergeCell ref="L101:O101"/>
    <mergeCell ref="K113:K115"/>
    <mergeCell ref="L113:O113"/>
    <mergeCell ref="L114:L115"/>
    <mergeCell ref="M114:M115"/>
    <mergeCell ref="N114:N115"/>
    <mergeCell ref="O114:O115"/>
    <mergeCell ref="B5:I5"/>
    <mergeCell ref="B1:I1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O127:O128"/>
    <mergeCell ref="I126:I128"/>
    <mergeCell ref="J126:J128"/>
    <mergeCell ref="K126:K128"/>
    <mergeCell ref="L126:O126"/>
    <mergeCell ref="L127:L128"/>
    <mergeCell ref="M127:M128"/>
    <mergeCell ref="N127:N128"/>
  </mergeCells>
  <printOptions/>
  <pageMargins left="0.7" right="0.7" top="0.75" bottom="0.75" header="0.3" footer="0.3"/>
  <pageSetup horizontalDpi="600" verticalDpi="600" orientation="portrait" paperSize="9" r:id="rId1"/>
  <ignoredErrors>
    <ignoredError sqref="O10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39"/>
  <sheetViews>
    <sheetView zoomScale="80" zoomScaleNormal="80" zoomScalePageLayoutView="0" workbookViewId="0" topLeftCell="A163">
      <selection activeCell="G179" sqref="G179"/>
    </sheetView>
  </sheetViews>
  <sheetFormatPr defaultColWidth="8.796875" defaultRowHeight="14.25"/>
  <cols>
    <col min="1" max="1" width="11.8984375" style="5" customWidth="1"/>
    <col min="2" max="2" width="18" style="2" customWidth="1"/>
    <col min="3" max="3" width="13.69921875" style="1" customWidth="1"/>
    <col min="4" max="4" width="19.8984375" style="1" customWidth="1"/>
    <col min="5" max="5" width="10.3984375" style="1" customWidth="1"/>
    <col min="6" max="6" width="9" style="1" customWidth="1"/>
    <col min="7" max="7" width="16.5" style="1" customWidth="1"/>
    <col min="8" max="8" width="27.59765625" style="1" customWidth="1"/>
    <col min="9" max="9" width="17.69921875" style="5" customWidth="1"/>
    <col min="10" max="10" width="13.3984375" style="7" customWidth="1"/>
    <col min="11" max="11" width="13.69921875" style="33" customWidth="1"/>
    <col min="12" max="12" width="14.59765625" style="33" customWidth="1"/>
    <col min="13" max="13" width="16.09765625" style="33" customWidth="1"/>
    <col min="14" max="14" width="14.19921875" style="33" customWidth="1"/>
    <col min="15" max="15" width="14" style="1" customWidth="1"/>
    <col min="16" max="16" width="12.59765625" style="1" customWidth="1"/>
    <col min="17" max="17" width="12.5" style="1" customWidth="1"/>
    <col min="18" max="18" width="14.69921875" style="1" customWidth="1"/>
    <col min="19" max="19" width="15.3984375" style="1" customWidth="1"/>
    <col min="20" max="20" width="21.3984375" style="1" customWidth="1"/>
    <col min="21" max="16384" width="9" style="1" customWidth="1"/>
  </cols>
  <sheetData>
    <row r="1" spans="1:9" ht="18">
      <c r="A1" s="295"/>
      <c r="B1" s="1609" t="s">
        <v>1231</v>
      </c>
      <c r="C1" s="1609"/>
      <c r="D1" s="1609"/>
      <c r="E1" s="1609"/>
      <c r="F1" s="1609"/>
      <c r="G1" s="1609"/>
      <c r="H1" s="1609"/>
      <c r="I1" s="1609"/>
    </row>
    <row r="2" spans="1:10" ht="15">
      <c r="A2" s="295"/>
      <c r="B2" s="563"/>
      <c r="C2" s="489"/>
      <c r="D2" s="489"/>
      <c r="E2" s="489"/>
      <c r="F2" s="489"/>
      <c r="G2" s="489"/>
      <c r="H2" s="489"/>
      <c r="I2" s="490"/>
      <c r="J2" s="564"/>
    </row>
    <row r="3" spans="1:10" ht="22.5" customHeight="1">
      <c r="A3" s="295"/>
      <c r="B3" s="1602" t="s">
        <v>732</v>
      </c>
      <c r="C3" s="1603"/>
      <c r="D3" s="1603"/>
      <c r="E3" s="1603"/>
      <c r="F3" s="1603"/>
      <c r="G3" s="1603"/>
      <c r="H3" s="1603"/>
      <c r="I3" s="1603"/>
      <c r="J3" s="1604"/>
    </row>
    <row r="4" spans="1:10" ht="15">
      <c r="A4" s="1"/>
      <c r="B4" s="487"/>
      <c r="C4" s="487"/>
      <c r="D4" s="487"/>
      <c r="E4" s="487"/>
      <c r="F4" s="487"/>
      <c r="G4" s="487"/>
      <c r="H4" s="487"/>
      <c r="I4" s="487"/>
      <c r="J4" s="487"/>
    </row>
    <row r="5" spans="1:10" ht="21" customHeight="1">
      <c r="A5" s="1"/>
      <c r="B5" s="1675" t="s">
        <v>1103</v>
      </c>
      <c r="C5" s="1676"/>
      <c r="D5" s="1676"/>
      <c r="E5" s="1676"/>
      <c r="F5" s="1676"/>
      <c r="G5" s="1676"/>
      <c r="H5" s="1676"/>
      <c r="I5" s="1676"/>
      <c r="J5" s="1677"/>
    </row>
    <row r="6" spans="1:10" ht="15">
      <c r="A6" s="1"/>
      <c r="B6" s="487"/>
      <c r="C6" s="487"/>
      <c r="D6" s="487"/>
      <c r="E6" s="487"/>
      <c r="F6" s="487"/>
      <c r="G6" s="487"/>
      <c r="H6" s="487"/>
      <c r="I6" s="490"/>
      <c r="J6" s="489"/>
    </row>
    <row r="7" spans="1:10" ht="15.75">
      <c r="A7" s="1"/>
      <c r="B7" s="488" t="s">
        <v>1</v>
      </c>
      <c r="C7" s="489"/>
      <c r="D7" s="487"/>
      <c r="E7" s="487"/>
      <c r="F7" s="487"/>
      <c r="G7" s="489"/>
      <c r="H7" s="487"/>
      <c r="I7" s="490"/>
      <c r="J7" s="489"/>
    </row>
    <row r="8" spans="1:10" ht="15.75">
      <c r="A8" s="1"/>
      <c r="B8" s="1389" t="s">
        <v>1833</v>
      </c>
      <c r="C8" s="489"/>
      <c r="D8" s="487"/>
      <c r="E8" s="487"/>
      <c r="F8" s="487"/>
      <c r="G8" s="489"/>
      <c r="H8" s="487"/>
      <c r="I8" s="490"/>
      <c r="J8" s="489"/>
    </row>
    <row r="9" spans="1:10" ht="15.75">
      <c r="A9" s="1"/>
      <c r="B9" s="491" t="s">
        <v>1535</v>
      </c>
      <c r="C9" s="489"/>
      <c r="D9" s="492"/>
      <c r="E9" s="487"/>
      <c r="F9" s="487"/>
      <c r="G9" s="489"/>
      <c r="H9" s="487"/>
      <c r="I9" s="490"/>
      <c r="J9" s="489"/>
    </row>
    <row r="10" spans="1:10" ht="15.75">
      <c r="A10" s="1"/>
      <c r="B10" s="491" t="s">
        <v>1096</v>
      </c>
      <c r="C10" s="489"/>
      <c r="D10" s="492"/>
      <c r="E10" s="487"/>
      <c r="F10" s="487"/>
      <c r="G10" s="489"/>
      <c r="H10" s="487"/>
      <c r="I10" s="490"/>
      <c r="J10" s="489"/>
    </row>
    <row r="11" spans="1:10" ht="15">
      <c r="A11" s="1"/>
      <c r="B11" s="489" t="s">
        <v>1095</v>
      </c>
      <c r="C11" s="489"/>
      <c r="D11" s="489"/>
      <c r="E11" s="489"/>
      <c r="F11" s="489"/>
      <c r="G11" s="489"/>
      <c r="H11" s="487"/>
      <c r="I11" s="490"/>
      <c r="J11" s="489"/>
    </row>
    <row r="12" spans="1:10" ht="15">
      <c r="A12" s="1"/>
      <c r="B12" s="489"/>
      <c r="C12" s="489"/>
      <c r="D12" s="489"/>
      <c r="E12" s="489"/>
      <c r="F12" s="489"/>
      <c r="G12" s="489"/>
      <c r="H12" s="487"/>
      <c r="I12" s="490"/>
      <c r="J12" s="489"/>
    </row>
    <row r="13" spans="1:10" ht="15.75">
      <c r="A13" s="1"/>
      <c r="B13" s="493" t="s">
        <v>3</v>
      </c>
      <c r="C13" s="488" t="s">
        <v>4</v>
      </c>
      <c r="D13" s="492"/>
      <c r="E13" s="492"/>
      <c r="F13" s="492"/>
      <c r="G13" s="492"/>
      <c r="H13" s="495"/>
      <c r="I13" s="489"/>
      <c r="J13" s="489"/>
    </row>
    <row r="14" spans="1:10" ht="15.75">
      <c r="A14" s="1"/>
      <c r="B14" s="493" t="s">
        <v>5</v>
      </c>
      <c r="C14" s="488" t="s">
        <v>6</v>
      </c>
      <c r="D14" s="492"/>
      <c r="E14" s="492"/>
      <c r="F14" s="492"/>
      <c r="G14" s="492"/>
      <c r="H14" s="495"/>
      <c r="I14" s="489"/>
      <c r="J14" s="489"/>
    </row>
    <row r="15" spans="1:10" ht="16.5" thickBot="1">
      <c r="A15" s="1"/>
      <c r="B15" s="493"/>
      <c r="C15" s="494"/>
      <c r="D15" s="492"/>
      <c r="E15" s="492"/>
      <c r="F15" s="492"/>
      <c r="G15" s="492"/>
      <c r="H15" s="495"/>
      <c r="I15" s="489"/>
      <c r="J15" s="33"/>
    </row>
    <row r="16" spans="1:15" ht="51.75" customHeight="1">
      <c r="A16" s="1575" t="s">
        <v>7</v>
      </c>
      <c r="B16" s="1575" t="s">
        <v>8</v>
      </c>
      <c r="C16" s="1575" t="s">
        <v>9</v>
      </c>
      <c r="D16" s="1575" t="s">
        <v>10</v>
      </c>
      <c r="E16" s="1575" t="s">
        <v>11</v>
      </c>
      <c r="F16" s="1575" t="s">
        <v>12</v>
      </c>
      <c r="G16" s="1575" t="s">
        <v>13</v>
      </c>
      <c r="H16" s="1575" t="s">
        <v>14</v>
      </c>
      <c r="I16" s="1595" t="s">
        <v>282</v>
      </c>
      <c r="J16" s="1575" t="s">
        <v>60</v>
      </c>
      <c r="K16" s="1635" t="s">
        <v>16</v>
      </c>
      <c r="L16" s="1586" t="s">
        <v>667</v>
      </c>
      <c r="M16" s="1570"/>
      <c r="N16" s="1570"/>
      <c r="O16" s="1587"/>
    </row>
    <row r="17" spans="1:15" ht="45" customHeight="1">
      <c r="A17" s="1575"/>
      <c r="B17" s="1575"/>
      <c r="C17" s="1575"/>
      <c r="D17" s="1575"/>
      <c r="E17" s="1575"/>
      <c r="F17" s="1575"/>
      <c r="G17" s="1575"/>
      <c r="H17" s="1575"/>
      <c r="I17" s="1595"/>
      <c r="J17" s="1575"/>
      <c r="K17" s="1635"/>
      <c r="L17" s="1597" t="s">
        <v>668</v>
      </c>
      <c r="M17" s="1568"/>
      <c r="N17" s="1568"/>
      <c r="O17" s="1598"/>
    </row>
    <row r="18" spans="1:15" ht="32.25" customHeight="1" thickBot="1">
      <c r="A18" s="1575"/>
      <c r="B18" s="1575"/>
      <c r="C18" s="1575"/>
      <c r="D18" s="1575"/>
      <c r="E18" s="1575"/>
      <c r="F18" s="1575"/>
      <c r="G18" s="1575"/>
      <c r="H18" s="1575"/>
      <c r="I18" s="1595"/>
      <c r="J18" s="1575"/>
      <c r="K18" s="1635"/>
      <c r="L18" s="270" t="s">
        <v>669</v>
      </c>
      <c r="M18" s="277" t="s">
        <v>670</v>
      </c>
      <c r="N18" s="277" t="s">
        <v>671</v>
      </c>
      <c r="O18" s="272" t="s">
        <v>17</v>
      </c>
    </row>
    <row r="19" spans="1:15" ht="44.25" thickBot="1">
      <c r="A19" s="597" t="s">
        <v>27</v>
      </c>
      <c r="B19" s="9" t="s">
        <v>545</v>
      </c>
      <c r="C19" s="6" t="s">
        <v>546</v>
      </c>
      <c r="D19" s="9" t="s">
        <v>547</v>
      </c>
      <c r="E19" s="6">
        <v>29</v>
      </c>
      <c r="F19" s="4" t="s">
        <v>548</v>
      </c>
      <c r="G19" s="6" t="s">
        <v>546</v>
      </c>
      <c r="H19" s="797" t="s">
        <v>977</v>
      </c>
      <c r="I19" s="22">
        <v>70936511</v>
      </c>
      <c r="J19" s="1069" t="s">
        <v>67</v>
      </c>
      <c r="K19" s="8">
        <v>39</v>
      </c>
      <c r="L19" s="35"/>
      <c r="M19" s="34">
        <f>90081-72840</f>
        <v>17241</v>
      </c>
      <c r="N19" s="117">
        <f>216078-173110</f>
        <v>42968</v>
      </c>
      <c r="O19" s="34">
        <f>SUM(M19:N19)</f>
        <v>60209</v>
      </c>
    </row>
    <row r="20" spans="2:15" ht="15">
      <c r="B20" s="1240" t="s">
        <v>23</v>
      </c>
      <c r="C20" s="1231" t="s">
        <v>616</v>
      </c>
      <c r="D20" s="1232"/>
      <c r="E20" s="1241"/>
      <c r="G20" s="1230" t="s">
        <v>1719</v>
      </c>
      <c r="H20" s="1231" t="s">
        <v>549</v>
      </c>
      <c r="I20" s="1232"/>
      <c r="J20" s="1233"/>
      <c r="K20" s="7"/>
      <c r="N20" s="34" t="s">
        <v>24</v>
      </c>
      <c r="O20" s="598">
        <f>SUM(O19)</f>
        <v>60209</v>
      </c>
    </row>
    <row r="21" spans="2:15" ht="15">
      <c r="B21" s="1242"/>
      <c r="C21" s="1235" t="s">
        <v>1776</v>
      </c>
      <c r="D21" s="1236"/>
      <c r="E21" s="1243"/>
      <c r="G21" s="1234"/>
      <c r="H21" s="1235" t="s">
        <v>550</v>
      </c>
      <c r="I21" s="1236"/>
      <c r="J21" s="1237"/>
      <c r="K21" s="7"/>
      <c r="O21" s="33"/>
    </row>
    <row r="22" spans="2:15" ht="15">
      <c r="B22" s="1242"/>
      <c r="C22" s="1235" t="s">
        <v>551</v>
      </c>
      <c r="D22" s="1236"/>
      <c r="E22" s="1243"/>
      <c r="G22" s="1234"/>
      <c r="H22" s="1235" t="s">
        <v>1775</v>
      </c>
      <c r="I22" s="1236"/>
      <c r="J22" s="1237"/>
      <c r="K22" s="7"/>
      <c r="O22" s="33"/>
    </row>
    <row r="23" spans="2:15" ht="15.75" thickBot="1">
      <c r="B23" s="1276" t="s">
        <v>169</v>
      </c>
      <c r="C23" s="1235" t="s">
        <v>1778</v>
      </c>
      <c r="D23" s="1236"/>
      <c r="E23" s="1243"/>
      <c r="G23" s="193"/>
      <c r="H23" s="1238" t="s">
        <v>551</v>
      </c>
      <c r="I23" s="233"/>
      <c r="J23" s="671"/>
      <c r="K23" s="7"/>
      <c r="O23" s="33"/>
    </row>
    <row r="24" spans="2:15" ht="15.75" thickBot="1">
      <c r="B24" s="1244" t="s">
        <v>1112</v>
      </c>
      <c r="C24" s="1238" t="s">
        <v>1130</v>
      </c>
      <c r="D24" s="1239"/>
      <c r="E24" s="1245"/>
      <c r="I24" s="1"/>
      <c r="J24" s="295"/>
      <c r="K24" s="7"/>
      <c r="O24" s="33"/>
    </row>
    <row r="25" spans="1:15" ht="15">
      <c r="A25" s="295"/>
      <c r="B25" s="1236"/>
      <c r="C25" s="1235"/>
      <c r="D25" s="1236"/>
      <c r="E25" s="1246"/>
      <c r="I25" s="1"/>
      <c r="J25" s="295"/>
      <c r="K25" s="7"/>
      <c r="O25" s="33"/>
    </row>
    <row r="26" spans="1:15" ht="18">
      <c r="A26" s="295"/>
      <c r="B26" s="1247"/>
      <c r="C26" s="27"/>
      <c r="D26" s="1248"/>
      <c r="E26" s="1248"/>
      <c r="I26" s="1"/>
      <c r="J26" s="295"/>
      <c r="K26" s="7"/>
      <c r="O26" s="33"/>
    </row>
    <row r="27" spans="4:15" ht="14.25" customHeight="1" thickBot="1">
      <c r="D27" s="334"/>
      <c r="E27" s="334"/>
      <c r="F27" s="334"/>
      <c r="G27" s="334"/>
      <c r="I27" s="1"/>
      <c r="J27" s="295"/>
      <c r="K27" s="7"/>
      <c r="O27" s="33"/>
    </row>
    <row r="28" spans="1:15" ht="43.5" customHeight="1">
      <c r="A28" s="1575" t="s">
        <v>7</v>
      </c>
      <c r="B28" s="1575" t="s">
        <v>8</v>
      </c>
      <c r="C28" s="1575" t="s">
        <v>9</v>
      </c>
      <c r="D28" s="1575" t="s">
        <v>10</v>
      </c>
      <c r="E28" s="1575" t="s">
        <v>11</v>
      </c>
      <c r="F28" s="1575" t="s">
        <v>12</v>
      </c>
      <c r="G28" s="1575" t="s">
        <v>13</v>
      </c>
      <c r="H28" s="1575" t="s">
        <v>14</v>
      </c>
      <c r="I28" s="1595" t="s">
        <v>282</v>
      </c>
      <c r="J28" s="1575" t="s">
        <v>60</v>
      </c>
      <c r="K28" s="1635" t="s">
        <v>16</v>
      </c>
      <c r="L28" s="1586" t="s">
        <v>667</v>
      </c>
      <c r="M28" s="1570"/>
      <c r="N28" s="1570"/>
      <c r="O28" s="1587"/>
    </row>
    <row r="29" spans="1:15" ht="38.25" customHeight="1">
      <c r="A29" s="1575"/>
      <c r="B29" s="1575"/>
      <c r="C29" s="1575"/>
      <c r="D29" s="1575"/>
      <c r="E29" s="1575"/>
      <c r="F29" s="1575"/>
      <c r="G29" s="1575"/>
      <c r="H29" s="1575"/>
      <c r="I29" s="1595"/>
      <c r="J29" s="1575"/>
      <c r="K29" s="1635"/>
      <c r="L29" s="1597" t="s">
        <v>668</v>
      </c>
      <c r="M29" s="1568"/>
      <c r="N29" s="1568"/>
      <c r="O29" s="1598"/>
    </row>
    <row r="30" spans="1:15" ht="29.25" customHeight="1" thickBot="1">
      <c r="A30" s="1575"/>
      <c r="B30" s="1575"/>
      <c r="C30" s="1575"/>
      <c r="D30" s="1575"/>
      <c r="E30" s="1575"/>
      <c r="F30" s="1575"/>
      <c r="G30" s="1575"/>
      <c r="H30" s="1575"/>
      <c r="I30" s="1595"/>
      <c r="J30" s="1575"/>
      <c r="K30" s="1635"/>
      <c r="L30" s="270" t="s">
        <v>669</v>
      </c>
      <c r="M30" s="277" t="s">
        <v>670</v>
      </c>
      <c r="N30" s="277" t="s">
        <v>671</v>
      </c>
      <c r="O30" s="272" t="s">
        <v>17</v>
      </c>
    </row>
    <row r="31" spans="1:15" ht="43.5">
      <c r="A31" s="597" t="s">
        <v>27</v>
      </c>
      <c r="B31" s="3" t="s">
        <v>552</v>
      </c>
      <c r="C31" s="4" t="s">
        <v>546</v>
      </c>
      <c r="D31" s="3" t="s">
        <v>553</v>
      </c>
      <c r="E31" s="4"/>
      <c r="F31" s="4" t="s">
        <v>548</v>
      </c>
      <c r="G31" s="4" t="s">
        <v>546</v>
      </c>
      <c r="H31" s="719" t="s">
        <v>945</v>
      </c>
      <c r="I31" s="24">
        <v>782480</v>
      </c>
      <c r="J31" s="389" t="s">
        <v>22</v>
      </c>
      <c r="K31" s="8">
        <v>300</v>
      </c>
      <c r="L31" s="34">
        <f>(99204.85-89214.64)*100</f>
        <v>999021.0000000007</v>
      </c>
      <c r="M31" s="35"/>
      <c r="N31" s="35"/>
      <c r="O31" s="34">
        <f>L31</f>
        <v>999021.0000000007</v>
      </c>
    </row>
    <row r="32" spans="1:15" ht="43.5">
      <c r="A32" s="597" t="s">
        <v>27</v>
      </c>
      <c r="B32" s="3" t="s">
        <v>554</v>
      </c>
      <c r="C32" s="4" t="s">
        <v>546</v>
      </c>
      <c r="D32" s="3" t="s">
        <v>555</v>
      </c>
      <c r="E32" s="4">
        <v>10</v>
      </c>
      <c r="F32" s="4" t="s">
        <v>548</v>
      </c>
      <c r="G32" s="4" t="s">
        <v>546</v>
      </c>
      <c r="H32" s="719" t="s">
        <v>946</v>
      </c>
      <c r="I32" s="24">
        <v>871461</v>
      </c>
      <c r="J32" s="389" t="s">
        <v>22</v>
      </c>
      <c r="K32" s="8">
        <v>70</v>
      </c>
      <c r="L32" s="34">
        <f>(67739.74-54862.28)*30</f>
        <v>386323.80000000016</v>
      </c>
      <c r="M32" s="35"/>
      <c r="N32" s="35"/>
      <c r="O32" s="34">
        <f>L32</f>
        <v>386323.80000000016</v>
      </c>
    </row>
    <row r="33" spans="1:15" ht="43.5">
      <c r="A33" s="597" t="s">
        <v>27</v>
      </c>
      <c r="B33" s="3" t="s">
        <v>556</v>
      </c>
      <c r="C33" s="4" t="s">
        <v>546</v>
      </c>
      <c r="D33" s="3" t="s">
        <v>557</v>
      </c>
      <c r="E33" s="4"/>
      <c r="F33" s="4" t="s">
        <v>548</v>
      </c>
      <c r="G33" s="4" t="s">
        <v>546</v>
      </c>
      <c r="H33" s="719" t="s">
        <v>947</v>
      </c>
      <c r="I33" s="24">
        <v>70881796</v>
      </c>
      <c r="J33" s="398" t="s">
        <v>29</v>
      </c>
      <c r="K33" s="8">
        <v>5</v>
      </c>
      <c r="L33" s="34">
        <f>30460-22912</f>
        <v>7548</v>
      </c>
      <c r="M33" s="35"/>
      <c r="N33" s="35"/>
      <c r="O33" s="34">
        <f>L33</f>
        <v>7548</v>
      </c>
    </row>
    <row r="34" spans="1:15" ht="57.75">
      <c r="A34" s="597" t="s">
        <v>27</v>
      </c>
      <c r="B34" s="3" t="s">
        <v>558</v>
      </c>
      <c r="C34" s="4" t="s">
        <v>546</v>
      </c>
      <c r="D34" s="3" t="s">
        <v>559</v>
      </c>
      <c r="E34" s="4">
        <v>15</v>
      </c>
      <c r="F34" s="4" t="s">
        <v>548</v>
      </c>
      <c r="G34" s="4" t="s">
        <v>546</v>
      </c>
      <c r="H34" s="719" t="s">
        <v>948</v>
      </c>
      <c r="I34" s="24">
        <v>90122166</v>
      </c>
      <c r="J34" s="398" t="s">
        <v>29</v>
      </c>
      <c r="K34" s="8">
        <v>16</v>
      </c>
      <c r="L34" s="34">
        <f>6811-3796</f>
        <v>3015</v>
      </c>
      <c r="M34" s="35"/>
      <c r="N34" s="35"/>
      <c r="O34" s="34">
        <f>L34</f>
        <v>3015</v>
      </c>
    </row>
    <row r="35" spans="1:15" ht="57.75">
      <c r="A35" s="597" t="s">
        <v>27</v>
      </c>
      <c r="B35" s="3" t="s">
        <v>560</v>
      </c>
      <c r="C35" s="4" t="s">
        <v>546</v>
      </c>
      <c r="D35" s="3" t="s">
        <v>561</v>
      </c>
      <c r="E35" s="4" t="s">
        <v>562</v>
      </c>
      <c r="F35" s="4" t="s">
        <v>548</v>
      </c>
      <c r="G35" s="4" t="s">
        <v>546</v>
      </c>
      <c r="H35" s="719" t="s">
        <v>949</v>
      </c>
      <c r="I35" s="24">
        <v>8353083</v>
      </c>
      <c r="J35" s="398" t="s">
        <v>29</v>
      </c>
      <c r="K35" s="8">
        <v>7</v>
      </c>
      <c r="L35" s="34">
        <f>6903-6322</f>
        <v>581</v>
      </c>
      <c r="M35" s="35"/>
      <c r="N35" s="35"/>
      <c r="O35" s="34">
        <f aca="true" t="shared" si="0" ref="O35:O47">L35</f>
        <v>581</v>
      </c>
    </row>
    <row r="36" spans="1:15" ht="57.75">
      <c r="A36" s="597" t="s">
        <v>27</v>
      </c>
      <c r="B36" s="3" t="s">
        <v>560</v>
      </c>
      <c r="C36" s="4" t="s">
        <v>546</v>
      </c>
      <c r="D36" s="3" t="s">
        <v>561</v>
      </c>
      <c r="E36" s="4" t="s">
        <v>563</v>
      </c>
      <c r="F36" s="4" t="s">
        <v>548</v>
      </c>
      <c r="G36" s="4" t="s">
        <v>546</v>
      </c>
      <c r="H36" s="719" t="s">
        <v>950</v>
      </c>
      <c r="I36" s="24">
        <v>9576810</v>
      </c>
      <c r="J36" s="398" t="s">
        <v>29</v>
      </c>
      <c r="K36" s="8">
        <v>7</v>
      </c>
      <c r="L36" s="34">
        <f>8372-7584</f>
        <v>788</v>
      </c>
      <c r="M36" s="35"/>
      <c r="N36" s="35"/>
      <c r="O36" s="34">
        <f t="shared" si="0"/>
        <v>788</v>
      </c>
    </row>
    <row r="37" spans="1:15" ht="43.5">
      <c r="A37" s="597" t="s">
        <v>27</v>
      </c>
      <c r="B37" s="3" t="s">
        <v>564</v>
      </c>
      <c r="C37" s="4" t="s">
        <v>546</v>
      </c>
      <c r="D37" s="3" t="s">
        <v>565</v>
      </c>
      <c r="E37" s="4"/>
      <c r="F37" s="4" t="s">
        <v>548</v>
      </c>
      <c r="G37" s="4" t="s">
        <v>546</v>
      </c>
      <c r="H37" s="719" t="s">
        <v>951</v>
      </c>
      <c r="I37" s="24">
        <v>12789650</v>
      </c>
      <c r="J37" s="398" t="s">
        <v>29</v>
      </c>
      <c r="K37" s="8">
        <v>17</v>
      </c>
      <c r="L37" s="34">
        <f>171252-160247</f>
        <v>11005</v>
      </c>
      <c r="M37" s="35"/>
      <c r="N37" s="35"/>
      <c r="O37" s="34">
        <f t="shared" si="0"/>
        <v>11005</v>
      </c>
    </row>
    <row r="38" spans="1:15" ht="43.5">
      <c r="A38" s="597" t="s">
        <v>27</v>
      </c>
      <c r="B38" s="3" t="s">
        <v>564</v>
      </c>
      <c r="C38" s="4" t="s">
        <v>546</v>
      </c>
      <c r="D38" s="3" t="s">
        <v>566</v>
      </c>
      <c r="E38" s="4"/>
      <c r="F38" s="4" t="s">
        <v>548</v>
      </c>
      <c r="G38" s="4" t="s">
        <v>546</v>
      </c>
      <c r="H38" s="719" t="s">
        <v>952</v>
      </c>
      <c r="I38" s="24">
        <v>9324449</v>
      </c>
      <c r="J38" s="398" t="s">
        <v>29</v>
      </c>
      <c r="K38" s="8">
        <v>40</v>
      </c>
      <c r="L38" s="34">
        <f>20210-19043</f>
        <v>1167</v>
      </c>
      <c r="M38" s="35"/>
      <c r="N38" s="35"/>
      <c r="O38" s="34">
        <f t="shared" si="0"/>
        <v>1167</v>
      </c>
    </row>
    <row r="39" spans="1:15" ht="43.5">
      <c r="A39" s="597" t="s">
        <v>27</v>
      </c>
      <c r="B39" s="3" t="s">
        <v>564</v>
      </c>
      <c r="C39" s="4" t="s">
        <v>546</v>
      </c>
      <c r="D39" s="3" t="s">
        <v>567</v>
      </c>
      <c r="E39" s="4">
        <v>4</v>
      </c>
      <c r="F39" s="4" t="s">
        <v>548</v>
      </c>
      <c r="G39" s="4" t="s">
        <v>546</v>
      </c>
      <c r="H39" s="719" t="s">
        <v>953</v>
      </c>
      <c r="I39" s="24">
        <v>70520611</v>
      </c>
      <c r="J39" s="398" t="s">
        <v>29</v>
      </c>
      <c r="K39" s="8">
        <v>7.5</v>
      </c>
      <c r="L39" s="34">
        <f>60262-47653</f>
        <v>12609</v>
      </c>
      <c r="M39" s="35"/>
      <c r="N39" s="35"/>
      <c r="O39" s="34">
        <f t="shared" si="0"/>
        <v>12609</v>
      </c>
    </row>
    <row r="40" spans="1:15" ht="43.5">
      <c r="A40" s="597" t="s">
        <v>27</v>
      </c>
      <c r="B40" s="3" t="s">
        <v>564</v>
      </c>
      <c r="C40" s="4" t="s">
        <v>546</v>
      </c>
      <c r="D40" s="3" t="s">
        <v>568</v>
      </c>
      <c r="E40" s="4"/>
      <c r="F40" s="4" t="s">
        <v>548</v>
      </c>
      <c r="G40" s="4" t="s">
        <v>546</v>
      </c>
      <c r="H40" s="719" t="s">
        <v>1131</v>
      </c>
      <c r="I40" s="24">
        <v>70977525</v>
      </c>
      <c r="J40" s="398" t="s">
        <v>29</v>
      </c>
      <c r="K40" s="8">
        <v>3</v>
      </c>
      <c r="L40" s="34">
        <f>10515-9216</f>
        <v>1299</v>
      </c>
      <c r="M40" s="35"/>
      <c r="N40" s="35"/>
      <c r="O40" s="34">
        <f t="shared" si="0"/>
        <v>1299</v>
      </c>
    </row>
    <row r="41" spans="1:15" ht="43.5">
      <c r="A41" s="597" t="s">
        <v>27</v>
      </c>
      <c r="B41" s="3" t="s">
        <v>564</v>
      </c>
      <c r="C41" s="4" t="s">
        <v>546</v>
      </c>
      <c r="D41" s="3" t="s">
        <v>547</v>
      </c>
      <c r="E41" s="4"/>
      <c r="F41" s="4" t="s">
        <v>548</v>
      </c>
      <c r="G41" s="4" t="s">
        <v>546</v>
      </c>
      <c r="H41" s="719" t="s">
        <v>954</v>
      </c>
      <c r="I41" s="24">
        <v>74792</v>
      </c>
      <c r="J41" s="398" t="s">
        <v>29</v>
      </c>
      <c r="K41" s="8">
        <v>2</v>
      </c>
      <c r="L41" s="34">
        <f>4321-3697</f>
        <v>624</v>
      </c>
      <c r="M41" s="35"/>
      <c r="N41" s="35"/>
      <c r="O41" s="34">
        <f t="shared" si="0"/>
        <v>624</v>
      </c>
    </row>
    <row r="42" spans="1:15" ht="43.5">
      <c r="A42" s="597" t="s">
        <v>27</v>
      </c>
      <c r="B42" s="3" t="s">
        <v>564</v>
      </c>
      <c r="C42" s="4" t="s">
        <v>546</v>
      </c>
      <c r="D42" s="3" t="s">
        <v>569</v>
      </c>
      <c r="E42" s="4"/>
      <c r="F42" s="4" t="s">
        <v>548</v>
      </c>
      <c r="G42" s="4" t="s">
        <v>546</v>
      </c>
      <c r="H42" s="719" t="s">
        <v>955</v>
      </c>
      <c r="I42" s="24">
        <v>70542455</v>
      </c>
      <c r="J42" s="398" t="s">
        <v>29</v>
      </c>
      <c r="K42" s="8">
        <v>13</v>
      </c>
      <c r="L42" s="34">
        <f>19970-14903</f>
        <v>5067</v>
      </c>
      <c r="M42" s="35"/>
      <c r="N42" s="35"/>
      <c r="O42" s="34">
        <f t="shared" si="0"/>
        <v>5067</v>
      </c>
    </row>
    <row r="43" spans="1:15" ht="43.5">
      <c r="A43" s="597" t="s">
        <v>27</v>
      </c>
      <c r="B43" s="3" t="s">
        <v>556</v>
      </c>
      <c r="C43" s="4" t="s">
        <v>546</v>
      </c>
      <c r="D43" s="3" t="s">
        <v>570</v>
      </c>
      <c r="E43" s="4"/>
      <c r="F43" s="4" t="s">
        <v>548</v>
      </c>
      <c r="G43" s="4" t="s">
        <v>546</v>
      </c>
      <c r="H43" s="719" t="s">
        <v>956</v>
      </c>
      <c r="I43" s="24">
        <v>9151209</v>
      </c>
      <c r="J43" s="398" t="s">
        <v>29</v>
      </c>
      <c r="K43" s="8">
        <v>15</v>
      </c>
      <c r="L43" s="34">
        <f>16431-13891</f>
        <v>2540</v>
      </c>
      <c r="M43" s="35"/>
      <c r="N43" s="35"/>
      <c r="O43" s="34">
        <f t="shared" si="0"/>
        <v>2540</v>
      </c>
    </row>
    <row r="44" spans="1:15" ht="57.75">
      <c r="A44" s="597" t="s">
        <v>27</v>
      </c>
      <c r="B44" s="3" t="s">
        <v>558</v>
      </c>
      <c r="C44" s="4" t="s">
        <v>546</v>
      </c>
      <c r="D44" s="3" t="s">
        <v>571</v>
      </c>
      <c r="E44" s="4"/>
      <c r="F44" s="4" t="s">
        <v>548</v>
      </c>
      <c r="G44" s="4" t="s">
        <v>546</v>
      </c>
      <c r="H44" s="719" t="s">
        <v>957</v>
      </c>
      <c r="I44" s="24">
        <v>356125</v>
      </c>
      <c r="J44" s="398" t="s">
        <v>29</v>
      </c>
      <c r="K44" s="8">
        <v>9.5</v>
      </c>
      <c r="L44" s="34">
        <f>14387-11207</f>
        <v>3180</v>
      </c>
      <c r="M44" s="35"/>
      <c r="N44" s="35"/>
      <c r="O44" s="34">
        <f t="shared" si="0"/>
        <v>3180</v>
      </c>
    </row>
    <row r="45" spans="1:15" ht="43.5">
      <c r="A45" s="597" t="s">
        <v>27</v>
      </c>
      <c r="B45" s="3" t="s">
        <v>564</v>
      </c>
      <c r="C45" s="4" t="s">
        <v>546</v>
      </c>
      <c r="D45" s="3" t="s">
        <v>572</v>
      </c>
      <c r="E45" s="4"/>
      <c r="F45" s="4" t="s">
        <v>548</v>
      </c>
      <c r="G45" s="4" t="s">
        <v>546</v>
      </c>
      <c r="H45" s="719" t="s">
        <v>1132</v>
      </c>
      <c r="I45" s="24">
        <v>10217855</v>
      </c>
      <c r="J45" s="398" t="s">
        <v>29</v>
      </c>
      <c r="K45" s="8">
        <v>15</v>
      </c>
      <c r="L45" s="34">
        <f>113577-87725</f>
        <v>25852</v>
      </c>
      <c r="M45" s="35"/>
      <c r="N45" s="35"/>
      <c r="O45" s="34">
        <f t="shared" si="0"/>
        <v>25852</v>
      </c>
    </row>
    <row r="46" spans="1:15" ht="43.5">
      <c r="A46" s="597" t="s">
        <v>27</v>
      </c>
      <c r="B46" s="3" t="s">
        <v>564</v>
      </c>
      <c r="C46" s="4" t="s">
        <v>546</v>
      </c>
      <c r="D46" s="3" t="s">
        <v>958</v>
      </c>
      <c r="E46" s="4"/>
      <c r="F46" s="4" t="s">
        <v>548</v>
      </c>
      <c r="G46" s="4" t="s">
        <v>546</v>
      </c>
      <c r="H46" s="719" t="s">
        <v>959</v>
      </c>
      <c r="I46" s="24">
        <v>8682011</v>
      </c>
      <c r="J46" s="398" t="s">
        <v>29</v>
      </c>
      <c r="K46" s="8">
        <v>10</v>
      </c>
      <c r="L46" s="34">
        <f>8311-7950</f>
        <v>361</v>
      </c>
      <c r="M46" s="35"/>
      <c r="N46" s="35"/>
      <c r="O46" s="34">
        <f t="shared" si="0"/>
        <v>361</v>
      </c>
    </row>
    <row r="47" spans="1:15" ht="43.5">
      <c r="A47" s="597" t="s">
        <v>27</v>
      </c>
      <c r="B47" s="3" t="s">
        <v>564</v>
      </c>
      <c r="C47" s="4" t="s">
        <v>546</v>
      </c>
      <c r="D47" s="3" t="s">
        <v>573</v>
      </c>
      <c r="E47" s="4"/>
      <c r="F47" s="4" t="s">
        <v>548</v>
      </c>
      <c r="G47" s="4" t="s">
        <v>546</v>
      </c>
      <c r="H47" s="719" t="s">
        <v>960</v>
      </c>
      <c r="I47" s="24">
        <v>90696057</v>
      </c>
      <c r="J47" s="398" t="s">
        <v>29</v>
      </c>
      <c r="K47" s="8">
        <v>5</v>
      </c>
      <c r="L47" s="34">
        <f>138*12</f>
        <v>1656</v>
      </c>
      <c r="M47" s="35"/>
      <c r="N47" s="35"/>
      <c r="O47" s="34">
        <f t="shared" si="0"/>
        <v>1656</v>
      </c>
    </row>
    <row r="48" spans="1:15" ht="43.5">
      <c r="A48" s="597" t="s">
        <v>27</v>
      </c>
      <c r="B48" s="3" t="s">
        <v>564</v>
      </c>
      <c r="C48" s="4" t="s">
        <v>546</v>
      </c>
      <c r="D48" s="3" t="s">
        <v>561</v>
      </c>
      <c r="E48" s="4"/>
      <c r="F48" s="4" t="s">
        <v>548</v>
      </c>
      <c r="G48" s="4" t="s">
        <v>546</v>
      </c>
      <c r="H48" s="719" t="s">
        <v>961</v>
      </c>
      <c r="I48" s="24">
        <v>90103976</v>
      </c>
      <c r="J48" s="398" t="s">
        <v>29</v>
      </c>
      <c r="K48" s="8">
        <v>13</v>
      </c>
      <c r="L48" s="34">
        <f>1617-370</f>
        <v>1247</v>
      </c>
      <c r="M48" s="35"/>
      <c r="N48" s="35"/>
      <c r="O48" s="34">
        <f>L48</f>
        <v>1247</v>
      </c>
    </row>
    <row r="49" spans="1:15" ht="43.5">
      <c r="A49" s="597" t="s">
        <v>27</v>
      </c>
      <c r="B49" s="3" t="s">
        <v>564</v>
      </c>
      <c r="C49" s="4" t="s">
        <v>546</v>
      </c>
      <c r="D49" s="3" t="s">
        <v>574</v>
      </c>
      <c r="E49" s="4" t="s">
        <v>575</v>
      </c>
      <c r="F49" s="4" t="s">
        <v>548</v>
      </c>
      <c r="G49" s="4" t="s">
        <v>546</v>
      </c>
      <c r="H49" s="719" t="s">
        <v>962</v>
      </c>
      <c r="I49" s="24">
        <v>90035114</v>
      </c>
      <c r="J49" s="398" t="s">
        <v>29</v>
      </c>
      <c r="K49" s="8">
        <v>13</v>
      </c>
      <c r="L49" s="34">
        <f>200*12</f>
        <v>2400</v>
      </c>
      <c r="M49" s="35"/>
      <c r="N49" s="35"/>
      <c r="O49" s="34">
        <f aca="true" t="shared" si="1" ref="O49:O59">L49</f>
        <v>2400</v>
      </c>
    </row>
    <row r="50" spans="1:15" ht="57.75">
      <c r="A50" s="597" t="s">
        <v>27</v>
      </c>
      <c r="B50" s="3" t="s">
        <v>576</v>
      </c>
      <c r="C50" s="4" t="s">
        <v>546</v>
      </c>
      <c r="D50" s="3" t="s">
        <v>577</v>
      </c>
      <c r="E50" s="4"/>
      <c r="F50" s="4" t="s">
        <v>548</v>
      </c>
      <c r="G50" s="4" t="s">
        <v>546</v>
      </c>
      <c r="H50" s="719" t="s">
        <v>963</v>
      </c>
      <c r="I50" s="24">
        <v>8190959</v>
      </c>
      <c r="J50" s="398" t="s">
        <v>29</v>
      </c>
      <c r="K50" s="8">
        <v>10</v>
      </c>
      <c r="L50" s="34">
        <f>5430-5362</f>
        <v>68</v>
      </c>
      <c r="M50" s="35"/>
      <c r="N50" s="35"/>
      <c r="O50" s="34">
        <f t="shared" si="1"/>
        <v>68</v>
      </c>
    </row>
    <row r="51" spans="1:15" ht="43.5">
      <c r="A51" s="597" t="s">
        <v>27</v>
      </c>
      <c r="B51" s="3" t="s">
        <v>556</v>
      </c>
      <c r="C51" s="4" t="s">
        <v>546</v>
      </c>
      <c r="D51" s="3" t="s">
        <v>578</v>
      </c>
      <c r="E51" s="4"/>
      <c r="F51" s="4" t="s">
        <v>548</v>
      </c>
      <c r="G51" s="4" t="s">
        <v>546</v>
      </c>
      <c r="H51" s="719" t="s">
        <v>964</v>
      </c>
      <c r="I51" s="24">
        <v>9020447</v>
      </c>
      <c r="J51" s="398" t="s">
        <v>29</v>
      </c>
      <c r="K51" s="8">
        <v>10</v>
      </c>
      <c r="L51" s="34">
        <f>15661-13366</f>
        <v>2295</v>
      </c>
      <c r="M51" s="35"/>
      <c r="N51" s="35"/>
      <c r="O51" s="34">
        <f t="shared" si="1"/>
        <v>2295</v>
      </c>
    </row>
    <row r="52" spans="1:15" ht="43.5">
      <c r="A52" s="597" t="s">
        <v>27</v>
      </c>
      <c r="B52" s="3" t="s">
        <v>564</v>
      </c>
      <c r="C52" s="4" t="s">
        <v>546</v>
      </c>
      <c r="D52" s="3" t="s">
        <v>579</v>
      </c>
      <c r="E52" s="4"/>
      <c r="F52" s="4" t="s">
        <v>548</v>
      </c>
      <c r="G52" s="4" t="s">
        <v>546</v>
      </c>
      <c r="H52" s="719" t="s">
        <v>965</v>
      </c>
      <c r="I52" s="24">
        <v>8328210</v>
      </c>
      <c r="J52" s="398" t="s">
        <v>29</v>
      </c>
      <c r="K52" s="8">
        <v>4</v>
      </c>
      <c r="L52" s="34">
        <f>9848-8954</f>
        <v>894</v>
      </c>
      <c r="M52" s="35"/>
      <c r="N52" s="35"/>
      <c r="O52" s="34">
        <f t="shared" si="1"/>
        <v>894</v>
      </c>
    </row>
    <row r="53" spans="1:15" ht="43.5">
      <c r="A53" s="597" t="s">
        <v>27</v>
      </c>
      <c r="B53" s="3" t="s">
        <v>556</v>
      </c>
      <c r="C53" s="4" t="s">
        <v>546</v>
      </c>
      <c r="D53" s="3" t="s">
        <v>580</v>
      </c>
      <c r="E53" s="4" t="s">
        <v>581</v>
      </c>
      <c r="F53" s="4" t="s">
        <v>548</v>
      </c>
      <c r="G53" s="4" t="s">
        <v>546</v>
      </c>
      <c r="H53" s="719" t="s">
        <v>966</v>
      </c>
      <c r="I53" s="24">
        <v>90695913</v>
      </c>
      <c r="J53" s="398" t="s">
        <v>29</v>
      </c>
      <c r="K53" s="8">
        <v>4</v>
      </c>
      <c r="L53" s="34">
        <f>151*12</f>
        <v>1812</v>
      </c>
      <c r="M53" s="35"/>
      <c r="N53" s="35"/>
      <c r="O53" s="34">
        <f t="shared" si="1"/>
        <v>1812</v>
      </c>
    </row>
    <row r="54" spans="1:15" ht="57.75">
      <c r="A54" s="597" t="s">
        <v>27</v>
      </c>
      <c r="B54" s="3" t="s">
        <v>560</v>
      </c>
      <c r="C54" s="4" t="s">
        <v>546</v>
      </c>
      <c r="D54" s="3" t="s">
        <v>582</v>
      </c>
      <c r="E54" s="4" t="s">
        <v>583</v>
      </c>
      <c r="F54" s="4" t="s">
        <v>548</v>
      </c>
      <c r="G54" s="4" t="s">
        <v>546</v>
      </c>
      <c r="H54" s="719" t="s">
        <v>967</v>
      </c>
      <c r="I54" s="24">
        <v>90092805</v>
      </c>
      <c r="J54" s="398" t="s">
        <v>29</v>
      </c>
      <c r="K54" s="8">
        <v>13</v>
      </c>
      <c r="L54" s="34">
        <f>2477-590</f>
        <v>1887</v>
      </c>
      <c r="M54" s="35"/>
      <c r="N54" s="35"/>
      <c r="O54" s="34">
        <f t="shared" si="1"/>
        <v>1887</v>
      </c>
    </row>
    <row r="55" spans="1:15" ht="57.75">
      <c r="A55" s="597" t="s">
        <v>27</v>
      </c>
      <c r="B55" s="3" t="s">
        <v>560</v>
      </c>
      <c r="C55" s="4" t="s">
        <v>546</v>
      </c>
      <c r="D55" s="3" t="s">
        <v>584</v>
      </c>
      <c r="E55" s="4"/>
      <c r="F55" s="4" t="s">
        <v>548</v>
      </c>
      <c r="G55" s="4" t="s">
        <v>546</v>
      </c>
      <c r="H55" s="719" t="s">
        <v>968</v>
      </c>
      <c r="I55" s="24">
        <v>9145081</v>
      </c>
      <c r="J55" s="398" t="s">
        <v>29</v>
      </c>
      <c r="K55" s="8">
        <v>12</v>
      </c>
      <c r="L55" s="34">
        <f>19392-16404</f>
        <v>2988</v>
      </c>
      <c r="M55" s="35"/>
      <c r="N55" s="35"/>
      <c r="O55" s="34">
        <f t="shared" si="1"/>
        <v>2988</v>
      </c>
    </row>
    <row r="56" spans="1:15" ht="43.5">
      <c r="A56" s="597" t="s">
        <v>27</v>
      </c>
      <c r="B56" s="3" t="s">
        <v>556</v>
      </c>
      <c r="C56" s="4" t="s">
        <v>546</v>
      </c>
      <c r="D56" s="3" t="s">
        <v>585</v>
      </c>
      <c r="E56" s="4" t="s">
        <v>586</v>
      </c>
      <c r="F56" s="4" t="s">
        <v>548</v>
      </c>
      <c r="G56" s="4" t="s">
        <v>546</v>
      </c>
      <c r="H56" s="719" t="s">
        <v>970</v>
      </c>
      <c r="I56" s="24">
        <v>70542310</v>
      </c>
      <c r="J56" s="398" t="s">
        <v>29</v>
      </c>
      <c r="K56" s="8">
        <v>4</v>
      </c>
      <c r="L56" s="34">
        <f>27363-24980</f>
        <v>2383</v>
      </c>
      <c r="M56" s="35"/>
      <c r="N56" s="35"/>
      <c r="O56" s="34">
        <f t="shared" si="1"/>
        <v>2383</v>
      </c>
    </row>
    <row r="57" spans="1:15" ht="43.5">
      <c r="A57" s="597" t="s">
        <v>27</v>
      </c>
      <c r="B57" s="3" t="s">
        <v>556</v>
      </c>
      <c r="C57" s="4" t="s">
        <v>546</v>
      </c>
      <c r="D57" s="3" t="s">
        <v>587</v>
      </c>
      <c r="E57" s="4" t="s">
        <v>588</v>
      </c>
      <c r="F57" s="4" t="s">
        <v>548</v>
      </c>
      <c r="G57" s="4" t="s">
        <v>546</v>
      </c>
      <c r="H57" s="719" t="s">
        <v>969</v>
      </c>
      <c r="I57" s="24">
        <v>90103307</v>
      </c>
      <c r="J57" s="398" t="s">
        <v>29</v>
      </c>
      <c r="K57" s="8">
        <v>4</v>
      </c>
      <c r="L57" s="34">
        <f>4634-1712</f>
        <v>2922</v>
      </c>
      <c r="M57" s="35"/>
      <c r="N57" s="35"/>
      <c r="O57" s="34">
        <f t="shared" si="1"/>
        <v>2922</v>
      </c>
    </row>
    <row r="58" spans="1:15" ht="43.5">
      <c r="A58" s="597" t="s">
        <v>27</v>
      </c>
      <c r="B58" s="3" t="s">
        <v>556</v>
      </c>
      <c r="C58" s="4" t="s">
        <v>546</v>
      </c>
      <c r="D58" s="3" t="s">
        <v>587</v>
      </c>
      <c r="E58" s="4"/>
      <c r="F58" s="4" t="s">
        <v>548</v>
      </c>
      <c r="G58" s="4" t="s">
        <v>546</v>
      </c>
      <c r="H58" s="719" t="s">
        <v>971</v>
      </c>
      <c r="I58" s="24">
        <v>12720952</v>
      </c>
      <c r="J58" s="398" t="s">
        <v>29</v>
      </c>
      <c r="K58" s="8">
        <v>3</v>
      </c>
      <c r="L58" s="34">
        <f>15661-14782</f>
        <v>879</v>
      </c>
      <c r="M58" s="35"/>
      <c r="N58" s="35"/>
      <c r="O58" s="34">
        <f t="shared" si="1"/>
        <v>879</v>
      </c>
    </row>
    <row r="59" spans="1:15" ht="43.5">
      <c r="A59" s="597" t="s">
        <v>27</v>
      </c>
      <c r="B59" s="3" t="s">
        <v>556</v>
      </c>
      <c r="C59" s="4" t="s">
        <v>546</v>
      </c>
      <c r="D59" s="3" t="s">
        <v>589</v>
      </c>
      <c r="E59" s="4"/>
      <c r="F59" s="4" t="s">
        <v>548</v>
      </c>
      <c r="G59" s="4" t="s">
        <v>546</v>
      </c>
      <c r="H59" s="719" t="s">
        <v>972</v>
      </c>
      <c r="I59" s="24">
        <v>11765245</v>
      </c>
      <c r="J59" s="398" t="s">
        <v>29</v>
      </c>
      <c r="K59" s="8">
        <v>10</v>
      </c>
      <c r="L59" s="34">
        <f>6550-5815</f>
        <v>735</v>
      </c>
      <c r="M59" s="35"/>
      <c r="N59" s="35"/>
      <c r="O59" s="34">
        <f t="shared" si="1"/>
        <v>735</v>
      </c>
    </row>
    <row r="60" spans="1:15" ht="46.5" customHeight="1">
      <c r="A60" s="597" t="s">
        <v>27</v>
      </c>
      <c r="B60" s="3" t="s">
        <v>556</v>
      </c>
      <c r="C60" s="4" t="s">
        <v>546</v>
      </c>
      <c r="D60" s="3" t="s">
        <v>559</v>
      </c>
      <c r="E60" s="4" t="s">
        <v>590</v>
      </c>
      <c r="F60" s="4" t="s">
        <v>548</v>
      </c>
      <c r="G60" s="4" t="s">
        <v>546</v>
      </c>
      <c r="H60" s="719" t="s">
        <v>973</v>
      </c>
      <c r="I60" s="24">
        <v>90107404</v>
      </c>
      <c r="J60" s="398" t="s">
        <v>29</v>
      </c>
      <c r="K60" s="8">
        <v>13</v>
      </c>
      <c r="L60" s="34">
        <f>5475-1393</f>
        <v>4082</v>
      </c>
      <c r="M60" s="35"/>
      <c r="N60" s="35"/>
      <c r="O60" s="34">
        <f aca="true" t="shared" si="2" ref="O60:O66">L60</f>
        <v>4082</v>
      </c>
    </row>
    <row r="61" spans="1:15" ht="43.5">
      <c r="A61" s="597" t="s">
        <v>27</v>
      </c>
      <c r="B61" s="3" t="s">
        <v>556</v>
      </c>
      <c r="C61" s="4" t="s">
        <v>546</v>
      </c>
      <c r="D61" s="3" t="s">
        <v>591</v>
      </c>
      <c r="E61" s="4"/>
      <c r="F61" s="4" t="s">
        <v>548</v>
      </c>
      <c r="G61" s="4" t="s">
        <v>546</v>
      </c>
      <c r="H61" s="719" t="s">
        <v>974</v>
      </c>
      <c r="I61" s="24">
        <v>90101957</v>
      </c>
      <c r="J61" s="398" t="s">
        <v>29</v>
      </c>
      <c r="K61" s="8">
        <v>2</v>
      </c>
      <c r="L61" s="34">
        <f>923-261</f>
        <v>662</v>
      </c>
      <c r="M61" s="35"/>
      <c r="N61" s="35"/>
      <c r="O61" s="34">
        <f t="shared" si="2"/>
        <v>662</v>
      </c>
    </row>
    <row r="62" spans="1:15" ht="43.5">
      <c r="A62" s="597" t="s">
        <v>27</v>
      </c>
      <c r="B62" s="3" t="s">
        <v>556</v>
      </c>
      <c r="C62" s="4" t="s">
        <v>546</v>
      </c>
      <c r="D62" s="3" t="s">
        <v>592</v>
      </c>
      <c r="E62" s="4" t="s">
        <v>593</v>
      </c>
      <c r="F62" s="4" t="s">
        <v>548</v>
      </c>
      <c r="G62" s="4" t="s">
        <v>546</v>
      </c>
      <c r="H62" s="719" t="s">
        <v>975</v>
      </c>
      <c r="I62" s="24">
        <v>13058515</v>
      </c>
      <c r="J62" s="398" t="s">
        <v>29</v>
      </c>
      <c r="K62" s="8">
        <v>4</v>
      </c>
      <c r="L62" s="34">
        <f>14921-13599</f>
        <v>1322</v>
      </c>
      <c r="M62" s="35"/>
      <c r="N62" s="35"/>
      <c r="O62" s="34">
        <f t="shared" si="2"/>
        <v>1322</v>
      </c>
    </row>
    <row r="63" spans="1:15" ht="43.5">
      <c r="A63" s="768" t="s">
        <v>27</v>
      </c>
      <c r="B63" s="9" t="s">
        <v>556</v>
      </c>
      <c r="C63" s="6" t="s">
        <v>546</v>
      </c>
      <c r="D63" s="9" t="s">
        <v>594</v>
      </c>
      <c r="E63" s="6"/>
      <c r="F63" s="6" t="s">
        <v>548</v>
      </c>
      <c r="G63" s="6" t="s">
        <v>546</v>
      </c>
      <c r="H63" s="797" t="s">
        <v>976</v>
      </c>
      <c r="I63" s="22">
        <v>8462876</v>
      </c>
      <c r="J63" s="769" t="s">
        <v>29</v>
      </c>
      <c r="K63" s="770">
        <v>10</v>
      </c>
      <c r="L63" s="118">
        <f>5210-4548</f>
        <v>662</v>
      </c>
      <c r="M63" s="39"/>
      <c r="N63" s="35"/>
      <c r="O63" s="34">
        <f t="shared" si="2"/>
        <v>662</v>
      </c>
    </row>
    <row r="64" spans="1:15" ht="52.5" customHeight="1">
      <c r="A64" s="597" t="s">
        <v>27</v>
      </c>
      <c r="B64" s="9" t="s">
        <v>556</v>
      </c>
      <c r="C64" s="6" t="s">
        <v>546</v>
      </c>
      <c r="D64" s="9" t="s">
        <v>641</v>
      </c>
      <c r="E64" s="6" t="s">
        <v>1301</v>
      </c>
      <c r="F64" s="6" t="s">
        <v>548</v>
      </c>
      <c r="G64" s="6" t="s">
        <v>546</v>
      </c>
      <c r="H64" s="719" t="s">
        <v>1300</v>
      </c>
      <c r="I64" s="24">
        <v>8686868</v>
      </c>
      <c r="J64" s="398" t="s">
        <v>29</v>
      </c>
      <c r="K64" s="8">
        <v>10</v>
      </c>
      <c r="L64" s="34">
        <f>5917-5651</f>
        <v>266</v>
      </c>
      <c r="M64" s="35"/>
      <c r="N64" s="35"/>
      <c r="O64" s="34">
        <f t="shared" si="2"/>
        <v>266</v>
      </c>
    </row>
    <row r="65" spans="1:15" ht="52.5" customHeight="1">
      <c r="A65" s="597" t="s">
        <v>27</v>
      </c>
      <c r="B65" s="3" t="s">
        <v>556</v>
      </c>
      <c r="C65" s="4" t="s">
        <v>546</v>
      </c>
      <c r="D65" s="3" t="s">
        <v>589</v>
      </c>
      <c r="E65" s="4"/>
      <c r="F65" s="4" t="s">
        <v>548</v>
      </c>
      <c r="G65" s="4" t="s">
        <v>546</v>
      </c>
      <c r="H65" s="719" t="s">
        <v>1302</v>
      </c>
      <c r="I65" s="24">
        <v>70976857</v>
      </c>
      <c r="J65" s="398" t="s">
        <v>29</v>
      </c>
      <c r="K65" s="8">
        <v>24</v>
      </c>
      <c r="L65" s="34">
        <f>5511-5035</f>
        <v>476</v>
      </c>
      <c r="M65" s="35"/>
      <c r="N65" s="35"/>
      <c r="O65" s="34">
        <f t="shared" si="2"/>
        <v>476</v>
      </c>
    </row>
    <row r="66" spans="1:15" ht="52.5" customHeight="1" thickBot="1">
      <c r="A66" s="603" t="s">
        <v>27</v>
      </c>
      <c r="B66" s="964" t="s">
        <v>1303</v>
      </c>
      <c r="C66" s="771" t="s">
        <v>546</v>
      </c>
      <c r="D66" s="569" t="s">
        <v>312</v>
      </c>
      <c r="E66" s="372"/>
      <c r="F66" s="372" t="s">
        <v>608</v>
      </c>
      <c r="G66" s="372" t="s">
        <v>546</v>
      </c>
      <c r="H66" s="734" t="s">
        <v>1490</v>
      </c>
      <c r="I66" s="965">
        <v>90095320</v>
      </c>
      <c r="J66" s="534" t="s">
        <v>29</v>
      </c>
      <c r="K66" s="425">
        <v>3</v>
      </c>
      <c r="L66" s="275">
        <f>143-20</f>
        <v>123</v>
      </c>
      <c r="M66" s="276"/>
      <c r="N66" s="276"/>
      <c r="O66" s="275">
        <f t="shared" si="2"/>
        <v>123</v>
      </c>
    </row>
    <row r="67" spans="2:15" ht="15">
      <c r="B67" s="1240" t="s">
        <v>23</v>
      </c>
      <c r="C67" s="1231" t="s">
        <v>616</v>
      </c>
      <c r="D67" s="1232"/>
      <c r="E67" s="1241"/>
      <c r="F67" s="1235"/>
      <c r="G67" s="1235"/>
      <c r="H67" s="1230" t="s">
        <v>1719</v>
      </c>
      <c r="I67" s="1231" t="s">
        <v>556</v>
      </c>
      <c r="J67" s="1231"/>
      <c r="K67" s="1249"/>
      <c r="N67" s="34" t="s">
        <v>24</v>
      </c>
      <c r="O67" s="598">
        <f>SUM(O31:O66)</f>
        <v>1490739.8000000007</v>
      </c>
    </row>
    <row r="68" spans="2:15" ht="15">
      <c r="B68" s="1242"/>
      <c r="C68" s="1235" t="s">
        <v>1776</v>
      </c>
      <c r="D68" s="1236"/>
      <c r="E68" s="1243"/>
      <c r="F68" s="1235"/>
      <c r="G68" s="1235"/>
      <c r="H68" s="1234"/>
      <c r="I68" s="1235" t="s">
        <v>1777</v>
      </c>
      <c r="J68" s="1235"/>
      <c r="K68" s="1250"/>
      <c r="O68" s="33"/>
    </row>
    <row r="69" spans="2:15" ht="15">
      <c r="B69" s="1242"/>
      <c r="C69" s="1235" t="s">
        <v>551</v>
      </c>
      <c r="D69" s="1236"/>
      <c r="E69" s="1243"/>
      <c r="F69" s="1235"/>
      <c r="G69" s="1235"/>
      <c r="H69" s="1234"/>
      <c r="I69" s="1235" t="s">
        <v>551</v>
      </c>
      <c r="J69" s="1235"/>
      <c r="K69" s="1250"/>
      <c r="O69" s="33"/>
    </row>
    <row r="70" spans="2:15" ht="15.75" thickBot="1">
      <c r="B70" s="1276" t="s">
        <v>169</v>
      </c>
      <c r="C70" s="1235" t="s">
        <v>1778</v>
      </c>
      <c r="D70" s="1236"/>
      <c r="E70" s="1243"/>
      <c r="F70" s="1235"/>
      <c r="G70" s="1235"/>
      <c r="H70" s="1251"/>
      <c r="I70" s="1238"/>
      <c r="J70" s="1238"/>
      <c r="K70" s="1252"/>
      <c r="O70" s="33"/>
    </row>
    <row r="71" spans="1:15" ht="15.75" thickBot="1">
      <c r="A71" s="295"/>
      <c r="B71" s="1244" t="s">
        <v>1112</v>
      </c>
      <c r="C71" s="1238" t="s">
        <v>1130</v>
      </c>
      <c r="D71" s="1239"/>
      <c r="E71" s="1245"/>
      <c r="F71" s="1235"/>
      <c r="G71" s="1235"/>
      <c r="H71" s="1231"/>
      <c r="I71" s="1231"/>
      <c r="J71" s="1232"/>
      <c r="K71" s="1253"/>
      <c r="O71" s="33"/>
    </row>
    <row r="72" spans="1:15" ht="15">
      <c r="A72" s="295"/>
      <c r="B72" s="20"/>
      <c r="C72" s="14"/>
      <c r="D72" s="14"/>
      <c r="E72" s="14"/>
      <c r="F72" s="14"/>
      <c r="G72" s="14"/>
      <c r="I72" s="1"/>
      <c r="J72" s="295"/>
      <c r="K72" s="7"/>
      <c r="O72" s="33"/>
    </row>
    <row r="73" spans="9:15" ht="15" thickBot="1">
      <c r="I73" s="1"/>
      <c r="J73" s="295"/>
      <c r="K73" s="7"/>
      <c r="O73" s="33"/>
    </row>
    <row r="74" spans="1:15" ht="45" customHeight="1">
      <c r="A74" s="1575" t="s">
        <v>7</v>
      </c>
      <c r="B74" s="1575" t="s">
        <v>8</v>
      </c>
      <c r="C74" s="1575" t="s">
        <v>9</v>
      </c>
      <c r="D74" s="1575" t="s">
        <v>10</v>
      </c>
      <c r="E74" s="1575" t="s">
        <v>11</v>
      </c>
      <c r="F74" s="1575" t="s">
        <v>12</v>
      </c>
      <c r="G74" s="1575" t="s">
        <v>13</v>
      </c>
      <c r="H74" s="1575" t="s">
        <v>14</v>
      </c>
      <c r="I74" s="1595" t="s">
        <v>282</v>
      </c>
      <c r="J74" s="1575" t="s">
        <v>60</v>
      </c>
      <c r="K74" s="1635" t="s">
        <v>16</v>
      </c>
      <c r="L74" s="1586" t="s">
        <v>667</v>
      </c>
      <c r="M74" s="1570"/>
      <c r="N74" s="1570"/>
      <c r="O74" s="1587"/>
    </row>
    <row r="75" spans="1:15" ht="35.25" customHeight="1">
      <c r="A75" s="1575"/>
      <c r="B75" s="1575"/>
      <c r="C75" s="1575"/>
      <c r="D75" s="1575"/>
      <c r="E75" s="1575"/>
      <c r="F75" s="1575"/>
      <c r="G75" s="1575"/>
      <c r="H75" s="1575"/>
      <c r="I75" s="1595"/>
      <c r="J75" s="1575"/>
      <c r="K75" s="1635"/>
      <c r="L75" s="1597" t="s">
        <v>668</v>
      </c>
      <c r="M75" s="1568"/>
      <c r="N75" s="1568"/>
      <c r="O75" s="1598"/>
    </row>
    <row r="76" spans="1:15" ht="27.75" customHeight="1" thickBot="1">
      <c r="A76" s="1575"/>
      <c r="B76" s="1575"/>
      <c r="C76" s="1575"/>
      <c r="D76" s="1575"/>
      <c r="E76" s="1575"/>
      <c r="F76" s="1575"/>
      <c r="G76" s="1575"/>
      <c r="H76" s="1575"/>
      <c r="I76" s="1595"/>
      <c r="J76" s="1575"/>
      <c r="K76" s="1635"/>
      <c r="L76" s="270" t="s">
        <v>669</v>
      </c>
      <c r="M76" s="277" t="s">
        <v>670</v>
      </c>
      <c r="N76" s="277" t="s">
        <v>671</v>
      </c>
      <c r="O76" s="272" t="s">
        <v>17</v>
      </c>
    </row>
    <row r="77" spans="1:15" ht="29.25">
      <c r="A77" s="597" t="s">
        <v>27</v>
      </c>
      <c r="B77" s="3" t="s">
        <v>595</v>
      </c>
      <c r="C77" s="4" t="s">
        <v>546</v>
      </c>
      <c r="D77" s="3" t="s">
        <v>559</v>
      </c>
      <c r="E77" s="4">
        <v>10</v>
      </c>
      <c r="F77" s="4" t="s">
        <v>548</v>
      </c>
      <c r="G77" s="4" t="s">
        <v>546</v>
      </c>
      <c r="H77" s="719" t="s">
        <v>1057</v>
      </c>
      <c r="I77" s="24">
        <v>71010251</v>
      </c>
      <c r="J77" s="398" t="s">
        <v>29</v>
      </c>
      <c r="K77" s="8">
        <v>26.9</v>
      </c>
      <c r="L77" s="34">
        <f>186956-149273</f>
        <v>37683</v>
      </c>
      <c r="M77" s="35"/>
      <c r="N77" s="35"/>
      <c r="O77" s="34">
        <f>L77</f>
        <v>37683</v>
      </c>
    </row>
    <row r="78" spans="1:15" ht="29.25">
      <c r="A78" s="768" t="s">
        <v>27</v>
      </c>
      <c r="B78" s="9" t="s">
        <v>595</v>
      </c>
      <c r="C78" s="6" t="s">
        <v>546</v>
      </c>
      <c r="D78" s="9" t="s">
        <v>559</v>
      </c>
      <c r="E78" s="6">
        <v>10</v>
      </c>
      <c r="F78" s="6" t="s">
        <v>548</v>
      </c>
      <c r="G78" s="6" t="s">
        <v>546</v>
      </c>
      <c r="H78" s="797" t="s">
        <v>1058</v>
      </c>
      <c r="I78" s="22">
        <v>25375443</v>
      </c>
      <c r="J78" s="769" t="s">
        <v>29</v>
      </c>
      <c r="K78" s="770">
        <v>1</v>
      </c>
      <c r="L78" s="118">
        <f>1749-1393</f>
        <v>356</v>
      </c>
      <c r="M78" s="39"/>
      <c r="N78" s="39"/>
      <c r="O78" s="118">
        <f>L78</f>
        <v>356</v>
      </c>
    </row>
    <row r="79" spans="1:15" ht="18.75" thickBot="1">
      <c r="A79" s="768" t="s">
        <v>27</v>
      </c>
      <c r="B79" s="3"/>
      <c r="C79" s="4" t="s">
        <v>546</v>
      </c>
      <c r="D79" s="3" t="s">
        <v>559</v>
      </c>
      <c r="E79" s="4">
        <v>10</v>
      </c>
      <c r="F79" s="4" t="s">
        <v>548</v>
      </c>
      <c r="G79" s="4" t="s">
        <v>546</v>
      </c>
      <c r="H79" s="719" t="s">
        <v>1489</v>
      </c>
      <c r="I79" s="24">
        <v>90693874</v>
      </c>
      <c r="J79" s="31" t="s">
        <v>67</v>
      </c>
      <c r="K79" s="8">
        <v>30</v>
      </c>
      <c r="L79" s="35"/>
      <c r="M79" s="34">
        <v>6000</v>
      </c>
      <c r="N79" s="34">
        <v>12000</v>
      </c>
      <c r="O79" s="34">
        <f>M79+N79</f>
        <v>18000</v>
      </c>
    </row>
    <row r="80" spans="2:15" ht="15">
      <c r="B80" s="1240" t="s">
        <v>23</v>
      </c>
      <c r="C80" s="1231" t="s">
        <v>616</v>
      </c>
      <c r="D80" s="1232"/>
      <c r="E80" s="1241"/>
      <c r="F80" s="1254"/>
      <c r="G80" s="1254"/>
      <c r="H80" s="1230" t="s">
        <v>1719</v>
      </c>
      <c r="I80" s="1231" t="s">
        <v>596</v>
      </c>
      <c r="J80" s="1232"/>
      <c r="K80" s="1255"/>
      <c r="N80" s="275" t="s">
        <v>24</v>
      </c>
      <c r="O80" s="963">
        <f>SUM(O77:O79)</f>
        <v>56039</v>
      </c>
    </row>
    <row r="81" spans="2:15" ht="15">
      <c r="B81" s="1242"/>
      <c r="C81" s="1235" t="s">
        <v>1776</v>
      </c>
      <c r="D81" s="1236"/>
      <c r="E81" s="1243"/>
      <c r="F81" s="1254"/>
      <c r="G81" s="1254"/>
      <c r="H81" s="1234"/>
      <c r="I81" s="1235" t="s">
        <v>1779</v>
      </c>
      <c r="J81" s="1236"/>
      <c r="K81" s="1256"/>
      <c r="O81" s="33"/>
    </row>
    <row r="82" spans="2:15" ht="15">
      <c r="B82" s="1242"/>
      <c r="C82" s="1235" t="s">
        <v>551</v>
      </c>
      <c r="D82" s="1236"/>
      <c r="E82" s="1243"/>
      <c r="F82" s="1254"/>
      <c r="G82" s="1254"/>
      <c r="H82" s="1234"/>
      <c r="I82" s="1235" t="s">
        <v>551</v>
      </c>
      <c r="J82" s="1236"/>
      <c r="K82" s="1256"/>
      <c r="N82" s="1"/>
      <c r="O82" s="33"/>
    </row>
    <row r="83" spans="2:15" ht="15.75" thickBot="1">
      <c r="B83" s="1276" t="s">
        <v>169</v>
      </c>
      <c r="C83" s="1235" t="s">
        <v>1778</v>
      </c>
      <c r="D83" s="1236"/>
      <c r="E83" s="1243"/>
      <c r="F83" s="1254"/>
      <c r="G83" s="1254"/>
      <c r="H83" s="1251"/>
      <c r="I83" s="1238"/>
      <c r="J83" s="1239"/>
      <c r="K83" s="1257"/>
      <c r="O83" s="33"/>
    </row>
    <row r="84" spans="1:15" ht="15.75" thickBot="1">
      <c r="A84" s="295"/>
      <c r="B84" s="1244" t="s">
        <v>1112</v>
      </c>
      <c r="C84" s="1238" t="s">
        <v>1130</v>
      </c>
      <c r="D84" s="1239"/>
      <c r="E84" s="1245"/>
      <c r="F84" s="1254"/>
      <c r="G84" s="1254"/>
      <c r="H84" s="27"/>
      <c r="I84" s="27"/>
      <c r="J84" s="76"/>
      <c r="K84" s="1258"/>
      <c r="O84" s="33"/>
    </row>
    <row r="85" spans="1:15" ht="15">
      <c r="A85" s="295"/>
      <c r="B85" s="20"/>
      <c r="C85" s="45"/>
      <c r="D85" s="20"/>
      <c r="E85" s="56"/>
      <c r="I85" s="1"/>
      <c r="J85" s="295"/>
      <c r="K85" s="7"/>
      <c r="O85" s="33"/>
    </row>
    <row r="86" spans="9:15" ht="15" thickBot="1">
      <c r="I86" s="1"/>
      <c r="J86" s="295"/>
      <c r="K86" s="7"/>
      <c r="O86" s="33"/>
    </row>
    <row r="87" spans="1:15" ht="44.25" customHeight="1">
      <c r="A87" s="1575" t="s">
        <v>7</v>
      </c>
      <c r="B87" s="1575" t="s">
        <v>8</v>
      </c>
      <c r="C87" s="1575" t="s">
        <v>9</v>
      </c>
      <c r="D87" s="1575" t="s">
        <v>10</v>
      </c>
      <c r="E87" s="1575" t="s">
        <v>11</v>
      </c>
      <c r="F87" s="1575" t="s">
        <v>12</v>
      </c>
      <c r="G87" s="1575" t="s">
        <v>13</v>
      </c>
      <c r="H87" s="1575" t="s">
        <v>14</v>
      </c>
      <c r="I87" s="1595" t="s">
        <v>282</v>
      </c>
      <c r="J87" s="1575" t="s">
        <v>60</v>
      </c>
      <c r="K87" s="1635" t="s">
        <v>16</v>
      </c>
      <c r="L87" s="1586" t="s">
        <v>667</v>
      </c>
      <c r="M87" s="1570"/>
      <c r="N87" s="1570"/>
      <c r="O87" s="1587"/>
    </row>
    <row r="88" spans="1:15" ht="39" customHeight="1">
      <c r="A88" s="1575"/>
      <c r="B88" s="1575"/>
      <c r="C88" s="1575"/>
      <c r="D88" s="1575"/>
      <c r="E88" s="1575"/>
      <c r="F88" s="1575"/>
      <c r="G88" s="1575"/>
      <c r="H88" s="1575"/>
      <c r="I88" s="1595"/>
      <c r="J88" s="1575"/>
      <c r="K88" s="1635"/>
      <c r="L88" s="1597" t="s">
        <v>668</v>
      </c>
      <c r="M88" s="1568"/>
      <c r="N88" s="1568"/>
      <c r="O88" s="1598"/>
    </row>
    <row r="89" spans="1:15" ht="27" customHeight="1" thickBot="1">
      <c r="A89" s="1575"/>
      <c r="B89" s="1575"/>
      <c r="C89" s="1575"/>
      <c r="D89" s="1575"/>
      <c r="E89" s="1575"/>
      <c r="F89" s="1575"/>
      <c r="G89" s="1575"/>
      <c r="H89" s="1575"/>
      <c r="I89" s="1595"/>
      <c r="J89" s="1575"/>
      <c r="K89" s="1635"/>
      <c r="L89" s="270" t="s">
        <v>669</v>
      </c>
      <c r="M89" s="277" t="s">
        <v>670</v>
      </c>
      <c r="N89" s="277" t="s">
        <v>671</v>
      </c>
      <c r="O89" s="272" t="s">
        <v>17</v>
      </c>
    </row>
    <row r="90" spans="1:15" ht="29.25">
      <c r="A90" s="597" t="s">
        <v>27</v>
      </c>
      <c r="B90" s="3" t="s">
        <v>80</v>
      </c>
      <c r="C90" s="4" t="s">
        <v>546</v>
      </c>
      <c r="D90" s="3" t="s">
        <v>568</v>
      </c>
      <c r="E90" s="4">
        <v>1</v>
      </c>
      <c r="F90" s="4" t="s">
        <v>548</v>
      </c>
      <c r="G90" s="4" t="s">
        <v>546</v>
      </c>
      <c r="H90" s="719" t="s">
        <v>829</v>
      </c>
      <c r="I90" s="24">
        <v>71030877</v>
      </c>
      <c r="J90" s="398" t="s">
        <v>29</v>
      </c>
      <c r="K90" s="8">
        <v>5</v>
      </c>
      <c r="L90" s="34">
        <f>13136-9749</f>
        <v>3387</v>
      </c>
      <c r="M90" s="35"/>
      <c r="N90" s="35"/>
      <c r="O90" s="34">
        <f>L90</f>
        <v>3387</v>
      </c>
    </row>
    <row r="91" spans="1:15" ht="30" thickBot="1">
      <c r="A91" s="597" t="s">
        <v>27</v>
      </c>
      <c r="B91" s="9" t="s">
        <v>80</v>
      </c>
      <c r="C91" s="6" t="s">
        <v>546</v>
      </c>
      <c r="D91" s="9" t="s">
        <v>569</v>
      </c>
      <c r="E91" s="6">
        <v>3</v>
      </c>
      <c r="F91" s="4" t="s">
        <v>548</v>
      </c>
      <c r="G91" s="4" t="s">
        <v>546</v>
      </c>
      <c r="H91" s="719" t="s">
        <v>830</v>
      </c>
      <c r="I91" s="24">
        <v>848384</v>
      </c>
      <c r="J91" s="398" t="s">
        <v>29</v>
      </c>
      <c r="K91" s="8">
        <v>5</v>
      </c>
      <c r="L91" s="34">
        <f>3166-2407</f>
        <v>759</v>
      </c>
      <c r="M91" s="35"/>
      <c r="N91" s="35"/>
      <c r="O91" s="34">
        <f>L91</f>
        <v>759</v>
      </c>
    </row>
    <row r="92" spans="2:15" ht="15">
      <c r="B92" s="121" t="s">
        <v>23</v>
      </c>
      <c r="C92" s="11" t="s">
        <v>80</v>
      </c>
      <c r="D92" s="19"/>
      <c r="E92" s="28"/>
      <c r="H92" s="1259" t="s">
        <v>1719</v>
      </c>
      <c r="I92" s="1260" t="s">
        <v>80</v>
      </c>
      <c r="J92" s="1261"/>
      <c r="K92" s="1199"/>
      <c r="N92" s="34" t="s">
        <v>24</v>
      </c>
      <c r="O92" s="598">
        <f>SUM(O90:O91)</f>
        <v>4146</v>
      </c>
    </row>
    <row r="93" spans="2:15" ht="15">
      <c r="B93" s="54"/>
      <c r="C93" s="45" t="s">
        <v>597</v>
      </c>
      <c r="D93" s="20"/>
      <c r="E93" s="29"/>
      <c r="H93" s="1262"/>
      <c r="I93" s="850" t="s">
        <v>1780</v>
      </c>
      <c r="J93" s="1263"/>
      <c r="K93" s="1200"/>
      <c r="O93" s="33"/>
    </row>
    <row r="94" spans="2:15" ht="15.75" thickBot="1">
      <c r="B94" s="54"/>
      <c r="C94" s="45" t="s">
        <v>551</v>
      </c>
      <c r="D94" s="20"/>
      <c r="E94" s="29"/>
      <c r="H94" s="1292"/>
      <c r="I94" s="960" t="s">
        <v>551</v>
      </c>
      <c r="J94" s="1271"/>
      <c r="K94" s="1202"/>
      <c r="O94" s="33"/>
    </row>
    <row r="95" spans="2:15" ht="15">
      <c r="B95" s="69" t="s">
        <v>169</v>
      </c>
      <c r="C95" s="45" t="s">
        <v>1789</v>
      </c>
      <c r="D95" s="20"/>
      <c r="E95" s="29"/>
      <c r="I95" s="1"/>
      <c r="J95" s="295"/>
      <c r="K95" s="7"/>
      <c r="O95" s="33"/>
    </row>
    <row r="96" spans="1:15" ht="15.75" thickBot="1">
      <c r="A96" s="295"/>
      <c r="B96" s="455" t="s">
        <v>1112</v>
      </c>
      <c r="C96" s="116" t="s">
        <v>1133</v>
      </c>
      <c r="D96" s="21"/>
      <c r="E96" s="30"/>
      <c r="I96" s="1"/>
      <c r="J96" s="295"/>
      <c r="K96" s="7"/>
      <c r="O96" s="33"/>
    </row>
    <row r="97" spans="1:15" ht="15">
      <c r="A97" s="295"/>
      <c r="B97" s="20"/>
      <c r="C97" s="45"/>
      <c r="D97" s="20"/>
      <c r="E97" s="56"/>
      <c r="I97" s="1"/>
      <c r="J97" s="295"/>
      <c r="K97" s="7"/>
      <c r="O97" s="33"/>
    </row>
    <row r="98" spans="9:15" ht="15" thickBot="1">
      <c r="I98" s="1"/>
      <c r="J98" s="295"/>
      <c r="K98" s="7"/>
      <c r="O98" s="33"/>
    </row>
    <row r="99" spans="1:15" ht="44.25" customHeight="1">
      <c r="A99" s="1575" t="s">
        <v>7</v>
      </c>
      <c r="B99" s="1575" t="s">
        <v>8</v>
      </c>
      <c r="C99" s="1575" t="s">
        <v>9</v>
      </c>
      <c r="D99" s="1575" t="s">
        <v>10</v>
      </c>
      <c r="E99" s="1575" t="s">
        <v>11</v>
      </c>
      <c r="F99" s="1575" t="s">
        <v>12</v>
      </c>
      <c r="G99" s="1575" t="s">
        <v>13</v>
      </c>
      <c r="H99" s="1575" t="s">
        <v>14</v>
      </c>
      <c r="I99" s="1595" t="s">
        <v>282</v>
      </c>
      <c r="J99" s="1575" t="s">
        <v>60</v>
      </c>
      <c r="K99" s="1635" t="s">
        <v>16</v>
      </c>
      <c r="L99" s="1586" t="s">
        <v>667</v>
      </c>
      <c r="M99" s="1570"/>
      <c r="N99" s="1570"/>
      <c r="O99" s="1587"/>
    </row>
    <row r="100" spans="1:15" ht="36" customHeight="1">
      <c r="A100" s="1575"/>
      <c r="B100" s="1575"/>
      <c r="C100" s="1575"/>
      <c r="D100" s="1575"/>
      <c r="E100" s="1575"/>
      <c r="F100" s="1575"/>
      <c r="G100" s="1575"/>
      <c r="H100" s="1575"/>
      <c r="I100" s="1595"/>
      <c r="J100" s="1575"/>
      <c r="K100" s="1635"/>
      <c r="L100" s="1597" t="s">
        <v>668</v>
      </c>
      <c r="M100" s="1568"/>
      <c r="N100" s="1568"/>
      <c r="O100" s="1598"/>
    </row>
    <row r="101" spans="1:15" ht="30" customHeight="1" thickBot="1">
      <c r="A101" s="1575"/>
      <c r="B101" s="1575"/>
      <c r="C101" s="1575"/>
      <c r="D101" s="1575"/>
      <c r="E101" s="1575"/>
      <c r="F101" s="1575"/>
      <c r="G101" s="1575"/>
      <c r="H101" s="1575"/>
      <c r="I101" s="1595"/>
      <c r="J101" s="1575"/>
      <c r="K101" s="1635"/>
      <c r="L101" s="270" t="s">
        <v>669</v>
      </c>
      <c r="M101" s="277" t="s">
        <v>670</v>
      </c>
      <c r="N101" s="277" t="s">
        <v>671</v>
      </c>
      <c r="O101" s="272" t="s">
        <v>17</v>
      </c>
    </row>
    <row r="102" spans="1:15" ht="29.25">
      <c r="A102" s="597" t="s">
        <v>27</v>
      </c>
      <c r="B102" s="3" t="s">
        <v>598</v>
      </c>
      <c r="C102" s="4" t="s">
        <v>546</v>
      </c>
      <c r="D102" s="3" t="s">
        <v>599</v>
      </c>
      <c r="E102" s="4"/>
      <c r="F102" s="4" t="s">
        <v>548</v>
      </c>
      <c r="G102" s="24" t="s">
        <v>546</v>
      </c>
      <c r="H102" s="719" t="s">
        <v>943</v>
      </c>
      <c r="I102" s="24">
        <v>102301</v>
      </c>
      <c r="J102" s="398" t="s">
        <v>29</v>
      </c>
      <c r="K102" s="8">
        <v>36</v>
      </c>
      <c r="L102" s="34">
        <f>28032-25679</f>
        <v>2353</v>
      </c>
      <c r="M102" s="35"/>
      <c r="N102" s="35"/>
      <c r="O102" s="34">
        <f>L102</f>
        <v>2353</v>
      </c>
    </row>
    <row r="103" spans="1:15" ht="44.25" thickBot="1">
      <c r="A103" s="597" t="s">
        <v>27</v>
      </c>
      <c r="B103" s="9" t="s">
        <v>600</v>
      </c>
      <c r="C103" s="6" t="s">
        <v>546</v>
      </c>
      <c r="D103" s="9" t="s">
        <v>599</v>
      </c>
      <c r="E103" s="6">
        <v>2</v>
      </c>
      <c r="F103" s="6" t="s">
        <v>548</v>
      </c>
      <c r="G103" s="22" t="s">
        <v>546</v>
      </c>
      <c r="H103" s="719" t="s">
        <v>944</v>
      </c>
      <c r="I103" s="24">
        <v>848344</v>
      </c>
      <c r="J103" s="398" t="s">
        <v>29</v>
      </c>
      <c r="K103" s="8">
        <v>10</v>
      </c>
      <c r="L103" s="34">
        <f>175745-121529</f>
        <v>54216</v>
      </c>
      <c r="M103" s="35"/>
      <c r="N103" s="35"/>
      <c r="O103" s="34">
        <f>L103</f>
        <v>54216</v>
      </c>
    </row>
    <row r="104" spans="2:15" ht="15">
      <c r="B104" s="1240" t="s">
        <v>23</v>
      </c>
      <c r="C104" s="1231" t="s">
        <v>616</v>
      </c>
      <c r="D104" s="1232"/>
      <c r="E104" s="1241"/>
      <c r="F104" s="1265"/>
      <c r="G104" s="1265"/>
      <c r="H104" s="1259" t="s">
        <v>1719</v>
      </c>
      <c r="I104" s="1260" t="s">
        <v>942</v>
      </c>
      <c r="J104" s="1261"/>
      <c r="K104" s="1199"/>
      <c r="N104" s="34" t="s">
        <v>24</v>
      </c>
      <c r="O104" s="598">
        <f>SUM(O102:O103)</f>
        <v>56569</v>
      </c>
    </row>
    <row r="105" spans="2:15" ht="15">
      <c r="B105" s="1242"/>
      <c r="C105" s="1235" t="s">
        <v>1776</v>
      </c>
      <c r="D105" s="1236"/>
      <c r="E105" s="1243"/>
      <c r="F105" s="1265"/>
      <c r="G105" s="1265"/>
      <c r="H105" s="1262"/>
      <c r="I105" s="850" t="s">
        <v>1781</v>
      </c>
      <c r="J105" s="1263"/>
      <c r="K105" s="1200"/>
      <c r="O105" s="33"/>
    </row>
    <row r="106" spans="2:15" ht="15">
      <c r="B106" s="1242"/>
      <c r="C106" s="1235" t="s">
        <v>551</v>
      </c>
      <c r="D106" s="1236"/>
      <c r="E106" s="1243"/>
      <c r="F106" s="1265"/>
      <c r="G106" s="1265"/>
      <c r="H106" s="1262"/>
      <c r="I106" s="850" t="s">
        <v>551</v>
      </c>
      <c r="J106" s="1263"/>
      <c r="K106" s="1200"/>
      <c r="O106" s="33"/>
    </row>
    <row r="107" spans="2:15" ht="15.75" thickBot="1">
      <c r="B107" s="1276" t="s">
        <v>169</v>
      </c>
      <c r="C107" s="1235" t="s">
        <v>1778</v>
      </c>
      <c r="D107" s="1236"/>
      <c r="E107" s="1243"/>
      <c r="F107" s="1265"/>
      <c r="G107" s="1265"/>
      <c r="H107" s="1269"/>
      <c r="I107" s="1270"/>
      <c r="J107" s="1271"/>
      <c r="K107" s="1202"/>
      <c r="O107" s="33"/>
    </row>
    <row r="108" spans="1:15" ht="15.75" thickBot="1">
      <c r="A108" s="295"/>
      <c r="B108" s="1244" t="s">
        <v>1112</v>
      </c>
      <c r="C108" s="1238" t="s">
        <v>1130</v>
      </c>
      <c r="D108" s="1239"/>
      <c r="E108" s="1245"/>
      <c r="F108" s="1265"/>
      <c r="G108" s="1265"/>
      <c r="H108" s="1274"/>
      <c r="I108" s="1274"/>
      <c r="J108" s="1275"/>
      <c r="K108" s="1258"/>
      <c r="O108" s="33"/>
    </row>
    <row r="109" spans="1:15" ht="15">
      <c r="A109" s="295"/>
      <c r="B109" s="20"/>
      <c r="C109" s="45"/>
      <c r="D109" s="20"/>
      <c r="E109" s="14"/>
      <c r="F109" s="56"/>
      <c r="G109" s="56"/>
      <c r="I109" s="1"/>
      <c r="J109" s="295"/>
      <c r="K109" s="7"/>
      <c r="O109" s="33"/>
    </row>
    <row r="110" spans="9:15" ht="15" thickBot="1">
      <c r="I110" s="1"/>
      <c r="J110" s="295"/>
      <c r="K110" s="7"/>
      <c r="O110" s="33"/>
    </row>
    <row r="111" spans="1:15" ht="44.25" customHeight="1">
      <c r="A111" s="1575" t="s">
        <v>7</v>
      </c>
      <c r="B111" s="1575" t="s">
        <v>8</v>
      </c>
      <c r="C111" s="1575" t="s">
        <v>9</v>
      </c>
      <c r="D111" s="1575" t="s">
        <v>10</v>
      </c>
      <c r="E111" s="1575" t="s">
        <v>844</v>
      </c>
      <c r="F111" s="1575" t="s">
        <v>12</v>
      </c>
      <c r="G111" s="1575" t="s">
        <v>13</v>
      </c>
      <c r="H111" s="1575" t="s">
        <v>14</v>
      </c>
      <c r="I111" s="1595" t="s">
        <v>282</v>
      </c>
      <c r="J111" s="1575" t="s">
        <v>60</v>
      </c>
      <c r="K111" s="1635" t="s">
        <v>16</v>
      </c>
      <c r="L111" s="1586" t="s">
        <v>667</v>
      </c>
      <c r="M111" s="1570"/>
      <c r="N111" s="1570"/>
      <c r="O111" s="1587"/>
    </row>
    <row r="112" spans="1:15" ht="40.5" customHeight="1">
      <c r="A112" s="1575"/>
      <c r="B112" s="1575"/>
      <c r="C112" s="1575"/>
      <c r="D112" s="1575"/>
      <c r="E112" s="1575"/>
      <c r="F112" s="1575"/>
      <c r="G112" s="1575"/>
      <c r="H112" s="1575"/>
      <c r="I112" s="1595"/>
      <c r="J112" s="1575"/>
      <c r="K112" s="1635"/>
      <c r="L112" s="1597" t="s">
        <v>668</v>
      </c>
      <c r="M112" s="1568"/>
      <c r="N112" s="1568"/>
      <c r="O112" s="1598"/>
    </row>
    <row r="113" spans="1:15" ht="25.5" customHeight="1" thickBot="1">
      <c r="A113" s="1575"/>
      <c r="B113" s="1575"/>
      <c r="C113" s="1575"/>
      <c r="D113" s="1575"/>
      <c r="E113" s="1575"/>
      <c r="F113" s="1575"/>
      <c r="G113" s="1575"/>
      <c r="H113" s="1575"/>
      <c r="I113" s="1595"/>
      <c r="J113" s="1575"/>
      <c r="K113" s="1635"/>
      <c r="L113" s="270" t="s">
        <v>669</v>
      </c>
      <c r="M113" s="277" t="s">
        <v>670</v>
      </c>
      <c r="N113" s="277" t="s">
        <v>671</v>
      </c>
      <c r="O113" s="272" t="s">
        <v>17</v>
      </c>
    </row>
    <row r="114" spans="1:15" ht="30" thickBot="1">
      <c r="A114" s="597" t="s">
        <v>27</v>
      </c>
      <c r="B114" s="9" t="s">
        <v>601</v>
      </c>
      <c r="C114" s="6" t="s">
        <v>546</v>
      </c>
      <c r="D114" s="9" t="s">
        <v>567</v>
      </c>
      <c r="E114" s="6" t="s">
        <v>1074</v>
      </c>
      <c r="F114" s="4" t="s">
        <v>548</v>
      </c>
      <c r="G114" s="24" t="s">
        <v>546</v>
      </c>
      <c r="H114" s="719" t="s">
        <v>1075</v>
      </c>
      <c r="I114" s="24">
        <v>83563959</v>
      </c>
      <c r="J114" s="398" t="s">
        <v>29</v>
      </c>
      <c r="K114" s="8">
        <v>4</v>
      </c>
      <c r="L114" s="34">
        <f>200*12</f>
        <v>2400</v>
      </c>
      <c r="M114" s="35"/>
      <c r="N114" s="35"/>
      <c r="O114" s="34">
        <f>L114</f>
        <v>2400</v>
      </c>
    </row>
    <row r="115" spans="1:15" ht="15">
      <c r="A115" s="269"/>
      <c r="B115" s="1240" t="s">
        <v>23</v>
      </c>
      <c r="C115" s="1231" t="s">
        <v>616</v>
      </c>
      <c r="D115" s="1232"/>
      <c r="E115" s="1241"/>
      <c r="F115" s="1246"/>
      <c r="G115" s="1254"/>
      <c r="H115" s="1230" t="s">
        <v>1719</v>
      </c>
      <c r="I115" s="1231" t="s">
        <v>601</v>
      </c>
      <c r="J115" s="1232"/>
      <c r="K115" s="1255"/>
      <c r="N115" s="34" t="s">
        <v>24</v>
      </c>
      <c r="O115" s="598">
        <f>SUM(O114)</f>
        <v>2400</v>
      </c>
    </row>
    <row r="116" spans="2:15" ht="15">
      <c r="B116" s="1242"/>
      <c r="C116" s="1235" t="s">
        <v>1776</v>
      </c>
      <c r="D116" s="1236"/>
      <c r="E116" s="1243"/>
      <c r="F116" s="1246"/>
      <c r="G116" s="1254"/>
      <c r="H116" s="1234"/>
      <c r="I116" s="1235" t="s">
        <v>1782</v>
      </c>
      <c r="J116" s="1236"/>
      <c r="K116" s="1256"/>
      <c r="O116" s="33"/>
    </row>
    <row r="117" spans="2:15" ht="15">
      <c r="B117" s="1242"/>
      <c r="C117" s="1235" t="s">
        <v>551</v>
      </c>
      <c r="D117" s="1236"/>
      <c r="E117" s="1243"/>
      <c r="F117" s="1246"/>
      <c r="G117" s="1254"/>
      <c r="H117" s="1234"/>
      <c r="I117" s="1235" t="s">
        <v>551</v>
      </c>
      <c r="J117" s="1236"/>
      <c r="K117" s="1256"/>
      <c r="O117" s="33"/>
    </row>
    <row r="118" spans="2:15" ht="15.75" thickBot="1">
      <c r="B118" s="1276" t="s">
        <v>169</v>
      </c>
      <c r="C118" s="1235" t="s">
        <v>1778</v>
      </c>
      <c r="D118" s="1236"/>
      <c r="E118" s="1243"/>
      <c r="F118" s="1246"/>
      <c r="G118" s="1254"/>
      <c r="H118" s="1251"/>
      <c r="I118" s="1238"/>
      <c r="J118" s="1239"/>
      <c r="K118" s="1257"/>
      <c r="O118" s="33"/>
    </row>
    <row r="119" spans="1:15" ht="15.75" thickBot="1">
      <c r="A119" s="295"/>
      <c r="B119" s="1244" t="s">
        <v>1112</v>
      </c>
      <c r="C119" s="1238" t="s">
        <v>1130</v>
      </c>
      <c r="D119" s="1239"/>
      <c r="E119" s="1245"/>
      <c r="F119" s="1246"/>
      <c r="G119" s="1254"/>
      <c r="H119" s="1254"/>
      <c r="I119" s="1254"/>
      <c r="J119" s="1277"/>
      <c r="K119" s="1278"/>
      <c r="O119" s="33"/>
    </row>
    <row r="120" spans="1:15" ht="15">
      <c r="A120" s="295"/>
      <c r="B120" s="20"/>
      <c r="C120" s="45"/>
      <c r="D120" s="20"/>
      <c r="E120" s="56"/>
      <c r="F120" s="56"/>
      <c r="I120" s="1"/>
      <c r="J120" s="295"/>
      <c r="K120" s="7"/>
      <c r="O120" s="33"/>
    </row>
    <row r="121" spans="9:15" ht="15" thickBot="1">
      <c r="I121" s="1"/>
      <c r="J121" s="295"/>
      <c r="K121" s="7"/>
      <c r="O121" s="33"/>
    </row>
    <row r="122" spans="1:15" ht="46.5" customHeight="1">
      <c r="A122" s="1575" t="s">
        <v>7</v>
      </c>
      <c r="B122" s="1575" t="s">
        <v>8</v>
      </c>
      <c r="C122" s="1575" t="s">
        <v>9</v>
      </c>
      <c r="D122" s="1575" t="s">
        <v>10</v>
      </c>
      <c r="E122" s="1575" t="s">
        <v>11</v>
      </c>
      <c r="F122" s="1575" t="s">
        <v>12</v>
      </c>
      <c r="G122" s="1575" t="s">
        <v>13</v>
      </c>
      <c r="H122" s="1575" t="s">
        <v>14</v>
      </c>
      <c r="I122" s="1595" t="s">
        <v>282</v>
      </c>
      <c r="J122" s="1575" t="s">
        <v>60</v>
      </c>
      <c r="K122" s="1635" t="s">
        <v>16</v>
      </c>
      <c r="L122" s="1586" t="s">
        <v>667</v>
      </c>
      <c r="M122" s="1570"/>
      <c r="N122" s="1570"/>
      <c r="O122" s="1587"/>
    </row>
    <row r="123" spans="1:15" ht="36" customHeight="1">
      <c r="A123" s="1575"/>
      <c r="B123" s="1575"/>
      <c r="C123" s="1575"/>
      <c r="D123" s="1575"/>
      <c r="E123" s="1575"/>
      <c r="F123" s="1575"/>
      <c r="G123" s="1575"/>
      <c r="H123" s="1575"/>
      <c r="I123" s="1595"/>
      <c r="J123" s="1575"/>
      <c r="K123" s="1635"/>
      <c r="L123" s="1597" t="s">
        <v>668</v>
      </c>
      <c r="M123" s="1568"/>
      <c r="N123" s="1568"/>
      <c r="O123" s="1598"/>
    </row>
    <row r="124" spans="1:15" ht="27.75" customHeight="1" thickBot="1">
      <c r="A124" s="1575"/>
      <c r="B124" s="1575"/>
      <c r="C124" s="1575"/>
      <c r="D124" s="1575"/>
      <c r="E124" s="1575"/>
      <c r="F124" s="1575"/>
      <c r="G124" s="1575"/>
      <c r="H124" s="1575"/>
      <c r="I124" s="1595"/>
      <c r="J124" s="1575"/>
      <c r="K124" s="1635"/>
      <c r="L124" s="270" t="s">
        <v>669</v>
      </c>
      <c r="M124" s="277" t="s">
        <v>670</v>
      </c>
      <c r="N124" s="277" t="s">
        <v>671</v>
      </c>
      <c r="O124" s="272" t="s">
        <v>17</v>
      </c>
    </row>
    <row r="125" spans="1:15" ht="18.75" thickBot="1">
      <c r="A125" s="597" t="s">
        <v>27</v>
      </c>
      <c r="B125" s="9" t="s">
        <v>603</v>
      </c>
      <c r="C125" s="6" t="s">
        <v>546</v>
      </c>
      <c r="D125" s="9" t="s">
        <v>604</v>
      </c>
      <c r="E125" s="6" t="s">
        <v>605</v>
      </c>
      <c r="F125" s="24" t="s">
        <v>548</v>
      </c>
      <c r="G125" s="24" t="s">
        <v>546</v>
      </c>
      <c r="H125" s="949" t="s">
        <v>940</v>
      </c>
      <c r="I125" s="24">
        <v>848205</v>
      </c>
      <c r="J125" s="389" t="s">
        <v>22</v>
      </c>
      <c r="K125" s="8">
        <v>126</v>
      </c>
      <c r="L125" s="34">
        <f>(14638.44-12021.85)*50</f>
        <v>130829.5</v>
      </c>
      <c r="M125" s="35"/>
      <c r="N125" s="35"/>
      <c r="O125" s="34">
        <f>L125</f>
        <v>130829.5</v>
      </c>
    </row>
    <row r="126" spans="2:15" ht="15">
      <c r="B126" s="1240" t="s">
        <v>23</v>
      </c>
      <c r="C126" s="1231" t="s">
        <v>616</v>
      </c>
      <c r="D126" s="1232"/>
      <c r="E126" s="1241"/>
      <c r="F126" s="27"/>
      <c r="G126" s="1254"/>
      <c r="H126" s="1230" t="s">
        <v>1719</v>
      </c>
      <c r="I126" s="1231" t="s">
        <v>1136</v>
      </c>
      <c r="J126" s="1232"/>
      <c r="K126" s="1255"/>
      <c r="N126" s="34" t="s">
        <v>24</v>
      </c>
      <c r="O126" s="598">
        <f>SUM(O125)</f>
        <v>130829.5</v>
      </c>
    </row>
    <row r="127" spans="2:15" ht="15">
      <c r="B127" s="1242"/>
      <c r="C127" s="1235" t="s">
        <v>1776</v>
      </c>
      <c r="D127" s="1236"/>
      <c r="E127" s="1243"/>
      <c r="F127" s="27"/>
      <c r="G127" s="1254"/>
      <c r="H127" s="1234"/>
      <c r="I127" s="1235" t="s">
        <v>1783</v>
      </c>
      <c r="J127" s="1236"/>
      <c r="K127" s="1256"/>
      <c r="O127" s="33"/>
    </row>
    <row r="128" spans="2:15" ht="15">
      <c r="B128" s="1242"/>
      <c r="C128" s="1235" t="s">
        <v>551</v>
      </c>
      <c r="D128" s="1236"/>
      <c r="E128" s="1243"/>
      <c r="F128" s="27"/>
      <c r="G128" s="1254"/>
      <c r="H128" s="1234"/>
      <c r="I128" s="1235" t="s">
        <v>551</v>
      </c>
      <c r="J128" s="1236"/>
      <c r="K128" s="1256"/>
      <c r="O128" s="33"/>
    </row>
    <row r="129" spans="2:15" ht="15.75" thickBot="1">
      <c r="B129" s="1276" t="s">
        <v>169</v>
      </c>
      <c r="C129" s="1235" t="s">
        <v>1778</v>
      </c>
      <c r="D129" s="1236"/>
      <c r="E129" s="1243"/>
      <c r="F129" s="27"/>
      <c r="G129" s="1254"/>
      <c r="H129" s="1251"/>
      <c r="I129" s="1238"/>
      <c r="J129" s="1239"/>
      <c r="K129" s="1257"/>
      <c r="O129" s="33"/>
    </row>
    <row r="130" spans="1:15" ht="15.75" thickBot="1">
      <c r="A130" s="295"/>
      <c r="B130" s="1244" t="s">
        <v>1112</v>
      </c>
      <c r="C130" s="1238" t="s">
        <v>1130</v>
      </c>
      <c r="D130" s="1239"/>
      <c r="E130" s="1245"/>
      <c r="F130" s="27"/>
      <c r="G130" s="1254"/>
      <c r="H130" s="1254"/>
      <c r="I130" s="1254"/>
      <c r="J130" s="1277"/>
      <c r="K130" s="1278"/>
      <c r="O130" s="33"/>
    </row>
    <row r="131" spans="1:15" ht="15">
      <c r="A131" s="295"/>
      <c r="B131" s="20"/>
      <c r="C131" s="45"/>
      <c r="D131" s="20"/>
      <c r="E131" s="56"/>
      <c r="I131" s="1"/>
      <c r="J131" s="295"/>
      <c r="K131" s="7"/>
      <c r="O131" s="33"/>
    </row>
    <row r="132" spans="9:15" ht="15" thickBot="1">
      <c r="I132" s="1"/>
      <c r="J132" s="295"/>
      <c r="K132" s="7"/>
      <c r="O132" s="33"/>
    </row>
    <row r="133" spans="1:15" ht="44.25" customHeight="1">
      <c r="A133" s="1575" t="s">
        <v>7</v>
      </c>
      <c r="B133" s="1575" t="s">
        <v>8</v>
      </c>
      <c r="C133" s="1575" t="s">
        <v>9</v>
      </c>
      <c r="D133" s="1575" t="s">
        <v>10</v>
      </c>
      <c r="E133" s="1575" t="s">
        <v>11</v>
      </c>
      <c r="F133" s="1575" t="s">
        <v>12</v>
      </c>
      <c r="G133" s="1575" t="s">
        <v>13</v>
      </c>
      <c r="H133" s="1575" t="s">
        <v>14</v>
      </c>
      <c r="I133" s="1595" t="s">
        <v>282</v>
      </c>
      <c r="J133" s="1575" t="s">
        <v>60</v>
      </c>
      <c r="K133" s="1635" t="s">
        <v>16</v>
      </c>
      <c r="L133" s="1586" t="s">
        <v>667</v>
      </c>
      <c r="M133" s="1570"/>
      <c r="N133" s="1570"/>
      <c r="O133" s="1587"/>
    </row>
    <row r="134" spans="1:15" ht="33.75" customHeight="1">
      <c r="A134" s="1575"/>
      <c r="B134" s="1575"/>
      <c r="C134" s="1575"/>
      <c r="D134" s="1575"/>
      <c r="E134" s="1575"/>
      <c r="F134" s="1575"/>
      <c r="G134" s="1575"/>
      <c r="H134" s="1575"/>
      <c r="I134" s="1595"/>
      <c r="J134" s="1575"/>
      <c r="K134" s="1635"/>
      <c r="L134" s="1597" t="s">
        <v>668</v>
      </c>
      <c r="M134" s="1568"/>
      <c r="N134" s="1568"/>
      <c r="O134" s="1598"/>
    </row>
    <row r="135" spans="1:15" ht="23.25" customHeight="1" thickBot="1">
      <c r="A135" s="1575"/>
      <c r="B135" s="1575"/>
      <c r="C135" s="1575"/>
      <c r="D135" s="1575"/>
      <c r="E135" s="1575"/>
      <c r="F135" s="1575"/>
      <c r="G135" s="1575"/>
      <c r="H135" s="1575"/>
      <c r="I135" s="1595"/>
      <c r="J135" s="1575"/>
      <c r="K135" s="1635"/>
      <c r="L135" s="270" t="s">
        <v>669</v>
      </c>
      <c r="M135" s="277" t="s">
        <v>670</v>
      </c>
      <c r="N135" s="277" t="s">
        <v>671</v>
      </c>
      <c r="O135" s="272" t="s">
        <v>17</v>
      </c>
    </row>
    <row r="136" spans="1:15" ht="30.75" customHeight="1" thickBot="1">
      <c r="A136" s="597" t="s">
        <v>27</v>
      </c>
      <c r="B136" s="9" t="s">
        <v>606</v>
      </c>
      <c r="C136" s="599" t="s">
        <v>546</v>
      </c>
      <c r="D136" s="9" t="s">
        <v>568</v>
      </c>
      <c r="E136" s="4">
        <v>1</v>
      </c>
      <c r="F136" s="4" t="s">
        <v>548</v>
      </c>
      <c r="G136" s="24" t="s">
        <v>546</v>
      </c>
      <c r="H136" s="719" t="s">
        <v>833</v>
      </c>
      <c r="I136" s="24">
        <v>303640</v>
      </c>
      <c r="J136" s="31" t="s">
        <v>67</v>
      </c>
      <c r="K136" s="8">
        <v>6</v>
      </c>
      <c r="L136" s="35"/>
      <c r="M136" s="36">
        <f>17188-13421</f>
        <v>3767</v>
      </c>
      <c r="N136" s="36">
        <f>38964-29711</f>
        <v>9253</v>
      </c>
      <c r="O136" s="34">
        <f>SUM(M136:N136)</f>
        <v>13020</v>
      </c>
    </row>
    <row r="137" spans="2:15" ht="15">
      <c r="B137" s="1240" t="s">
        <v>23</v>
      </c>
      <c r="C137" s="1231" t="s">
        <v>616</v>
      </c>
      <c r="D137" s="1232"/>
      <c r="E137" s="1241"/>
      <c r="F137" s="27"/>
      <c r="G137" s="1254"/>
      <c r="H137" s="1230" t="s">
        <v>1719</v>
      </c>
      <c r="I137" s="1231" t="s">
        <v>1135</v>
      </c>
      <c r="J137" s="1232"/>
      <c r="K137" s="1255"/>
      <c r="N137" s="34" t="s">
        <v>24</v>
      </c>
      <c r="O137" s="598">
        <f>SUM(O136)</f>
        <v>13020</v>
      </c>
    </row>
    <row r="138" spans="2:15" ht="15">
      <c r="B138" s="1242"/>
      <c r="C138" s="1235" t="s">
        <v>1776</v>
      </c>
      <c r="D138" s="1236"/>
      <c r="E138" s="1243"/>
      <c r="F138" s="27"/>
      <c r="G138" s="1254"/>
      <c r="H138" s="1234"/>
      <c r="I138" s="1235" t="s">
        <v>1780</v>
      </c>
      <c r="J138" s="1236"/>
      <c r="K138" s="1256"/>
      <c r="O138" s="33"/>
    </row>
    <row r="139" spans="2:15" ht="15">
      <c r="B139" s="1242"/>
      <c r="C139" s="1235" t="s">
        <v>551</v>
      </c>
      <c r="D139" s="1236"/>
      <c r="E139" s="1243"/>
      <c r="F139" s="27"/>
      <c r="G139" s="1254"/>
      <c r="H139" s="1234"/>
      <c r="I139" s="1235" t="s">
        <v>551</v>
      </c>
      <c r="J139" s="1236"/>
      <c r="K139" s="1256"/>
      <c r="O139" s="33"/>
    </row>
    <row r="140" spans="2:15" ht="15.75" thickBot="1">
      <c r="B140" s="1276" t="s">
        <v>169</v>
      </c>
      <c r="C140" s="1235" t="s">
        <v>1778</v>
      </c>
      <c r="D140" s="1236"/>
      <c r="E140" s="1243"/>
      <c r="F140" s="27"/>
      <c r="G140" s="1254"/>
      <c r="H140" s="1251"/>
      <c r="I140" s="1238"/>
      <c r="J140" s="1239"/>
      <c r="K140" s="1257"/>
      <c r="O140" s="33"/>
    </row>
    <row r="141" spans="1:15" ht="15.75" thickBot="1">
      <c r="A141" s="295"/>
      <c r="B141" s="1244" t="s">
        <v>1112</v>
      </c>
      <c r="C141" s="1238" t="s">
        <v>1130</v>
      </c>
      <c r="D141" s="1239"/>
      <c r="E141" s="1245"/>
      <c r="F141" s="27"/>
      <c r="G141" s="27"/>
      <c r="H141" s="27"/>
      <c r="I141" s="27"/>
      <c r="J141" s="76"/>
      <c r="K141" s="1258"/>
      <c r="O141" s="33"/>
    </row>
    <row r="142" spans="1:15" ht="15">
      <c r="A142" s="295"/>
      <c r="B142" s="20"/>
      <c r="C142" s="14"/>
      <c r="D142" s="20"/>
      <c r="I142" s="1"/>
      <c r="J142" s="295"/>
      <c r="K142" s="7"/>
      <c r="O142" s="33"/>
    </row>
    <row r="143" spans="9:15" ht="15" thickBot="1">
      <c r="I143" s="1"/>
      <c r="J143" s="295"/>
      <c r="K143" s="7"/>
      <c r="O143" s="33"/>
    </row>
    <row r="144" spans="1:15" ht="43.5" customHeight="1">
      <c r="A144" s="1575" t="s">
        <v>7</v>
      </c>
      <c r="B144" s="1575" t="s">
        <v>8</v>
      </c>
      <c r="C144" s="1575" t="s">
        <v>9</v>
      </c>
      <c r="D144" s="1575" t="s">
        <v>10</v>
      </c>
      <c r="E144" s="1575" t="s">
        <v>11</v>
      </c>
      <c r="F144" s="1575" t="s">
        <v>12</v>
      </c>
      <c r="G144" s="1575" t="s">
        <v>13</v>
      </c>
      <c r="H144" s="1575" t="s">
        <v>14</v>
      </c>
      <c r="I144" s="1595" t="s">
        <v>282</v>
      </c>
      <c r="J144" s="1575" t="s">
        <v>60</v>
      </c>
      <c r="K144" s="1635" t="s">
        <v>16</v>
      </c>
      <c r="L144" s="1586" t="s">
        <v>667</v>
      </c>
      <c r="M144" s="1570"/>
      <c r="N144" s="1570"/>
      <c r="O144" s="1587"/>
    </row>
    <row r="145" spans="1:15" ht="39" customHeight="1">
      <c r="A145" s="1575"/>
      <c r="B145" s="1575"/>
      <c r="C145" s="1575"/>
      <c r="D145" s="1575"/>
      <c r="E145" s="1575"/>
      <c r="F145" s="1575"/>
      <c r="G145" s="1575"/>
      <c r="H145" s="1575"/>
      <c r="I145" s="1595"/>
      <c r="J145" s="1575"/>
      <c r="K145" s="1635"/>
      <c r="L145" s="1597" t="s">
        <v>668</v>
      </c>
      <c r="M145" s="1568"/>
      <c r="N145" s="1568"/>
      <c r="O145" s="1598"/>
    </row>
    <row r="146" spans="1:15" ht="30.75" customHeight="1" thickBot="1">
      <c r="A146" s="1575"/>
      <c r="B146" s="1575"/>
      <c r="C146" s="1575"/>
      <c r="D146" s="1575"/>
      <c r="E146" s="1575"/>
      <c r="F146" s="1575"/>
      <c r="G146" s="1575"/>
      <c r="H146" s="1575"/>
      <c r="I146" s="1595"/>
      <c r="J146" s="1575"/>
      <c r="K146" s="1635"/>
      <c r="L146" s="270" t="s">
        <v>669</v>
      </c>
      <c r="M146" s="277" t="s">
        <v>670</v>
      </c>
      <c r="N146" s="277" t="s">
        <v>671</v>
      </c>
      <c r="O146" s="272" t="s">
        <v>17</v>
      </c>
    </row>
    <row r="147" spans="1:15" ht="18.75" thickBot="1">
      <c r="A147" s="597" t="s">
        <v>27</v>
      </c>
      <c r="B147" s="9" t="s">
        <v>607</v>
      </c>
      <c r="C147" s="6" t="s">
        <v>546</v>
      </c>
      <c r="D147" s="9" t="s">
        <v>587</v>
      </c>
      <c r="E147" s="6">
        <v>47</v>
      </c>
      <c r="F147" s="4" t="s">
        <v>608</v>
      </c>
      <c r="G147" s="4" t="s">
        <v>546</v>
      </c>
      <c r="H147" s="719" t="s">
        <v>1059</v>
      </c>
      <c r="I147" s="24">
        <v>468454</v>
      </c>
      <c r="J147" s="389" t="s">
        <v>22</v>
      </c>
      <c r="K147" s="8">
        <v>70</v>
      </c>
      <c r="L147" s="34">
        <f>(31515.3-26930.31)*20</f>
        <v>91699.79999999996</v>
      </c>
      <c r="M147" s="35"/>
      <c r="N147" s="35"/>
      <c r="O147" s="34">
        <f>L147</f>
        <v>91699.79999999996</v>
      </c>
    </row>
    <row r="148" spans="2:15" ht="15">
      <c r="B148" s="1240" t="s">
        <v>23</v>
      </c>
      <c r="C148" s="1231" t="s">
        <v>616</v>
      </c>
      <c r="D148" s="1232"/>
      <c r="E148" s="1241"/>
      <c r="F148" s="1274"/>
      <c r="G148" s="1274"/>
      <c r="H148" s="1259" t="s">
        <v>1719</v>
      </c>
      <c r="I148" s="1260" t="s">
        <v>609</v>
      </c>
      <c r="J148" s="1261"/>
      <c r="K148" s="1279"/>
      <c r="N148" s="34" t="s">
        <v>24</v>
      </c>
      <c r="O148" s="598">
        <f>SUM(O147)</f>
        <v>91699.79999999996</v>
      </c>
    </row>
    <row r="149" spans="2:15" ht="15">
      <c r="B149" s="1242"/>
      <c r="C149" s="1235" t="s">
        <v>1776</v>
      </c>
      <c r="D149" s="1236"/>
      <c r="E149" s="1243"/>
      <c r="F149" s="1274"/>
      <c r="G149" s="1274"/>
      <c r="H149" s="1262"/>
      <c r="I149" s="850" t="s">
        <v>610</v>
      </c>
      <c r="J149" s="1263"/>
      <c r="K149" s="1280"/>
      <c r="O149" s="33"/>
    </row>
    <row r="150" spans="2:15" ht="15">
      <c r="B150" s="1242"/>
      <c r="C150" s="1235" t="s">
        <v>551</v>
      </c>
      <c r="D150" s="1236"/>
      <c r="E150" s="1243"/>
      <c r="F150" s="1274"/>
      <c r="G150" s="1274"/>
      <c r="H150" s="1262"/>
      <c r="I150" s="850" t="s">
        <v>1784</v>
      </c>
      <c r="J150" s="1263"/>
      <c r="K150" s="1280"/>
      <c r="O150" s="33"/>
    </row>
    <row r="151" spans="2:15" ht="15">
      <c r="B151" s="1276" t="s">
        <v>169</v>
      </c>
      <c r="C151" s="1235" t="s">
        <v>1778</v>
      </c>
      <c r="D151" s="1236"/>
      <c r="E151" s="1243"/>
      <c r="F151" s="1274"/>
      <c r="G151" s="1274"/>
      <c r="H151" s="1281"/>
      <c r="I151" s="850" t="s">
        <v>602</v>
      </c>
      <c r="J151" s="1263"/>
      <c r="K151" s="1280"/>
      <c r="O151" s="33"/>
    </row>
    <row r="152" spans="2:15" ht="15.75" thickBot="1">
      <c r="B152" s="1244" t="s">
        <v>1112</v>
      </c>
      <c r="C152" s="1238" t="s">
        <v>1130</v>
      </c>
      <c r="D152" s="1239"/>
      <c r="E152" s="1245"/>
      <c r="F152" s="1274"/>
      <c r="G152" s="1274"/>
      <c r="H152" s="1282"/>
      <c r="I152" s="960"/>
      <c r="J152" s="1271"/>
      <c r="K152" s="1283"/>
      <c r="O152" s="33"/>
    </row>
    <row r="153" spans="1:15" ht="15">
      <c r="A153" s="295"/>
      <c r="B153" s="20"/>
      <c r="C153" s="45"/>
      <c r="D153" s="20"/>
      <c r="E153" s="56"/>
      <c r="I153" s="1"/>
      <c r="J153" s="295"/>
      <c r="K153" s="7"/>
      <c r="O153" s="33"/>
    </row>
    <row r="154" spans="9:15" ht="15" thickBot="1">
      <c r="I154" s="1"/>
      <c r="J154" s="295"/>
      <c r="K154" s="7"/>
      <c r="O154" s="33"/>
    </row>
    <row r="155" spans="1:15" ht="44.25" customHeight="1">
      <c r="A155" s="1575" t="s">
        <v>7</v>
      </c>
      <c r="B155" s="1575" t="s">
        <v>8</v>
      </c>
      <c r="C155" s="1575" t="s">
        <v>9</v>
      </c>
      <c r="D155" s="1575" t="s">
        <v>10</v>
      </c>
      <c r="E155" s="1575" t="s">
        <v>11</v>
      </c>
      <c r="F155" s="1575" t="s">
        <v>12</v>
      </c>
      <c r="G155" s="1575" t="s">
        <v>13</v>
      </c>
      <c r="H155" s="1575" t="s">
        <v>14</v>
      </c>
      <c r="I155" s="1595" t="s">
        <v>282</v>
      </c>
      <c r="J155" s="1575" t="s">
        <v>60</v>
      </c>
      <c r="K155" s="1635" t="s">
        <v>16</v>
      </c>
      <c r="L155" s="1586" t="s">
        <v>667</v>
      </c>
      <c r="M155" s="1570"/>
      <c r="N155" s="1570"/>
      <c r="O155" s="1587"/>
    </row>
    <row r="156" spans="1:15" ht="33.75" customHeight="1">
      <c r="A156" s="1575"/>
      <c r="B156" s="1575"/>
      <c r="C156" s="1575"/>
      <c r="D156" s="1575"/>
      <c r="E156" s="1575"/>
      <c r="F156" s="1575"/>
      <c r="G156" s="1575"/>
      <c r="H156" s="1575"/>
      <c r="I156" s="1595"/>
      <c r="J156" s="1575"/>
      <c r="K156" s="1635"/>
      <c r="L156" s="1597" t="s">
        <v>668</v>
      </c>
      <c r="M156" s="1568"/>
      <c r="N156" s="1568"/>
      <c r="O156" s="1598"/>
    </row>
    <row r="157" spans="1:15" ht="30" customHeight="1" thickBot="1">
      <c r="A157" s="1575"/>
      <c r="B157" s="1575"/>
      <c r="C157" s="1575"/>
      <c r="D157" s="1575"/>
      <c r="E157" s="1575"/>
      <c r="F157" s="1575"/>
      <c r="G157" s="1575"/>
      <c r="H157" s="1575"/>
      <c r="I157" s="1595"/>
      <c r="J157" s="1575"/>
      <c r="K157" s="1635"/>
      <c r="L157" s="270" t="s">
        <v>669</v>
      </c>
      <c r="M157" s="277" t="s">
        <v>670</v>
      </c>
      <c r="N157" s="277" t="s">
        <v>671</v>
      </c>
      <c r="O157" s="272" t="s">
        <v>17</v>
      </c>
    </row>
    <row r="158" spans="1:15" ht="29.25">
      <c r="A158" s="597" t="s">
        <v>27</v>
      </c>
      <c r="B158" s="3" t="s">
        <v>611</v>
      </c>
      <c r="C158" s="4" t="s">
        <v>546</v>
      </c>
      <c r="D158" s="3" t="s">
        <v>262</v>
      </c>
      <c r="E158" s="4">
        <v>21</v>
      </c>
      <c r="F158" s="4" t="s">
        <v>548</v>
      </c>
      <c r="G158" s="24" t="s">
        <v>546</v>
      </c>
      <c r="H158" s="719" t="s">
        <v>831</v>
      </c>
      <c r="I158" s="24">
        <v>907721</v>
      </c>
      <c r="J158" s="398" t="s">
        <v>29</v>
      </c>
      <c r="K158" s="8">
        <v>16</v>
      </c>
      <c r="L158" s="34">
        <f>142363-88963</f>
        <v>53400</v>
      </c>
      <c r="M158" s="35"/>
      <c r="N158" s="35"/>
      <c r="O158" s="34">
        <f>L158</f>
        <v>53400</v>
      </c>
    </row>
    <row r="159" spans="1:15" ht="44.25" thickBot="1">
      <c r="A159" s="597" t="s">
        <v>27</v>
      </c>
      <c r="B159" s="9" t="s">
        <v>612</v>
      </c>
      <c r="C159" s="6" t="s">
        <v>546</v>
      </c>
      <c r="D159" s="9" t="s">
        <v>604</v>
      </c>
      <c r="E159" s="6" t="s">
        <v>613</v>
      </c>
      <c r="F159" s="4" t="s">
        <v>548</v>
      </c>
      <c r="G159" s="4" t="s">
        <v>546</v>
      </c>
      <c r="H159" s="719" t="s">
        <v>832</v>
      </c>
      <c r="I159" s="24">
        <v>908080</v>
      </c>
      <c r="J159" s="398" t="s">
        <v>29</v>
      </c>
      <c r="K159" s="8">
        <v>40</v>
      </c>
      <c r="L159" s="34">
        <f>75207-44344</f>
        <v>30863</v>
      </c>
      <c r="M159" s="35"/>
      <c r="N159" s="35"/>
      <c r="O159" s="34">
        <f>L159</f>
        <v>30863</v>
      </c>
    </row>
    <row r="160" spans="2:15" ht="33.75" customHeight="1">
      <c r="B160" s="1284" t="s">
        <v>23</v>
      </c>
      <c r="C160" s="1696" t="s">
        <v>1785</v>
      </c>
      <c r="D160" s="1696"/>
      <c r="E160" s="1264"/>
      <c r="F160" s="1265"/>
      <c r="G160" s="1265"/>
      <c r="H160" s="1285" t="s">
        <v>1719</v>
      </c>
      <c r="I160" s="1696" t="s">
        <v>1785</v>
      </c>
      <c r="J160" s="1696"/>
      <c r="K160" s="1279"/>
      <c r="N160" s="34" t="s">
        <v>24</v>
      </c>
      <c r="O160" s="598">
        <f>SUM(O158:O159)</f>
        <v>84263</v>
      </c>
    </row>
    <row r="161" spans="2:15" ht="15">
      <c r="B161" s="1266"/>
      <c r="C161" s="850" t="s">
        <v>1786</v>
      </c>
      <c r="D161" s="1263"/>
      <c r="E161" s="1267"/>
      <c r="F161" s="1265"/>
      <c r="G161" s="1265"/>
      <c r="H161" s="1262"/>
      <c r="I161" s="850" t="s">
        <v>1786</v>
      </c>
      <c r="J161" s="1263"/>
      <c r="K161" s="1280"/>
      <c r="O161" s="33"/>
    </row>
    <row r="162" spans="2:15" ht="15">
      <c r="B162" s="1266"/>
      <c r="C162" s="850" t="s">
        <v>551</v>
      </c>
      <c r="D162" s="1263"/>
      <c r="E162" s="1267"/>
      <c r="F162" s="1265"/>
      <c r="G162" s="1265"/>
      <c r="H162" s="1262"/>
      <c r="I162" s="850" t="s">
        <v>551</v>
      </c>
      <c r="J162" s="1263"/>
      <c r="K162" s="1280"/>
      <c r="O162" s="33"/>
    </row>
    <row r="163" spans="2:15" ht="15.75" thickBot="1">
      <c r="B163" s="1268" t="s">
        <v>169</v>
      </c>
      <c r="C163" s="850" t="s">
        <v>1790</v>
      </c>
      <c r="D163" s="1263"/>
      <c r="E163" s="1267"/>
      <c r="F163" s="1265"/>
      <c r="G163" s="1265"/>
      <c r="H163" s="1269"/>
      <c r="I163" s="960"/>
      <c r="J163" s="1271"/>
      <c r="K163" s="1283"/>
      <c r="O163" s="33"/>
    </row>
    <row r="164" spans="1:15" ht="15.75" thickBot="1">
      <c r="A164" s="295"/>
      <c r="B164" s="1272" t="s">
        <v>1112</v>
      </c>
      <c r="C164" s="960" t="s">
        <v>1134</v>
      </c>
      <c r="D164" s="1271"/>
      <c r="E164" s="1273"/>
      <c r="F164" s="1265"/>
      <c r="G164" s="1265"/>
      <c r="H164" s="1274"/>
      <c r="I164" s="1260"/>
      <c r="J164" s="1261"/>
      <c r="K164" s="1286"/>
      <c r="O164" s="33"/>
    </row>
    <row r="165" spans="1:15" ht="15">
      <c r="A165" s="295"/>
      <c r="B165" s="20"/>
      <c r="C165" s="45"/>
      <c r="D165" s="20"/>
      <c r="E165" s="14"/>
      <c r="F165" s="56"/>
      <c r="G165" s="56"/>
      <c r="I165" s="1"/>
      <c r="J165" s="295"/>
      <c r="K165" s="7"/>
      <c r="O165" s="33"/>
    </row>
    <row r="166" spans="9:15" ht="15" thickBot="1">
      <c r="I166" s="1"/>
      <c r="J166" s="295"/>
      <c r="K166" s="7"/>
      <c r="O166" s="33"/>
    </row>
    <row r="167" spans="1:15" ht="45" customHeight="1">
      <c r="A167" s="1575" t="s">
        <v>7</v>
      </c>
      <c r="B167" s="1575" t="s">
        <v>8</v>
      </c>
      <c r="C167" s="1575" t="s">
        <v>9</v>
      </c>
      <c r="D167" s="1575" t="s">
        <v>10</v>
      </c>
      <c r="E167" s="1575" t="s">
        <v>11</v>
      </c>
      <c r="F167" s="1575" t="s">
        <v>12</v>
      </c>
      <c r="G167" s="1575" t="s">
        <v>13</v>
      </c>
      <c r="H167" s="1575" t="s">
        <v>14</v>
      </c>
      <c r="I167" s="1595" t="s">
        <v>282</v>
      </c>
      <c r="J167" s="1575" t="s">
        <v>60</v>
      </c>
      <c r="K167" s="1635" t="s">
        <v>16</v>
      </c>
      <c r="L167" s="1586" t="s">
        <v>667</v>
      </c>
      <c r="M167" s="1570"/>
      <c r="N167" s="1570"/>
      <c r="O167" s="1587"/>
    </row>
    <row r="168" spans="1:15" ht="43.5" customHeight="1">
      <c r="A168" s="1575"/>
      <c r="B168" s="1575"/>
      <c r="C168" s="1575"/>
      <c r="D168" s="1575"/>
      <c r="E168" s="1575"/>
      <c r="F168" s="1575"/>
      <c r="G168" s="1575"/>
      <c r="H168" s="1575"/>
      <c r="I168" s="1595"/>
      <c r="J168" s="1575"/>
      <c r="K168" s="1635"/>
      <c r="L168" s="1597" t="s">
        <v>668</v>
      </c>
      <c r="M168" s="1568"/>
      <c r="N168" s="1568"/>
      <c r="O168" s="1598"/>
    </row>
    <row r="169" spans="1:15" ht="30.75" customHeight="1" thickBot="1">
      <c r="A169" s="1575"/>
      <c r="B169" s="1575"/>
      <c r="C169" s="1575"/>
      <c r="D169" s="1575"/>
      <c r="E169" s="1575"/>
      <c r="F169" s="1575"/>
      <c r="G169" s="1575"/>
      <c r="H169" s="1575"/>
      <c r="I169" s="1595"/>
      <c r="J169" s="1575"/>
      <c r="K169" s="1635"/>
      <c r="L169" s="270" t="s">
        <v>669</v>
      </c>
      <c r="M169" s="277" t="s">
        <v>670</v>
      </c>
      <c r="N169" s="277" t="s">
        <v>671</v>
      </c>
      <c r="O169" s="272" t="s">
        <v>17</v>
      </c>
    </row>
    <row r="170" spans="1:15" ht="29.25">
      <c r="A170" s="597" t="s">
        <v>27</v>
      </c>
      <c r="B170" s="3" t="s">
        <v>615</v>
      </c>
      <c r="C170" s="4" t="s">
        <v>546</v>
      </c>
      <c r="D170" s="3" t="s">
        <v>834</v>
      </c>
      <c r="E170" s="4">
        <v>2</v>
      </c>
      <c r="F170" s="4" t="s">
        <v>548</v>
      </c>
      <c r="G170" s="4" t="s">
        <v>546</v>
      </c>
      <c r="H170" s="961" t="s">
        <v>801</v>
      </c>
      <c r="I170" s="24">
        <v>557074</v>
      </c>
      <c r="J170" s="389" t="s">
        <v>22</v>
      </c>
      <c r="K170" s="8">
        <v>60</v>
      </c>
      <c r="L170" s="34">
        <f>(24682.36-21221.05)*20</f>
        <v>69226.20000000003</v>
      </c>
      <c r="M170" s="35"/>
      <c r="N170" s="35"/>
      <c r="O170" s="34">
        <f>L170</f>
        <v>69226.20000000003</v>
      </c>
    </row>
    <row r="171" spans="1:15" ht="28.5" customHeight="1">
      <c r="A171" s="597" t="s">
        <v>27</v>
      </c>
      <c r="B171" s="3" t="s">
        <v>616</v>
      </c>
      <c r="C171" s="4" t="s">
        <v>546</v>
      </c>
      <c r="D171" s="3" t="s">
        <v>834</v>
      </c>
      <c r="E171" s="4">
        <v>6</v>
      </c>
      <c r="F171" s="4" t="s">
        <v>608</v>
      </c>
      <c r="G171" s="4" t="s">
        <v>546</v>
      </c>
      <c r="H171" s="961" t="s">
        <v>802</v>
      </c>
      <c r="I171" s="24">
        <v>848118</v>
      </c>
      <c r="J171" s="389" t="s">
        <v>22</v>
      </c>
      <c r="K171" s="8">
        <v>200</v>
      </c>
      <c r="L171" s="34">
        <f>(12741.12-10924.33)*100</f>
        <v>181679.0000000001</v>
      </c>
      <c r="M171" s="35"/>
      <c r="N171" s="35"/>
      <c r="O171" s="34">
        <f>L171</f>
        <v>181679.0000000001</v>
      </c>
    </row>
    <row r="172" spans="1:15" ht="18">
      <c r="A172" s="597" t="s">
        <v>27</v>
      </c>
      <c r="B172" s="3" t="s">
        <v>617</v>
      </c>
      <c r="C172" s="4" t="s">
        <v>546</v>
      </c>
      <c r="D172" s="3" t="s">
        <v>618</v>
      </c>
      <c r="E172" s="4">
        <v>15</v>
      </c>
      <c r="F172" s="4" t="s">
        <v>608</v>
      </c>
      <c r="G172" s="4" t="s">
        <v>546</v>
      </c>
      <c r="H172" s="961" t="s">
        <v>803</v>
      </c>
      <c r="I172" s="24">
        <v>357232</v>
      </c>
      <c r="J172" s="31" t="s">
        <v>67</v>
      </c>
      <c r="K172" s="8">
        <v>4</v>
      </c>
      <c r="L172" s="35"/>
      <c r="M172" s="34">
        <f>13489-9111</f>
        <v>4378</v>
      </c>
      <c r="N172" s="34">
        <f>35556-24191</f>
        <v>11365</v>
      </c>
      <c r="O172" s="34">
        <f>SUM(M172:N172)</f>
        <v>15743</v>
      </c>
    </row>
    <row r="173" spans="1:15" ht="30" thickBot="1">
      <c r="A173" s="597" t="s">
        <v>27</v>
      </c>
      <c r="B173" s="273" t="s">
        <v>1111</v>
      </c>
      <c r="C173" s="715" t="s">
        <v>546</v>
      </c>
      <c r="D173" s="273" t="s">
        <v>614</v>
      </c>
      <c r="E173" s="187">
        <v>55</v>
      </c>
      <c r="F173" s="187" t="s">
        <v>548</v>
      </c>
      <c r="G173" s="187" t="s">
        <v>546</v>
      </c>
      <c r="H173" s="961" t="s">
        <v>1717</v>
      </c>
      <c r="I173" s="716">
        <v>848385</v>
      </c>
      <c r="J173" s="444" t="s">
        <v>29</v>
      </c>
      <c r="K173" s="274">
        <v>10</v>
      </c>
      <c r="L173" s="275">
        <f>121434-83922</f>
        <v>37512</v>
      </c>
      <c r="M173" s="276"/>
      <c r="N173" s="276"/>
      <c r="O173" s="275">
        <f>L173</f>
        <v>37512</v>
      </c>
    </row>
    <row r="174" spans="2:15" ht="15">
      <c r="B174" s="1240" t="s">
        <v>23</v>
      </c>
      <c r="C174" s="1231" t="s">
        <v>616</v>
      </c>
      <c r="D174" s="1232"/>
      <c r="E174" s="1241"/>
      <c r="F174" s="1254"/>
      <c r="G174" s="1254"/>
      <c r="H174" s="1230" t="s">
        <v>1719</v>
      </c>
      <c r="I174" s="1231" t="s">
        <v>616</v>
      </c>
      <c r="J174" s="1232"/>
      <c r="K174" s="1255"/>
      <c r="N174" s="34" t="s">
        <v>24</v>
      </c>
      <c r="O174" s="598">
        <f>SUM(O170:O173)</f>
        <v>304160.2000000001</v>
      </c>
    </row>
    <row r="175" spans="2:15" ht="15">
      <c r="B175" s="1242"/>
      <c r="C175" s="1235" t="s">
        <v>1776</v>
      </c>
      <c r="D175" s="1236"/>
      <c r="E175" s="1243"/>
      <c r="F175" s="1254"/>
      <c r="G175" s="1254"/>
      <c r="H175" s="1234"/>
      <c r="I175" s="1235" t="s">
        <v>1776</v>
      </c>
      <c r="J175" s="1236"/>
      <c r="K175" s="1256"/>
      <c r="O175" s="33"/>
    </row>
    <row r="176" spans="2:15" ht="15">
      <c r="B176" s="1242"/>
      <c r="C176" s="1235" t="s">
        <v>551</v>
      </c>
      <c r="D176" s="1236"/>
      <c r="E176" s="1243"/>
      <c r="F176" s="1254"/>
      <c r="G176" s="1246"/>
      <c r="H176" s="1234"/>
      <c r="I176" s="1235" t="s">
        <v>551</v>
      </c>
      <c r="J176" s="1236"/>
      <c r="K176" s="1256"/>
      <c r="O176" s="33"/>
    </row>
    <row r="177" spans="2:15" ht="15.75" thickBot="1">
      <c r="B177" s="1276" t="s">
        <v>169</v>
      </c>
      <c r="C177" s="1235" t="s">
        <v>1778</v>
      </c>
      <c r="D177" s="1236"/>
      <c r="E177" s="1243"/>
      <c r="F177" s="1254"/>
      <c r="G177" s="1254"/>
      <c r="H177" s="1251"/>
      <c r="I177" s="1238"/>
      <c r="J177" s="1239"/>
      <c r="K177" s="1257"/>
      <c r="O177" s="33"/>
    </row>
    <row r="178" spans="1:15" ht="15.75" thickBot="1">
      <c r="A178" s="295"/>
      <c r="B178" s="1244" t="s">
        <v>1112</v>
      </c>
      <c r="C178" s="1238" t="s">
        <v>1130</v>
      </c>
      <c r="D178" s="1239"/>
      <c r="E178" s="1245"/>
      <c r="F178" s="1254"/>
      <c r="G178" s="1254"/>
      <c r="H178" s="1254"/>
      <c r="I178" s="1254"/>
      <c r="J178" s="1277"/>
      <c r="K178" s="1278"/>
      <c r="O178" s="33"/>
    </row>
    <row r="179" spans="1:15" ht="15">
      <c r="A179" s="295"/>
      <c r="B179" s="20"/>
      <c r="C179" s="45"/>
      <c r="D179" s="20"/>
      <c r="I179" s="1"/>
      <c r="J179" s="295"/>
      <c r="K179" s="7"/>
      <c r="O179" s="33"/>
    </row>
    <row r="180" spans="9:15" ht="15" thickBot="1">
      <c r="I180" s="1"/>
      <c r="J180" s="295"/>
      <c r="K180" s="7"/>
      <c r="O180" s="33"/>
    </row>
    <row r="181" spans="1:15" ht="44.25" customHeight="1">
      <c r="A181" s="1575" t="s">
        <v>7</v>
      </c>
      <c r="B181" s="1575" t="s">
        <v>8</v>
      </c>
      <c r="C181" s="1575" t="s">
        <v>9</v>
      </c>
      <c r="D181" s="1575" t="s">
        <v>10</v>
      </c>
      <c r="E181" s="1575" t="s">
        <v>11</v>
      </c>
      <c r="F181" s="1575" t="s">
        <v>12</v>
      </c>
      <c r="G181" s="1575" t="s">
        <v>13</v>
      </c>
      <c r="H181" s="1575" t="s">
        <v>14</v>
      </c>
      <c r="I181" s="1595" t="s">
        <v>282</v>
      </c>
      <c r="J181" s="1575" t="s">
        <v>60</v>
      </c>
      <c r="K181" s="1635" t="s">
        <v>16</v>
      </c>
      <c r="L181" s="1586" t="s">
        <v>667</v>
      </c>
      <c r="M181" s="1570"/>
      <c r="N181" s="1570"/>
      <c r="O181" s="1587"/>
    </row>
    <row r="182" spans="1:15" ht="35.25" customHeight="1">
      <c r="A182" s="1575"/>
      <c r="B182" s="1575"/>
      <c r="C182" s="1575"/>
      <c r="D182" s="1575"/>
      <c r="E182" s="1575"/>
      <c r="F182" s="1575"/>
      <c r="G182" s="1575"/>
      <c r="H182" s="1575"/>
      <c r="I182" s="1595"/>
      <c r="J182" s="1575"/>
      <c r="K182" s="1635"/>
      <c r="L182" s="1597" t="s">
        <v>668</v>
      </c>
      <c r="M182" s="1568"/>
      <c r="N182" s="1568"/>
      <c r="O182" s="1598"/>
    </row>
    <row r="183" spans="1:15" ht="35.25" customHeight="1" thickBot="1">
      <c r="A183" s="1575"/>
      <c r="B183" s="1575"/>
      <c r="C183" s="1575"/>
      <c r="D183" s="1575"/>
      <c r="E183" s="1575"/>
      <c r="F183" s="1575"/>
      <c r="G183" s="1575"/>
      <c r="H183" s="1575"/>
      <c r="I183" s="1595"/>
      <c r="J183" s="1575"/>
      <c r="K183" s="1635"/>
      <c r="L183" s="270" t="s">
        <v>669</v>
      </c>
      <c r="M183" s="277" t="s">
        <v>670</v>
      </c>
      <c r="N183" s="277" t="s">
        <v>671</v>
      </c>
      <c r="O183" s="272" t="s">
        <v>17</v>
      </c>
    </row>
    <row r="184" spans="1:15" ht="30" thickBot="1">
      <c r="A184" s="597" t="s">
        <v>27</v>
      </c>
      <c r="B184" s="9" t="s">
        <v>619</v>
      </c>
      <c r="C184" s="6" t="s">
        <v>546</v>
      </c>
      <c r="D184" s="9" t="s">
        <v>565</v>
      </c>
      <c r="E184" s="6">
        <v>7</v>
      </c>
      <c r="F184" s="4" t="s">
        <v>608</v>
      </c>
      <c r="G184" s="4" t="s">
        <v>546</v>
      </c>
      <c r="H184" s="719" t="s">
        <v>978</v>
      </c>
      <c r="I184" s="24">
        <v>871692</v>
      </c>
      <c r="J184" s="389" t="s">
        <v>22</v>
      </c>
      <c r="K184" s="962" t="s">
        <v>1488</v>
      </c>
      <c r="L184" s="34">
        <f>(3473.67-2025.73)*30</f>
        <v>43438.200000000004</v>
      </c>
      <c r="M184" s="35"/>
      <c r="N184" s="35"/>
      <c r="O184" s="34">
        <f>L184</f>
        <v>43438.200000000004</v>
      </c>
    </row>
    <row r="185" spans="2:15" ht="15">
      <c r="B185" s="1240" t="s">
        <v>23</v>
      </c>
      <c r="C185" s="1231" t="s">
        <v>616</v>
      </c>
      <c r="D185" s="1232"/>
      <c r="E185" s="1241"/>
      <c r="F185" s="1274"/>
      <c r="G185" s="1274"/>
      <c r="H185" s="1259" t="s">
        <v>1719</v>
      </c>
      <c r="I185" s="1260" t="s">
        <v>619</v>
      </c>
      <c r="J185" s="1261"/>
      <c r="K185" s="1279"/>
      <c r="N185" s="34" t="s">
        <v>24</v>
      </c>
      <c r="O185" s="598">
        <f>SUM(O184)</f>
        <v>43438.200000000004</v>
      </c>
    </row>
    <row r="186" spans="2:15" ht="15">
      <c r="B186" s="1242"/>
      <c r="C186" s="1235" t="s">
        <v>1776</v>
      </c>
      <c r="D186" s="1236"/>
      <c r="E186" s="1243"/>
      <c r="F186" s="1274"/>
      <c r="G186" s="1274"/>
      <c r="H186" s="1262"/>
      <c r="I186" s="850" t="s">
        <v>1787</v>
      </c>
      <c r="J186" s="1263"/>
      <c r="K186" s="1280"/>
      <c r="O186" s="33"/>
    </row>
    <row r="187" spans="2:15" ht="15">
      <c r="B187" s="1242"/>
      <c r="C187" s="1235" t="s">
        <v>551</v>
      </c>
      <c r="D187" s="1236"/>
      <c r="E187" s="1243"/>
      <c r="F187" s="1274"/>
      <c r="G187" s="1274"/>
      <c r="H187" s="1262"/>
      <c r="I187" s="850" t="s">
        <v>602</v>
      </c>
      <c r="J187" s="1263"/>
      <c r="K187" s="1280"/>
      <c r="O187" s="33"/>
    </row>
    <row r="188" spans="2:15" ht="15.75" thickBot="1">
      <c r="B188" s="1276" t="s">
        <v>169</v>
      </c>
      <c r="C188" s="1235" t="s">
        <v>1778</v>
      </c>
      <c r="D188" s="1236"/>
      <c r="E188" s="1243"/>
      <c r="F188" s="1274"/>
      <c r="G188" s="1274"/>
      <c r="H188" s="1269"/>
      <c r="I188" s="960"/>
      <c r="J188" s="1271"/>
      <c r="K188" s="1283"/>
      <c r="O188" s="33"/>
    </row>
    <row r="189" spans="1:15" ht="15.75" thickBot="1">
      <c r="A189" s="295"/>
      <c r="B189" s="1244" t="s">
        <v>1112</v>
      </c>
      <c r="C189" s="1238" t="s">
        <v>1130</v>
      </c>
      <c r="D189" s="1239"/>
      <c r="E189" s="1245"/>
      <c r="F189" s="1274"/>
      <c r="G189" s="1274"/>
      <c r="H189" s="1274"/>
      <c r="I189" s="1274"/>
      <c r="J189" s="1275"/>
      <c r="K189" s="1286"/>
      <c r="O189" s="33"/>
    </row>
    <row r="190" spans="9:15" ht="14.25">
      <c r="I190" s="1"/>
      <c r="J190" s="295"/>
      <c r="K190" s="7"/>
      <c r="O190" s="33"/>
    </row>
    <row r="191" spans="9:15" ht="15" thickBot="1">
      <c r="I191" s="1"/>
      <c r="J191" s="295"/>
      <c r="K191" s="7"/>
      <c r="O191" s="33"/>
    </row>
    <row r="192" spans="1:15" ht="44.25" customHeight="1">
      <c r="A192" s="1575" t="s">
        <v>7</v>
      </c>
      <c r="B192" s="1575" t="s">
        <v>8</v>
      </c>
      <c r="C192" s="1575" t="s">
        <v>9</v>
      </c>
      <c r="D192" s="1575" t="s">
        <v>10</v>
      </c>
      <c r="E192" s="1575" t="s">
        <v>11</v>
      </c>
      <c r="F192" s="1575" t="s">
        <v>12</v>
      </c>
      <c r="G192" s="1575" t="s">
        <v>13</v>
      </c>
      <c r="H192" s="1575" t="s">
        <v>14</v>
      </c>
      <c r="I192" s="1595" t="s">
        <v>282</v>
      </c>
      <c r="J192" s="1575" t="s">
        <v>60</v>
      </c>
      <c r="K192" s="1635" t="s">
        <v>16</v>
      </c>
      <c r="L192" s="1586" t="s">
        <v>667</v>
      </c>
      <c r="M192" s="1570"/>
      <c r="N192" s="1570"/>
      <c r="O192" s="1587"/>
    </row>
    <row r="193" spans="1:15" ht="39" customHeight="1">
      <c r="A193" s="1575"/>
      <c r="B193" s="1575"/>
      <c r="C193" s="1575"/>
      <c r="D193" s="1575"/>
      <c r="E193" s="1575"/>
      <c r="F193" s="1575"/>
      <c r="G193" s="1575"/>
      <c r="H193" s="1575"/>
      <c r="I193" s="1595"/>
      <c r="J193" s="1575"/>
      <c r="K193" s="1635"/>
      <c r="L193" s="1597" t="s">
        <v>668</v>
      </c>
      <c r="M193" s="1568"/>
      <c r="N193" s="1568"/>
      <c r="O193" s="1598"/>
    </row>
    <row r="194" spans="1:15" ht="30.75" customHeight="1" thickBot="1">
      <c r="A194" s="1575"/>
      <c r="B194" s="1575"/>
      <c r="C194" s="1575"/>
      <c r="D194" s="1575"/>
      <c r="E194" s="1575"/>
      <c r="F194" s="1575"/>
      <c r="G194" s="1575"/>
      <c r="H194" s="1575"/>
      <c r="I194" s="1595"/>
      <c r="J194" s="1575"/>
      <c r="K194" s="1635"/>
      <c r="L194" s="270" t="s">
        <v>669</v>
      </c>
      <c r="M194" s="277" t="s">
        <v>670</v>
      </c>
      <c r="N194" s="277" t="s">
        <v>671</v>
      </c>
      <c r="O194" s="272" t="s">
        <v>17</v>
      </c>
    </row>
    <row r="195" spans="1:15" ht="30" thickBot="1">
      <c r="A195" s="597" t="s">
        <v>27</v>
      </c>
      <c r="B195" s="9" t="s">
        <v>620</v>
      </c>
      <c r="C195" s="6" t="s">
        <v>546</v>
      </c>
      <c r="D195" s="9" t="s">
        <v>547</v>
      </c>
      <c r="E195" s="6">
        <v>47</v>
      </c>
      <c r="F195" s="4" t="s">
        <v>548</v>
      </c>
      <c r="G195" s="4" t="s">
        <v>546</v>
      </c>
      <c r="H195" s="719" t="s">
        <v>941</v>
      </c>
      <c r="I195" s="24">
        <v>357149</v>
      </c>
      <c r="J195" s="398" t="s">
        <v>29</v>
      </c>
      <c r="K195" s="8">
        <v>25</v>
      </c>
      <c r="L195" s="34">
        <f>66357-45761</f>
        <v>20596</v>
      </c>
      <c r="M195" s="35"/>
      <c r="N195" s="35"/>
      <c r="O195" s="34">
        <f>L195</f>
        <v>20596</v>
      </c>
    </row>
    <row r="196" spans="2:15" ht="15">
      <c r="B196" s="1240" t="s">
        <v>23</v>
      </c>
      <c r="C196" s="1231" t="s">
        <v>616</v>
      </c>
      <c r="D196" s="1232"/>
      <c r="E196" s="1241"/>
      <c r="F196" s="1274"/>
      <c r="G196" s="1274"/>
      <c r="H196" s="1259" t="s">
        <v>1719</v>
      </c>
      <c r="I196" s="1260" t="s">
        <v>620</v>
      </c>
      <c r="J196" s="1261"/>
      <c r="K196" s="1279"/>
      <c r="N196" s="34" t="s">
        <v>24</v>
      </c>
      <c r="O196" s="598">
        <f>SUM(O195)</f>
        <v>20596</v>
      </c>
    </row>
    <row r="197" spans="2:11" ht="15">
      <c r="B197" s="1242"/>
      <c r="C197" s="1235" t="s">
        <v>1776</v>
      </c>
      <c r="D197" s="1236"/>
      <c r="E197" s="1243"/>
      <c r="F197" s="1274"/>
      <c r="G197" s="1274"/>
      <c r="H197" s="1262"/>
      <c r="I197" s="850" t="s">
        <v>1788</v>
      </c>
      <c r="J197" s="1263"/>
      <c r="K197" s="1280"/>
    </row>
    <row r="198" spans="2:11" ht="15">
      <c r="B198" s="1242"/>
      <c r="C198" s="1235" t="s">
        <v>551</v>
      </c>
      <c r="D198" s="1236"/>
      <c r="E198" s="1243"/>
      <c r="F198" s="1274"/>
      <c r="G198" s="1274"/>
      <c r="H198" s="1262"/>
      <c r="I198" s="850" t="s">
        <v>551</v>
      </c>
      <c r="J198" s="1263"/>
      <c r="K198" s="1280"/>
    </row>
    <row r="199" spans="2:11" ht="15.75" thickBot="1">
      <c r="B199" s="1276" t="s">
        <v>169</v>
      </c>
      <c r="C199" s="1235" t="s">
        <v>1778</v>
      </c>
      <c r="D199" s="1236"/>
      <c r="E199" s="1243"/>
      <c r="F199" s="1274"/>
      <c r="G199" s="1274"/>
      <c r="H199" s="1269"/>
      <c r="I199" s="960"/>
      <c r="J199" s="1271"/>
      <c r="K199" s="1283"/>
    </row>
    <row r="200" spans="1:11" ht="15.75" thickBot="1">
      <c r="A200" s="295"/>
      <c r="B200" s="1244" t="s">
        <v>1112</v>
      </c>
      <c r="C200" s="1238" t="s">
        <v>1130</v>
      </c>
      <c r="D200" s="1239"/>
      <c r="E200" s="1245"/>
      <c r="F200" s="1274"/>
      <c r="G200" s="1274"/>
      <c r="H200" s="1274"/>
      <c r="I200" s="1275"/>
      <c r="J200" s="1286"/>
      <c r="K200" s="1287"/>
    </row>
    <row r="201" spans="1:14" ht="15">
      <c r="A201" s="764"/>
      <c r="B201" s="470"/>
      <c r="C201" s="45"/>
      <c r="D201" s="20"/>
      <c r="E201" s="56"/>
      <c r="I201" s="764"/>
      <c r="N201" s="403"/>
    </row>
    <row r="202" spans="1:9" ht="15.75" thickBot="1">
      <c r="A202" s="764"/>
      <c r="B202" s="470"/>
      <c r="C202" s="45"/>
      <c r="D202" s="20"/>
      <c r="E202" s="56"/>
      <c r="I202" s="764"/>
    </row>
    <row r="203" spans="1:20" ht="44.25" customHeight="1">
      <c r="A203" s="1580" t="s">
        <v>7</v>
      </c>
      <c r="B203" s="1574" t="s">
        <v>8</v>
      </c>
      <c r="C203" s="1574" t="s">
        <v>9</v>
      </c>
      <c r="D203" s="1574" t="s">
        <v>10</v>
      </c>
      <c r="E203" s="1574" t="s">
        <v>11</v>
      </c>
      <c r="F203" s="1574" t="s">
        <v>12</v>
      </c>
      <c r="G203" s="1574" t="s">
        <v>13</v>
      </c>
      <c r="H203" s="1574" t="s">
        <v>15</v>
      </c>
      <c r="I203" s="1574" t="s">
        <v>282</v>
      </c>
      <c r="J203" s="1574" t="s">
        <v>60</v>
      </c>
      <c r="K203" s="1577" t="s">
        <v>16</v>
      </c>
      <c r="L203" s="1570" t="s">
        <v>672</v>
      </c>
      <c r="M203" s="1570"/>
      <c r="N203" s="1570"/>
      <c r="O203" s="1570"/>
      <c r="P203" s="1570" t="s">
        <v>673</v>
      </c>
      <c r="Q203" s="1570"/>
      <c r="R203" s="1570"/>
      <c r="S203" s="1570"/>
      <c r="T203" s="1645" t="s">
        <v>1232</v>
      </c>
    </row>
    <row r="204" spans="1:20" ht="28.5" customHeight="1">
      <c r="A204" s="1581"/>
      <c r="B204" s="1575"/>
      <c r="C204" s="1575"/>
      <c r="D204" s="1575"/>
      <c r="E204" s="1575"/>
      <c r="F204" s="1575"/>
      <c r="G204" s="1575"/>
      <c r="H204" s="1575"/>
      <c r="I204" s="1575"/>
      <c r="J204" s="1575"/>
      <c r="K204" s="1578"/>
      <c r="L204" s="1568" t="s">
        <v>669</v>
      </c>
      <c r="M204" s="1568" t="s">
        <v>670</v>
      </c>
      <c r="N204" s="1568" t="s">
        <v>671</v>
      </c>
      <c r="O204" s="1568" t="s">
        <v>674</v>
      </c>
      <c r="P204" s="1568" t="s">
        <v>669</v>
      </c>
      <c r="Q204" s="1568" t="s">
        <v>670</v>
      </c>
      <c r="R204" s="1568" t="s">
        <v>671</v>
      </c>
      <c r="S204" s="1568" t="s">
        <v>674</v>
      </c>
      <c r="T204" s="1646"/>
    </row>
    <row r="205" spans="1:20" ht="36" customHeight="1" thickBot="1">
      <c r="A205" s="1582"/>
      <c r="B205" s="1576"/>
      <c r="C205" s="1576"/>
      <c r="D205" s="1576"/>
      <c r="E205" s="1576"/>
      <c r="F205" s="1576"/>
      <c r="G205" s="1576"/>
      <c r="H205" s="1576"/>
      <c r="I205" s="1576"/>
      <c r="J205" s="1576"/>
      <c r="K205" s="1579"/>
      <c r="L205" s="1569"/>
      <c r="M205" s="1569"/>
      <c r="N205" s="1569"/>
      <c r="O205" s="1569"/>
      <c r="P205" s="1569"/>
      <c r="Q205" s="1569"/>
      <c r="R205" s="1569"/>
      <c r="S205" s="1569"/>
      <c r="T205" s="1647"/>
    </row>
    <row r="206" spans="1:20" ht="43.5">
      <c r="A206" s="603" t="s">
        <v>18</v>
      </c>
      <c r="B206" s="273" t="s">
        <v>1491</v>
      </c>
      <c r="C206" s="273" t="s">
        <v>546</v>
      </c>
      <c r="D206" s="273" t="s">
        <v>599</v>
      </c>
      <c r="E206" s="273">
        <v>1</v>
      </c>
      <c r="F206" s="273" t="s">
        <v>548</v>
      </c>
      <c r="G206" s="273" t="s">
        <v>546</v>
      </c>
      <c r="H206" s="734">
        <v>39014002</v>
      </c>
      <c r="I206" s="187">
        <v>4098753</v>
      </c>
      <c r="J206" s="556" t="s">
        <v>22</v>
      </c>
      <c r="K206" s="875">
        <v>130</v>
      </c>
      <c r="L206" s="275">
        <f>18137*12</f>
        <v>217644</v>
      </c>
      <c r="M206" s="276"/>
      <c r="N206" s="276"/>
      <c r="O206" s="275">
        <f aca="true" t="shared" si="3" ref="O206:O217">L206</f>
        <v>217644</v>
      </c>
      <c r="P206" s="966">
        <f>O206</f>
        <v>217644</v>
      </c>
      <c r="Q206" s="500"/>
      <c r="R206" s="500"/>
      <c r="S206" s="275">
        <f>P206</f>
        <v>217644</v>
      </c>
      <c r="T206" s="273" t="s">
        <v>1492</v>
      </c>
    </row>
    <row r="207" spans="1:20" ht="43.5">
      <c r="A207" s="597" t="s">
        <v>18</v>
      </c>
      <c r="B207" s="3" t="s">
        <v>1493</v>
      </c>
      <c r="C207" s="3" t="s">
        <v>546</v>
      </c>
      <c r="D207" s="3" t="s">
        <v>1494</v>
      </c>
      <c r="E207" s="3" t="s">
        <v>1495</v>
      </c>
      <c r="F207" s="3" t="s">
        <v>548</v>
      </c>
      <c r="G207" s="3" t="s">
        <v>546</v>
      </c>
      <c r="H207" s="719">
        <v>34408055</v>
      </c>
      <c r="I207" s="4">
        <v>90695922</v>
      </c>
      <c r="J207" s="505" t="s">
        <v>29</v>
      </c>
      <c r="K207" s="178">
        <v>8</v>
      </c>
      <c r="L207" s="34">
        <f>100*12</f>
        <v>1200</v>
      </c>
      <c r="M207" s="35"/>
      <c r="N207" s="35"/>
      <c r="O207" s="34">
        <f t="shared" si="3"/>
        <v>1200</v>
      </c>
      <c r="P207" s="966">
        <f aca="true" t="shared" si="4" ref="P207:P217">O207</f>
        <v>1200</v>
      </c>
      <c r="Q207" s="500"/>
      <c r="R207" s="500"/>
      <c r="S207" s="275">
        <f aca="true" t="shared" si="5" ref="S207:S217">P207</f>
        <v>1200</v>
      </c>
      <c r="T207" s="273" t="s">
        <v>1492</v>
      </c>
    </row>
    <row r="208" spans="1:20" ht="43.5">
      <c r="A208" s="597" t="s">
        <v>18</v>
      </c>
      <c r="B208" s="3" t="s">
        <v>1498</v>
      </c>
      <c r="C208" s="3" t="s">
        <v>546</v>
      </c>
      <c r="D208" s="3" t="s">
        <v>574</v>
      </c>
      <c r="E208" s="3" t="s">
        <v>1497</v>
      </c>
      <c r="F208" s="3" t="s">
        <v>548</v>
      </c>
      <c r="G208" s="3" t="s">
        <v>546</v>
      </c>
      <c r="H208" s="719">
        <v>35613145</v>
      </c>
      <c r="I208" s="4">
        <v>90696108</v>
      </c>
      <c r="J208" s="505" t="s">
        <v>29</v>
      </c>
      <c r="K208" s="178">
        <v>7</v>
      </c>
      <c r="L208" s="34">
        <f>47*12</f>
        <v>564</v>
      </c>
      <c r="M208" s="35"/>
      <c r="N208" s="35"/>
      <c r="O208" s="34">
        <f t="shared" si="3"/>
        <v>564</v>
      </c>
      <c r="P208" s="966">
        <f t="shared" si="4"/>
        <v>564</v>
      </c>
      <c r="Q208" s="500"/>
      <c r="R208" s="500"/>
      <c r="S208" s="275">
        <f t="shared" si="5"/>
        <v>564</v>
      </c>
      <c r="T208" s="273" t="s">
        <v>1492</v>
      </c>
    </row>
    <row r="209" spans="1:20" ht="43.5">
      <c r="A209" s="597" t="s">
        <v>18</v>
      </c>
      <c r="B209" s="3" t="s">
        <v>1499</v>
      </c>
      <c r="C209" s="3" t="s">
        <v>546</v>
      </c>
      <c r="D209" s="3" t="s">
        <v>1494</v>
      </c>
      <c r="E209" s="3" t="s">
        <v>1500</v>
      </c>
      <c r="F209" s="3" t="s">
        <v>548</v>
      </c>
      <c r="G209" s="3" t="s">
        <v>546</v>
      </c>
      <c r="H209" s="719">
        <v>34408054</v>
      </c>
      <c r="I209" s="4">
        <v>90695984</v>
      </c>
      <c r="J209" s="505" t="s">
        <v>29</v>
      </c>
      <c r="K209" s="178">
        <v>10</v>
      </c>
      <c r="L209" s="34">
        <f>80*12</f>
        <v>960</v>
      </c>
      <c r="M209" s="35"/>
      <c r="N209" s="35"/>
      <c r="O209" s="34">
        <f t="shared" si="3"/>
        <v>960</v>
      </c>
      <c r="P209" s="966">
        <f t="shared" si="4"/>
        <v>960</v>
      </c>
      <c r="Q209" s="500"/>
      <c r="R209" s="500"/>
      <c r="S209" s="275">
        <f t="shared" si="5"/>
        <v>960</v>
      </c>
      <c r="T209" s="273" t="s">
        <v>1492</v>
      </c>
    </row>
    <row r="210" spans="1:20" ht="43.5">
      <c r="A210" s="597" t="s">
        <v>18</v>
      </c>
      <c r="B210" s="3" t="s">
        <v>1501</v>
      </c>
      <c r="C210" s="3" t="s">
        <v>546</v>
      </c>
      <c r="D210" s="3" t="s">
        <v>1502</v>
      </c>
      <c r="E210" s="3" t="s">
        <v>1503</v>
      </c>
      <c r="F210" s="3" t="s">
        <v>548</v>
      </c>
      <c r="G210" s="3" t="s">
        <v>546</v>
      </c>
      <c r="H210" s="719">
        <v>35611250</v>
      </c>
      <c r="I210" s="4">
        <v>90696101</v>
      </c>
      <c r="J210" s="505" t="s">
        <v>29</v>
      </c>
      <c r="K210" s="178">
        <v>6</v>
      </c>
      <c r="L210" s="34">
        <f>94*12</f>
        <v>1128</v>
      </c>
      <c r="M210" s="35"/>
      <c r="N210" s="35"/>
      <c r="O210" s="34">
        <f t="shared" si="3"/>
        <v>1128</v>
      </c>
      <c r="P210" s="966">
        <f t="shared" si="4"/>
        <v>1128</v>
      </c>
      <c r="Q210" s="500"/>
      <c r="R210" s="500"/>
      <c r="S210" s="275">
        <f t="shared" si="5"/>
        <v>1128</v>
      </c>
      <c r="T210" s="273" t="s">
        <v>1492</v>
      </c>
    </row>
    <row r="211" spans="1:20" ht="57.75">
      <c r="A211" s="597" t="s">
        <v>18</v>
      </c>
      <c r="B211" s="3" t="s">
        <v>560</v>
      </c>
      <c r="C211" s="3" t="s">
        <v>546</v>
      </c>
      <c r="D211" s="3" t="s">
        <v>1370</v>
      </c>
      <c r="E211" s="3" t="s">
        <v>1504</v>
      </c>
      <c r="F211" s="3" t="s">
        <v>548</v>
      </c>
      <c r="G211" s="3" t="s">
        <v>546</v>
      </c>
      <c r="H211" s="719">
        <v>35501012</v>
      </c>
      <c r="I211" s="4">
        <v>90462374</v>
      </c>
      <c r="J211" s="505" t="s">
        <v>29</v>
      </c>
      <c r="K211" s="178">
        <v>6</v>
      </c>
      <c r="L211" s="34">
        <v>2200</v>
      </c>
      <c r="M211" s="35"/>
      <c r="N211" s="35"/>
      <c r="O211" s="34">
        <f t="shared" si="3"/>
        <v>2200</v>
      </c>
      <c r="P211" s="966">
        <f t="shared" si="4"/>
        <v>2200</v>
      </c>
      <c r="Q211" s="500"/>
      <c r="R211" s="500"/>
      <c r="S211" s="275">
        <f t="shared" si="5"/>
        <v>2200</v>
      </c>
      <c r="T211" s="273" t="s">
        <v>1492</v>
      </c>
    </row>
    <row r="212" spans="1:20" ht="57.75">
      <c r="A212" s="597" t="s">
        <v>18</v>
      </c>
      <c r="B212" s="3" t="s">
        <v>560</v>
      </c>
      <c r="C212" s="3" t="s">
        <v>546</v>
      </c>
      <c r="D212" s="3" t="s">
        <v>1505</v>
      </c>
      <c r="E212" s="3" t="s">
        <v>1506</v>
      </c>
      <c r="F212" s="3" t="s">
        <v>548</v>
      </c>
      <c r="G212" s="3" t="s">
        <v>546</v>
      </c>
      <c r="H212" s="719">
        <v>35502005</v>
      </c>
      <c r="I212" s="4">
        <v>10927283</v>
      </c>
      <c r="J212" s="505" t="s">
        <v>29</v>
      </c>
      <c r="K212" s="178">
        <v>10</v>
      </c>
      <c r="L212" s="34">
        <v>3000</v>
      </c>
      <c r="M212" s="35"/>
      <c r="N212" s="35"/>
      <c r="O212" s="34">
        <f t="shared" si="3"/>
        <v>3000</v>
      </c>
      <c r="P212" s="966">
        <f t="shared" si="4"/>
        <v>3000</v>
      </c>
      <c r="Q212" s="500"/>
      <c r="R212" s="500"/>
      <c r="S212" s="275">
        <f t="shared" si="5"/>
        <v>3000</v>
      </c>
      <c r="T212" s="273" t="s">
        <v>1492</v>
      </c>
    </row>
    <row r="213" spans="1:20" ht="57.75">
      <c r="A213" s="597" t="s">
        <v>18</v>
      </c>
      <c r="B213" s="3" t="s">
        <v>560</v>
      </c>
      <c r="C213" s="3" t="s">
        <v>546</v>
      </c>
      <c r="D213" s="3" t="s">
        <v>1507</v>
      </c>
      <c r="E213" s="3" t="s">
        <v>1508</v>
      </c>
      <c r="F213" s="3" t="s">
        <v>548</v>
      </c>
      <c r="G213" s="3" t="s">
        <v>546</v>
      </c>
      <c r="H213" s="719">
        <v>35503021</v>
      </c>
      <c r="I213" s="4">
        <v>11697393</v>
      </c>
      <c r="J213" s="505" t="s">
        <v>29</v>
      </c>
      <c r="K213" s="178">
        <v>4</v>
      </c>
      <c r="L213" s="34">
        <v>6000</v>
      </c>
      <c r="M213" s="35"/>
      <c r="N213" s="35"/>
      <c r="O213" s="34">
        <f t="shared" si="3"/>
        <v>6000</v>
      </c>
      <c r="P213" s="966">
        <f t="shared" si="4"/>
        <v>6000</v>
      </c>
      <c r="Q213" s="500"/>
      <c r="R213" s="500"/>
      <c r="S213" s="275">
        <f t="shared" si="5"/>
        <v>6000</v>
      </c>
      <c r="T213" s="273" t="s">
        <v>1492</v>
      </c>
    </row>
    <row r="214" spans="1:20" ht="57.75">
      <c r="A214" s="597" t="s">
        <v>18</v>
      </c>
      <c r="B214" s="3" t="s">
        <v>560</v>
      </c>
      <c r="C214" s="3" t="s">
        <v>546</v>
      </c>
      <c r="D214" s="3" t="s">
        <v>1509</v>
      </c>
      <c r="E214" s="3" t="s">
        <v>1510</v>
      </c>
      <c r="F214" s="3" t="s">
        <v>548</v>
      </c>
      <c r="G214" s="3" t="s">
        <v>546</v>
      </c>
      <c r="H214" s="719">
        <v>35508009</v>
      </c>
      <c r="I214" s="4">
        <v>90597585</v>
      </c>
      <c r="J214" s="505" t="s">
        <v>29</v>
      </c>
      <c r="K214" s="178">
        <v>4</v>
      </c>
      <c r="L214" s="34">
        <v>6000</v>
      </c>
      <c r="M214" s="35"/>
      <c r="N214" s="35"/>
      <c r="O214" s="34">
        <f t="shared" si="3"/>
        <v>6000</v>
      </c>
      <c r="P214" s="966">
        <f t="shared" si="4"/>
        <v>6000</v>
      </c>
      <c r="Q214" s="500"/>
      <c r="R214" s="500"/>
      <c r="S214" s="275">
        <f t="shared" si="5"/>
        <v>6000</v>
      </c>
      <c r="T214" s="273" t="s">
        <v>1492</v>
      </c>
    </row>
    <row r="215" spans="1:20" ht="57.75">
      <c r="A215" s="597" t="s">
        <v>18</v>
      </c>
      <c r="B215" s="3" t="s">
        <v>560</v>
      </c>
      <c r="C215" s="3" t="s">
        <v>546</v>
      </c>
      <c r="D215" s="3" t="s">
        <v>1507</v>
      </c>
      <c r="E215" s="3" t="s">
        <v>1511</v>
      </c>
      <c r="F215" s="3" t="s">
        <v>548</v>
      </c>
      <c r="G215" s="3" t="s">
        <v>546</v>
      </c>
      <c r="H215" s="719">
        <v>35503020</v>
      </c>
      <c r="I215" s="4">
        <v>10857602</v>
      </c>
      <c r="J215" s="505" t="s">
        <v>29</v>
      </c>
      <c r="K215" s="178">
        <v>15</v>
      </c>
      <c r="L215" s="34">
        <v>1000</v>
      </c>
      <c r="M215" s="35"/>
      <c r="N215" s="35"/>
      <c r="O215" s="34">
        <f t="shared" si="3"/>
        <v>1000</v>
      </c>
      <c r="P215" s="966">
        <f t="shared" si="4"/>
        <v>1000</v>
      </c>
      <c r="Q215" s="500"/>
      <c r="R215" s="500"/>
      <c r="S215" s="275">
        <f t="shared" si="5"/>
        <v>1000</v>
      </c>
      <c r="T215" s="273" t="s">
        <v>1492</v>
      </c>
    </row>
    <row r="216" spans="1:20" ht="57.75">
      <c r="A216" s="597" t="s">
        <v>18</v>
      </c>
      <c r="B216" s="3" t="s">
        <v>560</v>
      </c>
      <c r="C216" s="3" t="s">
        <v>546</v>
      </c>
      <c r="D216" s="3" t="s">
        <v>1512</v>
      </c>
      <c r="E216" s="3" t="s">
        <v>1513</v>
      </c>
      <c r="F216" s="3" t="s">
        <v>548</v>
      </c>
      <c r="G216" s="3" t="s">
        <v>546</v>
      </c>
      <c r="H216" s="719">
        <v>35506006</v>
      </c>
      <c r="I216" s="4">
        <v>90468383</v>
      </c>
      <c r="J216" s="505" t="s">
        <v>29</v>
      </c>
      <c r="K216" s="178">
        <v>2</v>
      </c>
      <c r="L216" s="34">
        <v>3000</v>
      </c>
      <c r="M216" s="35"/>
      <c r="N216" s="35"/>
      <c r="O216" s="34">
        <f t="shared" si="3"/>
        <v>3000</v>
      </c>
      <c r="P216" s="966">
        <f t="shared" si="4"/>
        <v>3000</v>
      </c>
      <c r="Q216" s="500"/>
      <c r="R216" s="500"/>
      <c r="S216" s="275">
        <f t="shared" si="5"/>
        <v>3000</v>
      </c>
      <c r="T216" s="273" t="s">
        <v>1492</v>
      </c>
    </row>
    <row r="217" spans="1:20" ht="58.5" thickBot="1">
      <c r="A217" s="597" t="s">
        <v>18</v>
      </c>
      <c r="B217" s="3" t="s">
        <v>560</v>
      </c>
      <c r="C217" s="3" t="s">
        <v>546</v>
      </c>
      <c r="D217" s="3" t="s">
        <v>1514</v>
      </c>
      <c r="E217" s="3" t="s">
        <v>1515</v>
      </c>
      <c r="F217" s="3" t="s">
        <v>548</v>
      </c>
      <c r="G217" s="3" t="s">
        <v>546</v>
      </c>
      <c r="H217" s="797">
        <v>35507007</v>
      </c>
      <c r="I217" s="6">
        <v>10842769</v>
      </c>
      <c r="J217" s="1140" t="s">
        <v>29</v>
      </c>
      <c r="K217" s="442">
        <v>13</v>
      </c>
      <c r="L217" s="34">
        <v>2000</v>
      </c>
      <c r="M217" s="35"/>
      <c r="N217" s="35"/>
      <c r="O217" s="34">
        <f t="shared" si="3"/>
        <v>2000</v>
      </c>
      <c r="P217" s="966">
        <f t="shared" si="4"/>
        <v>2000</v>
      </c>
      <c r="Q217" s="500"/>
      <c r="R217" s="500"/>
      <c r="S217" s="275">
        <f t="shared" si="5"/>
        <v>2000</v>
      </c>
      <c r="T217" s="273" t="s">
        <v>1492</v>
      </c>
    </row>
    <row r="218" spans="1:19" ht="15">
      <c r="A218" s="764"/>
      <c r="B218" s="1240" t="s">
        <v>23</v>
      </c>
      <c r="C218" s="1231" t="s">
        <v>616</v>
      </c>
      <c r="D218" s="1232"/>
      <c r="E218" s="1241"/>
      <c r="F218" s="1254"/>
      <c r="G218" s="1254"/>
      <c r="H218" s="1230" t="s">
        <v>1719</v>
      </c>
      <c r="I218" s="1231" t="s">
        <v>556</v>
      </c>
      <c r="J218" s="1288"/>
      <c r="K218" s="1255"/>
      <c r="R218" s="275" t="s">
        <v>24</v>
      </c>
      <c r="S218" s="963">
        <f>SUM(S206:S217)</f>
        <v>244696</v>
      </c>
    </row>
    <row r="219" spans="1:11" ht="15">
      <c r="A219" s="764"/>
      <c r="B219" s="1242"/>
      <c r="C219" s="1235" t="s">
        <v>1776</v>
      </c>
      <c r="D219" s="1236"/>
      <c r="E219" s="1243"/>
      <c r="F219" s="1254"/>
      <c r="G219" s="1254"/>
      <c r="H219" s="1234"/>
      <c r="I219" s="1235" t="s">
        <v>1777</v>
      </c>
      <c r="J219" s="1289"/>
      <c r="K219" s="1256"/>
    </row>
    <row r="220" spans="1:11" ht="15">
      <c r="A220" s="764"/>
      <c r="B220" s="1242"/>
      <c r="C220" s="1235" t="s">
        <v>551</v>
      </c>
      <c r="D220" s="1236"/>
      <c r="E220" s="1243"/>
      <c r="F220" s="1254"/>
      <c r="G220" s="1254"/>
      <c r="H220" s="1234"/>
      <c r="I220" s="1235" t="s">
        <v>551</v>
      </c>
      <c r="J220" s="1289"/>
      <c r="K220" s="1256"/>
    </row>
    <row r="221" spans="1:11" ht="15.75" thickBot="1">
      <c r="A221" s="764"/>
      <c r="B221" s="1276" t="s">
        <v>169</v>
      </c>
      <c r="C221" s="1235" t="s">
        <v>1778</v>
      </c>
      <c r="D221" s="1236"/>
      <c r="E221" s="1243"/>
      <c r="F221" s="1254"/>
      <c r="G221" s="1254"/>
      <c r="H221" s="1251"/>
      <c r="I221" s="1238"/>
      <c r="J221" s="1290"/>
      <c r="K221" s="1257"/>
    </row>
    <row r="222" spans="1:11" ht="15.75" thickBot="1">
      <c r="A222" s="764"/>
      <c r="B222" s="1244" t="s">
        <v>1112</v>
      </c>
      <c r="C222" s="1238" t="s">
        <v>1130</v>
      </c>
      <c r="D222" s="1239"/>
      <c r="E222" s="1245"/>
      <c r="F222" s="1254"/>
      <c r="G222" s="1254"/>
      <c r="H222" s="1254"/>
      <c r="I222" s="1277"/>
      <c r="J222" s="1278"/>
      <c r="K222" s="1291"/>
    </row>
    <row r="223" spans="1:13" ht="14.25">
      <c r="A223" s="295"/>
      <c r="B223" s="1"/>
      <c r="E223" s="56"/>
      <c r="I223" s="295"/>
      <c r="L223" s="33" t="s">
        <v>24</v>
      </c>
      <c r="M223" s="33">
        <f>O20+O67+O80+O92+O104+O115+O126+O137+O148+O160+O174+O185+O196+S218</f>
        <v>2602805.500000001</v>
      </c>
    </row>
    <row r="224" spans="1:9" ht="15.75" thickBot="1">
      <c r="A224" s="295"/>
      <c r="B224" s="20"/>
      <c r="C224" s="45"/>
      <c r="D224" s="20"/>
      <c r="E224" s="56"/>
      <c r="I224" s="295"/>
    </row>
    <row r="225" spans="11:15" ht="56.25" customHeight="1">
      <c r="K225" s="1692" t="s">
        <v>60</v>
      </c>
      <c r="L225" s="1691" t="s">
        <v>675</v>
      </c>
      <c r="M225" s="1691"/>
      <c r="N225" s="1691"/>
      <c r="O225" s="1694" t="s">
        <v>61</v>
      </c>
    </row>
    <row r="226" spans="11:15" ht="27.75" customHeight="1" thickBot="1">
      <c r="K226" s="1693"/>
      <c r="L226" s="282" t="s">
        <v>62</v>
      </c>
      <c r="M226" s="282" t="s">
        <v>670</v>
      </c>
      <c r="N226" s="282" t="s">
        <v>671</v>
      </c>
      <c r="O226" s="1695"/>
    </row>
    <row r="227" spans="11:15" ht="21.75" customHeight="1">
      <c r="K227" s="418" t="s">
        <v>29</v>
      </c>
      <c r="L227" s="1053">
        <f>O33+O34+O35+O36+O37+O38+O39+O40+O41+O42+O43+O44+O45+O46+O47+O48+O49+O50+O51+O52+O53+O54+O55+O56+O57+O58+O59+O60+O61+O62+O63+O64+O65+O66+O77+O78+O90+O91+O102+O103+O114+O158+O159+O173+O195+S207+S208+S209+S210+S211+S212+S213+S214+S215+S216+S217</f>
        <v>375972</v>
      </c>
      <c r="M227" s="989"/>
      <c r="N227" s="990"/>
      <c r="O227" s="420">
        <v>55</v>
      </c>
    </row>
    <row r="228" spans="11:15" ht="21.75" customHeight="1">
      <c r="K228" s="1020" t="s">
        <v>22</v>
      </c>
      <c r="L228" s="1002">
        <f>O31+O32+O125+O147+O170+O171+O184+S206</f>
        <v>2119861.500000001</v>
      </c>
      <c r="M228" s="332"/>
      <c r="N228" s="991"/>
      <c r="O228" s="995">
        <v>8</v>
      </c>
    </row>
    <row r="229" spans="11:15" ht="21.75" customHeight="1" thickBot="1">
      <c r="K229" s="823" t="s">
        <v>67</v>
      </c>
      <c r="L229" s="339"/>
      <c r="M229" s="340">
        <f>M19+M79+M136+M172</f>
        <v>31386</v>
      </c>
      <c r="N229" s="341">
        <f>N19+N79+N136+N172</f>
        <v>75586</v>
      </c>
      <c r="O229" s="992">
        <v>4</v>
      </c>
    </row>
    <row r="230" spans="11:15" ht="21.75" customHeight="1" thickBot="1">
      <c r="K230" s="353" t="s">
        <v>63</v>
      </c>
      <c r="L230" s="293">
        <f>SUM(L227:L229)</f>
        <v>2495833.500000001</v>
      </c>
      <c r="M230" s="119">
        <f>SUM(M227:M229)</f>
        <v>31386</v>
      </c>
      <c r="N230" s="126">
        <f>SUM(N227:N229)</f>
        <v>75586</v>
      </c>
      <c r="O230" s="717">
        <f>SUM(O227:O229)</f>
        <v>67</v>
      </c>
    </row>
    <row r="231" spans="11:15" ht="21.75" customHeight="1" thickBot="1">
      <c r="K231" s="1"/>
      <c r="L231" s="127" t="s">
        <v>64</v>
      </c>
      <c r="M231" s="718">
        <f>SUM(L230:N230)</f>
        <v>2602805.500000001</v>
      </c>
      <c r="O231" s="33"/>
    </row>
    <row r="232" spans="11:14" ht="14.25">
      <c r="K232" s="1"/>
      <c r="L232" s="1"/>
      <c r="N232" s="1"/>
    </row>
    <row r="233" spans="9:14" ht="14.25">
      <c r="I233" s="1"/>
      <c r="J233" s="1"/>
      <c r="K233" s="1"/>
      <c r="N233" s="1"/>
    </row>
    <row r="234" spans="9:14" ht="14.25">
      <c r="I234" s="1"/>
      <c r="J234" s="1"/>
      <c r="K234" s="1"/>
      <c r="L234" s="1"/>
      <c r="M234" s="1"/>
      <c r="N234" s="5"/>
    </row>
    <row r="235" spans="9:14" ht="14.25">
      <c r="I235" s="1"/>
      <c r="J235" s="1"/>
      <c r="K235" s="1"/>
      <c r="L235" s="1"/>
      <c r="M235" s="1"/>
      <c r="N235" s="5"/>
    </row>
    <row r="236" spans="9:14" ht="14.25">
      <c r="I236" s="1"/>
      <c r="J236" s="1"/>
      <c r="K236" s="1"/>
      <c r="L236" s="1"/>
      <c r="N236" s="5"/>
    </row>
    <row r="237" spans="9:14" ht="14.25">
      <c r="I237" s="1"/>
      <c r="J237" s="1"/>
      <c r="K237" s="1"/>
      <c r="L237" s="1"/>
      <c r="M237" s="1"/>
      <c r="N237" s="5"/>
    </row>
    <row r="238" spans="9:14" ht="14.25">
      <c r="I238" s="1"/>
      <c r="J238" s="1"/>
      <c r="K238" s="1"/>
      <c r="L238" s="1"/>
      <c r="M238" s="1"/>
      <c r="N238" s="5"/>
    </row>
    <row r="239" spans="9:14" ht="14.25">
      <c r="I239" s="1"/>
      <c r="J239" s="1"/>
      <c r="K239" s="1"/>
      <c r="L239" s="1"/>
      <c r="M239" s="1"/>
      <c r="N239" s="5"/>
    </row>
  </sheetData>
  <sheetProtection/>
  <mergeCells count="199">
    <mergeCell ref="G192:G194"/>
    <mergeCell ref="G181:G183"/>
    <mergeCell ref="A192:A194"/>
    <mergeCell ref="B192:B194"/>
    <mergeCell ref="C192:C194"/>
    <mergeCell ref="D192:D194"/>
    <mergeCell ref="E192:E194"/>
    <mergeCell ref="F192:F194"/>
    <mergeCell ref="A181:A183"/>
    <mergeCell ref="B181:B183"/>
    <mergeCell ref="C181:C183"/>
    <mergeCell ref="D181:D183"/>
    <mergeCell ref="E181:E183"/>
    <mergeCell ref="F181:F183"/>
    <mergeCell ref="J167:J169"/>
    <mergeCell ref="G167:G169"/>
    <mergeCell ref="H167:H169"/>
    <mergeCell ref="H181:H183"/>
    <mergeCell ref="A167:A169"/>
    <mergeCell ref="B167:B169"/>
    <mergeCell ref="C167:C169"/>
    <mergeCell ref="D167:D169"/>
    <mergeCell ref="E167:E169"/>
    <mergeCell ref="F167:F169"/>
    <mergeCell ref="G155:G157"/>
    <mergeCell ref="G144:G146"/>
    <mergeCell ref="A155:A157"/>
    <mergeCell ref="B155:B157"/>
    <mergeCell ref="C155:C157"/>
    <mergeCell ref="D155:D157"/>
    <mergeCell ref="E155:E157"/>
    <mergeCell ref="A144:A146"/>
    <mergeCell ref="F155:F157"/>
    <mergeCell ref="B144:B146"/>
    <mergeCell ref="C144:C146"/>
    <mergeCell ref="D144:D146"/>
    <mergeCell ref="E144:E146"/>
    <mergeCell ref="F144:F146"/>
    <mergeCell ref="A133:A135"/>
    <mergeCell ref="B133:B135"/>
    <mergeCell ref="H122:H124"/>
    <mergeCell ref="C133:C135"/>
    <mergeCell ref="D133:D135"/>
    <mergeCell ref="E133:E135"/>
    <mergeCell ref="F133:F135"/>
    <mergeCell ref="G122:G124"/>
    <mergeCell ref="G133:G135"/>
    <mergeCell ref="G111:G113"/>
    <mergeCell ref="A122:A124"/>
    <mergeCell ref="B122:B124"/>
    <mergeCell ref="C122:C124"/>
    <mergeCell ref="D122:D124"/>
    <mergeCell ref="E122:E124"/>
    <mergeCell ref="F122:F124"/>
    <mergeCell ref="A111:A113"/>
    <mergeCell ref="B111:B113"/>
    <mergeCell ref="C111:C113"/>
    <mergeCell ref="D111:D113"/>
    <mergeCell ref="E111:E113"/>
    <mergeCell ref="F111:F113"/>
    <mergeCell ref="C99:C101"/>
    <mergeCell ref="D99:D101"/>
    <mergeCell ref="E99:E101"/>
    <mergeCell ref="F99:F101"/>
    <mergeCell ref="G87:G89"/>
    <mergeCell ref="H87:H89"/>
    <mergeCell ref="G99:G101"/>
    <mergeCell ref="A87:A89"/>
    <mergeCell ref="B87:B89"/>
    <mergeCell ref="C87:C89"/>
    <mergeCell ref="D87:D89"/>
    <mergeCell ref="E87:E89"/>
    <mergeCell ref="F87:F89"/>
    <mergeCell ref="A99:A101"/>
    <mergeCell ref="A74:A76"/>
    <mergeCell ref="B74:B76"/>
    <mergeCell ref="C74:C76"/>
    <mergeCell ref="D74:D76"/>
    <mergeCell ref="E74:E76"/>
    <mergeCell ref="B99:B101"/>
    <mergeCell ref="F74:F76"/>
    <mergeCell ref="K225:K226"/>
    <mergeCell ref="L225:N225"/>
    <mergeCell ref="L16:O16"/>
    <mergeCell ref="L17:O17"/>
    <mergeCell ref="C28:C30"/>
    <mergeCell ref="D28:D30"/>
    <mergeCell ref="E28:E30"/>
    <mergeCell ref="F28:F30"/>
    <mergeCell ref="G28:G30"/>
    <mergeCell ref="H74:H76"/>
    <mergeCell ref="H16:H18"/>
    <mergeCell ref="I16:I18"/>
    <mergeCell ref="J16:J18"/>
    <mergeCell ref="K16:K18"/>
    <mergeCell ref="A28:A30"/>
    <mergeCell ref="B28:B30"/>
    <mergeCell ref="H28:H30"/>
    <mergeCell ref="I28:I30"/>
    <mergeCell ref="J28:J30"/>
    <mergeCell ref="O225:O226"/>
    <mergeCell ref="G74:G76"/>
    <mergeCell ref="A16:A18"/>
    <mergeCell ref="B16:B18"/>
    <mergeCell ref="C16:C18"/>
    <mergeCell ref="D16:D18"/>
    <mergeCell ref="E16:E18"/>
    <mergeCell ref="F16:F18"/>
    <mergeCell ref="G16:G18"/>
    <mergeCell ref="K28:K30"/>
    <mergeCell ref="L28:O28"/>
    <mergeCell ref="L29:O29"/>
    <mergeCell ref="I74:I76"/>
    <mergeCell ref="J74:J76"/>
    <mergeCell ref="K74:K76"/>
    <mergeCell ref="L74:O74"/>
    <mergeCell ref="L75:O75"/>
    <mergeCell ref="I87:I89"/>
    <mergeCell ref="J87:J89"/>
    <mergeCell ref="K87:K89"/>
    <mergeCell ref="L87:O87"/>
    <mergeCell ref="L88:O88"/>
    <mergeCell ref="H99:H101"/>
    <mergeCell ref="I99:I101"/>
    <mergeCell ref="J99:J101"/>
    <mergeCell ref="K99:K101"/>
    <mergeCell ref="L99:O99"/>
    <mergeCell ref="L100:O100"/>
    <mergeCell ref="H111:H113"/>
    <mergeCell ref="I111:I113"/>
    <mergeCell ref="J111:J113"/>
    <mergeCell ref="K111:K113"/>
    <mergeCell ref="L111:O111"/>
    <mergeCell ref="L112:O112"/>
    <mergeCell ref="I122:I124"/>
    <mergeCell ref="J122:J124"/>
    <mergeCell ref="K122:K124"/>
    <mergeCell ref="L122:O122"/>
    <mergeCell ref="L123:O123"/>
    <mergeCell ref="H133:H135"/>
    <mergeCell ref="I133:I135"/>
    <mergeCell ref="J133:J135"/>
    <mergeCell ref="K133:K135"/>
    <mergeCell ref="L133:O133"/>
    <mergeCell ref="L134:O134"/>
    <mergeCell ref="H144:H146"/>
    <mergeCell ref="I144:I146"/>
    <mergeCell ref="J144:J146"/>
    <mergeCell ref="K144:K146"/>
    <mergeCell ref="L144:O144"/>
    <mergeCell ref="L145:O145"/>
    <mergeCell ref="K192:K194"/>
    <mergeCell ref="L192:O192"/>
    <mergeCell ref="L193:O193"/>
    <mergeCell ref="I181:I183"/>
    <mergeCell ref="J181:J183"/>
    <mergeCell ref="K181:K183"/>
    <mergeCell ref="L181:O181"/>
    <mergeCell ref="L182:O182"/>
    <mergeCell ref="B3:J3"/>
    <mergeCell ref="B5:J5"/>
    <mergeCell ref="B1:I1"/>
    <mergeCell ref="K167:K169"/>
    <mergeCell ref="L167:O167"/>
    <mergeCell ref="L168:O168"/>
    <mergeCell ref="I167:I169"/>
    <mergeCell ref="K155:K157"/>
    <mergeCell ref="L155:O155"/>
    <mergeCell ref="L156:O156"/>
    <mergeCell ref="H192:H194"/>
    <mergeCell ref="I192:I194"/>
    <mergeCell ref="J192:J194"/>
    <mergeCell ref="H155:H157"/>
    <mergeCell ref="I155:I157"/>
    <mergeCell ref="J155:J157"/>
    <mergeCell ref="A203:A205"/>
    <mergeCell ref="B203:B205"/>
    <mergeCell ref="C203:C205"/>
    <mergeCell ref="D203:D205"/>
    <mergeCell ref="E203:E205"/>
    <mergeCell ref="F203:F205"/>
    <mergeCell ref="Q204:Q205"/>
    <mergeCell ref="R204:R205"/>
    <mergeCell ref="G203:G205"/>
    <mergeCell ref="H203:H205"/>
    <mergeCell ref="I203:I205"/>
    <mergeCell ref="J203:J205"/>
    <mergeCell ref="K203:K205"/>
    <mergeCell ref="L203:O203"/>
    <mergeCell ref="C160:D160"/>
    <mergeCell ref="I160:J160"/>
    <mergeCell ref="S204:S205"/>
    <mergeCell ref="P203:S203"/>
    <mergeCell ref="T203:T205"/>
    <mergeCell ref="L204:L205"/>
    <mergeCell ref="M204:M205"/>
    <mergeCell ref="N204:N205"/>
    <mergeCell ref="O204:O205"/>
    <mergeCell ref="P204:P205"/>
  </mergeCells>
  <printOptions/>
  <pageMargins left="0.7" right="0.7" top="0.75" bottom="0.75" header="0.3" footer="0.3"/>
  <pageSetup orientation="portrait" paperSize="9" r:id="rId1"/>
  <ignoredErrors>
    <ignoredError sqref="O17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U92"/>
  <sheetViews>
    <sheetView zoomScale="80" zoomScaleNormal="80" zoomScalePageLayoutView="0" workbookViewId="0" topLeftCell="A55">
      <selection activeCell="G56" sqref="G56:H58"/>
    </sheetView>
  </sheetViews>
  <sheetFormatPr defaultColWidth="8.796875" defaultRowHeight="14.25"/>
  <cols>
    <col min="1" max="1" width="13.09765625" style="5" customWidth="1"/>
    <col min="2" max="2" width="16" style="2" customWidth="1"/>
    <col min="3" max="3" width="14" style="1" customWidth="1"/>
    <col min="4" max="4" width="17.5" style="1" customWidth="1"/>
    <col min="5" max="5" width="11.19921875" style="1" customWidth="1"/>
    <col min="6" max="6" width="9" style="1" customWidth="1"/>
    <col min="7" max="7" width="16.19921875" style="1" customWidth="1"/>
    <col min="8" max="8" width="27.8984375" style="1" customWidth="1"/>
    <col min="9" max="9" width="14.59765625" style="1" customWidth="1"/>
    <col min="10" max="10" width="12.09765625" style="5" customWidth="1"/>
    <col min="11" max="11" width="9" style="112" customWidth="1"/>
    <col min="12" max="12" width="14.8984375" style="1" customWidth="1"/>
    <col min="13" max="13" width="15" style="1" customWidth="1"/>
    <col min="14" max="14" width="16.8984375" style="1" customWidth="1"/>
    <col min="15" max="15" width="16.3984375" style="1" customWidth="1"/>
    <col min="16" max="16" width="13.09765625" style="1" customWidth="1"/>
    <col min="17" max="17" width="13.8984375" style="1" customWidth="1"/>
    <col min="18" max="18" width="17.69921875" style="1" customWidth="1"/>
    <col min="19" max="19" width="10.59765625" style="1" customWidth="1"/>
    <col min="20" max="20" width="23.8984375" style="1" customWidth="1"/>
    <col min="21" max="21" width="21.5" style="1" customWidth="1"/>
    <col min="22" max="16384" width="9" style="1" customWidth="1"/>
  </cols>
  <sheetData>
    <row r="1" spans="1:10" ht="18">
      <c r="A1" s="295"/>
      <c r="B1" s="1609" t="s">
        <v>1231</v>
      </c>
      <c r="C1" s="1609"/>
      <c r="D1" s="1609"/>
      <c r="E1" s="1609"/>
      <c r="F1" s="1609"/>
      <c r="G1" s="1609"/>
      <c r="H1" s="1609"/>
      <c r="I1" s="1609"/>
      <c r="J1" s="295"/>
    </row>
    <row r="2" spans="1:10" ht="14.25">
      <c r="A2" s="295"/>
      <c r="J2" s="295"/>
    </row>
    <row r="3" spans="1:10" ht="32.25" customHeight="1">
      <c r="A3" s="295"/>
      <c r="B3" s="1642" t="s">
        <v>733</v>
      </c>
      <c r="C3" s="1643"/>
      <c r="D3" s="1643"/>
      <c r="E3" s="1643"/>
      <c r="F3" s="1643"/>
      <c r="G3" s="1643"/>
      <c r="H3" s="1643"/>
      <c r="I3" s="1644"/>
      <c r="J3" s="295"/>
    </row>
    <row r="4" spans="1:14" ht="15">
      <c r="A4" s="1"/>
      <c r="B4" s="487"/>
      <c r="C4" s="487"/>
      <c r="D4" s="487"/>
      <c r="E4" s="487"/>
      <c r="F4" s="487"/>
      <c r="G4" s="487"/>
      <c r="H4" s="487"/>
      <c r="I4" s="487"/>
      <c r="J4" s="33"/>
      <c r="K4" s="7"/>
      <c r="M4" s="33"/>
      <c r="N4" s="33"/>
    </row>
    <row r="5" spans="1:14" ht="25.5" customHeight="1">
      <c r="A5" s="1"/>
      <c r="B5" s="1675" t="s">
        <v>1103</v>
      </c>
      <c r="C5" s="1676"/>
      <c r="D5" s="1676"/>
      <c r="E5" s="1676"/>
      <c r="F5" s="1676"/>
      <c r="G5" s="1676"/>
      <c r="H5" s="1676"/>
      <c r="I5" s="1677"/>
      <c r="J5" s="33"/>
      <c r="K5" s="7"/>
      <c r="M5" s="33"/>
      <c r="N5" s="33"/>
    </row>
    <row r="6" spans="1:14" ht="15">
      <c r="A6" s="1"/>
      <c r="B6" s="487"/>
      <c r="C6" s="487"/>
      <c r="D6" s="487"/>
      <c r="E6" s="487"/>
      <c r="F6" s="487"/>
      <c r="G6" s="487"/>
      <c r="H6" s="490"/>
      <c r="I6" s="489"/>
      <c r="J6" s="33"/>
      <c r="K6" s="7"/>
      <c r="M6" s="33"/>
      <c r="N6" s="33"/>
    </row>
    <row r="7" spans="1:14" ht="15.75">
      <c r="A7" s="1"/>
      <c r="B7" s="488" t="s">
        <v>1</v>
      </c>
      <c r="C7" s="489"/>
      <c r="D7" s="487"/>
      <c r="E7" s="487"/>
      <c r="F7" s="487"/>
      <c r="G7" s="489"/>
      <c r="H7" s="490"/>
      <c r="I7" s="489"/>
      <c r="J7" s="33"/>
      <c r="K7" s="7"/>
      <c r="M7" s="33"/>
      <c r="N7" s="33"/>
    </row>
    <row r="8" spans="1:14" ht="15.75">
      <c r="A8" s="1"/>
      <c r="B8" s="1389" t="s">
        <v>1833</v>
      </c>
      <c r="C8" s="489"/>
      <c r="D8" s="487"/>
      <c r="E8" s="487"/>
      <c r="F8" s="487"/>
      <c r="G8" s="489"/>
      <c r="H8" s="490"/>
      <c r="I8" s="489"/>
      <c r="J8" s="33"/>
      <c r="K8" s="7"/>
      <c r="M8" s="33"/>
      <c r="N8" s="33"/>
    </row>
    <row r="9" spans="1:14" ht="15.75">
      <c r="A9" s="1"/>
      <c r="B9" s="491" t="s">
        <v>1535</v>
      </c>
      <c r="C9" s="489"/>
      <c r="D9" s="492"/>
      <c r="E9" s="487"/>
      <c r="F9" s="487"/>
      <c r="G9" s="489"/>
      <c r="H9" s="490"/>
      <c r="I9" s="489"/>
      <c r="J9" s="33"/>
      <c r="K9" s="7"/>
      <c r="M9" s="33"/>
      <c r="N9" s="33"/>
    </row>
    <row r="10" spans="1:14" ht="15.75">
      <c r="A10" s="1"/>
      <c r="B10" s="491" t="s">
        <v>1096</v>
      </c>
      <c r="C10" s="489"/>
      <c r="D10" s="492"/>
      <c r="E10" s="487"/>
      <c r="F10" s="487"/>
      <c r="G10" s="489"/>
      <c r="H10" s="490"/>
      <c r="I10" s="489"/>
      <c r="J10" s="33"/>
      <c r="K10" s="7"/>
      <c r="M10" s="33"/>
      <c r="N10" s="33"/>
    </row>
    <row r="11" spans="1:14" ht="15">
      <c r="A11" s="1"/>
      <c r="B11" s="489" t="s">
        <v>1095</v>
      </c>
      <c r="C11" s="489"/>
      <c r="D11" s="489"/>
      <c r="E11" s="489"/>
      <c r="F11" s="489"/>
      <c r="G11" s="489"/>
      <c r="H11" s="490"/>
      <c r="I11" s="489"/>
      <c r="J11" s="33"/>
      <c r="K11" s="7"/>
      <c r="M11" s="33"/>
      <c r="N11" s="33"/>
    </row>
    <row r="12" spans="1:14" ht="15">
      <c r="A12" s="1"/>
      <c r="B12" s="489"/>
      <c r="C12" s="489"/>
      <c r="D12" s="489"/>
      <c r="E12" s="489"/>
      <c r="F12" s="489"/>
      <c r="G12" s="489"/>
      <c r="H12" s="490"/>
      <c r="I12" s="489"/>
      <c r="J12" s="33"/>
      <c r="K12" s="7"/>
      <c r="M12" s="33"/>
      <c r="N12" s="33"/>
    </row>
    <row r="13" spans="1:14" ht="15.75">
      <c r="A13" s="1"/>
      <c r="B13" s="493" t="s">
        <v>3</v>
      </c>
      <c r="C13" s="488" t="s">
        <v>4</v>
      </c>
      <c r="D13" s="492"/>
      <c r="E13" s="492"/>
      <c r="F13" s="492"/>
      <c r="G13" s="492"/>
      <c r="H13" s="489"/>
      <c r="I13" s="489"/>
      <c r="J13" s="33"/>
      <c r="K13" s="7"/>
      <c r="M13" s="33"/>
      <c r="N13" s="33"/>
    </row>
    <row r="14" spans="1:14" ht="15.75">
      <c r="A14" s="1"/>
      <c r="B14" s="493" t="s">
        <v>5</v>
      </c>
      <c r="C14" s="488" t="s">
        <v>6</v>
      </c>
      <c r="D14" s="492"/>
      <c r="E14" s="492"/>
      <c r="F14" s="492"/>
      <c r="G14" s="492"/>
      <c r="H14" s="489"/>
      <c r="I14" s="489"/>
      <c r="J14" s="33"/>
      <c r="K14" s="7"/>
      <c r="M14" s="33"/>
      <c r="N14" s="33"/>
    </row>
    <row r="15" spans="1:14" ht="15" thickBot="1">
      <c r="A15" s="59"/>
      <c r="B15" s="294"/>
      <c r="C15" s="59"/>
      <c r="D15" s="59"/>
      <c r="E15" s="59"/>
      <c r="F15" s="59"/>
      <c r="G15" s="59"/>
      <c r="H15" s="59"/>
      <c r="J15" s="1"/>
      <c r="K15" s="7"/>
      <c r="M15" s="33"/>
      <c r="N15" s="33"/>
    </row>
    <row r="16" spans="1:15" ht="50.25" customHeight="1">
      <c r="A16" s="1588" t="s">
        <v>7</v>
      </c>
      <c r="B16" s="1591" t="s">
        <v>664</v>
      </c>
      <c r="C16" s="1594" t="s">
        <v>9</v>
      </c>
      <c r="D16" s="1594" t="s">
        <v>10</v>
      </c>
      <c r="E16" s="1574" t="s">
        <v>665</v>
      </c>
      <c r="F16" s="1574" t="s">
        <v>12</v>
      </c>
      <c r="G16" s="1594" t="s">
        <v>13</v>
      </c>
      <c r="H16" s="1574" t="s">
        <v>14</v>
      </c>
      <c r="I16" s="1574" t="s">
        <v>282</v>
      </c>
      <c r="J16" s="1574" t="s">
        <v>60</v>
      </c>
      <c r="K16" s="1583" t="s">
        <v>666</v>
      </c>
      <c r="L16" s="1640" t="s">
        <v>667</v>
      </c>
      <c r="M16" s="1634"/>
      <c r="N16" s="1634"/>
      <c r="O16" s="1641"/>
    </row>
    <row r="17" spans="1:15" ht="43.5" customHeight="1">
      <c r="A17" s="1589"/>
      <c r="B17" s="1592"/>
      <c r="C17" s="1595"/>
      <c r="D17" s="1595"/>
      <c r="E17" s="1575"/>
      <c r="F17" s="1575"/>
      <c r="G17" s="1595"/>
      <c r="H17" s="1575"/>
      <c r="I17" s="1613"/>
      <c r="J17" s="1575"/>
      <c r="K17" s="1584"/>
      <c r="L17" s="1597" t="s">
        <v>668</v>
      </c>
      <c r="M17" s="1568"/>
      <c r="N17" s="1568"/>
      <c r="O17" s="1598"/>
    </row>
    <row r="18" spans="1:15" ht="30" customHeight="1" thickBot="1">
      <c r="A18" s="1590"/>
      <c r="B18" s="1593"/>
      <c r="C18" s="1596"/>
      <c r="D18" s="1596"/>
      <c r="E18" s="1576"/>
      <c r="F18" s="1576"/>
      <c r="G18" s="1596"/>
      <c r="H18" s="1576"/>
      <c r="I18" s="1614"/>
      <c r="J18" s="1576"/>
      <c r="K18" s="1585"/>
      <c r="L18" s="270" t="s">
        <v>669</v>
      </c>
      <c r="M18" s="277" t="s">
        <v>670</v>
      </c>
      <c r="N18" s="277" t="s">
        <v>671</v>
      </c>
      <c r="O18" s="272" t="s">
        <v>17</v>
      </c>
    </row>
    <row r="19" spans="1:19" ht="18">
      <c r="A19" s="570" t="s">
        <v>27</v>
      </c>
      <c r="B19" s="3" t="s">
        <v>366</v>
      </c>
      <c r="C19" s="4" t="s">
        <v>621</v>
      </c>
      <c r="D19" s="4" t="s">
        <v>194</v>
      </c>
      <c r="E19" s="4" t="s">
        <v>893</v>
      </c>
      <c r="F19" s="4" t="s">
        <v>622</v>
      </c>
      <c r="G19" s="4" t="s">
        <v>621</v>
      </c>
      <c r="H19" s="719" t="s">
        <v>623</v>
      </c>
      <c r="I19" s="24">
        <v>39846</v>
      </c>
      <c r="J19" s="31" t="s">
        <v>67</v>
      </c>
      <c r="K19" s="8">
        <v>23</v>
      </c>
      <c r="L19" s="32"/>
      <c r="M19" s="34">
        <f>13893-13744</f>
        <v>149</v>
      </c>
      <c r="N19" s="34">
        <f>42437-41740</f>
        <v>697</v>
      </c>
      <c r="O19" s="34">
        <f aca="true" t="shared" si="0" ref="O19:O31">SUM(M19:N19)</f>
        <v>846</v>
      </c>
      <c r="P19" s="56"/>
      <c r="Q19" s="56"/>
      <c r="R19" s="56"/>
      <c r="S19" s="56"/>
    </row>
    <row r="20" spans="1:19" ht="18">
      <c r="A20" s="570" t="s">
        <v>27</v>
      </c>
      <c r="B20" s="3" t="s">
        <v>237</v>
      </c>
      <c r="C20" s="4" t="s">
        <v>624</v>
      </c>
      <c r="D20" s="4"/>
      <c r="E20" s="4" t="s">
        <v>889</v>
      </c>
      <c r="F20" s="4" t="s">
        <v>622</v>
      </c>
      <c r="G20" s="4" t="s">
        <v>621</v>
      </c>
      <c r="H20" s="719" t="s">
        <v>625</v>
      </c>
      <c r="I20" s="24">
        <v>70526307</v>
      </c>
      <c r="J20" s="31" t="s">
        <v>67</v>
      </c>
      <c r="K20" s="8">
        <v>7.5</v>
      </c>
      <c r="L20" s="32"/>
      <c r="M20" s="34">
        <f>99-99</f>
        <v>0</v>
      </c>
      <c r="N20" s="34">
        <f>153-151</f>
        <v>2</v>
      </c>
      <c r="O20" s="34">
        <f t="shared" si="0"/>
        <v>2</v>
      </c>
      <c r="P20" s="56"/>
      <c r="Q20" s="56"/>
      <c r="R20" s="56"/>
      <c r="S20" s="56"/>
    </row>
    <row r="21" spans="1:19" ht="18">
      <c r="A21" s="570" t="s">
        <v>27</v>
      </c>
      <c r="B21" s="3" t="s">
        <v>890</v>
      </c>
      <c r="C21" s="4" t="s">
        <v>621</v>
      </c>
      <c r="D21" s="4" t="s">
        <v>95</v>
      </c>
      <c r="E21" s="4">
        <v>1</v>
      </c>
      <c r="F21" s="4" t="s">
        <v>622</v>
      </c>
      <c r="G21" s="4" t="s">
        <v>621</v>
      </c>
      <c r="H21" s="719" t="s">
        <v>626</v>
      </c>
      <c r="I21" s="24">
        <v>15188</v>
      </c>
      <c r="J21" s="31" t="s">
        <v>67</v>
      </c>
      <c r="K21" s="8">
        <v>6.6</v>
      </c>
      <c r="L21" s="32"/>
      <c r="M21" s="34">
        <f>14342-14246</f>
        <v>96</v>
      </c>
      <c r="N21" s="34">
        <f>28047-27690</f>
        <v>357</v>
      </c>
      <c r="O21" s="34">
        <f t="shared" si="0"/>
        <v>453</v>
      </c>
      <c r="P21" s="56"/>
      <c r="Q21" s="56"/>
      <c r="R21" s="56"/>
      <c r="S21" s="56"/>
    </row>
    <row r="22" spans="1:19" ht="18">
      <c r="A22" s="570" t="s">
        <v>27</v>
      </c>
      <c r="B22" s="3" t="s">
        <v>239</v>
      </c>
      <c r="C22" s="4" t="s">
        <v>621</v>
      </c>
      <c r="D22" s="4" t="s">
        <v>95</v>
      </c>
      <c r="E22" s="4" t="s">
        <v>891</v>
      </c>
      <c r="F22" s="4" t="s">
        <v>622</v>
      </c>
      <c r="G22" s="4" t="s">
        <v>621</v>
      </c>
      <c r="H22" s="719" t="s">
        <v>627</v>
      </c>
      <c r="I22" s="24">
        <v>36650</v>
      </c>
      <c r="J22" s="31" t="s">
        <v>67</v>
      </c>
      <c r="K22" s="8">
        <v>9</v>
      </c>
      <c r="L22" s="32"/>
      <c r="M22" s="34">
        <f>67955-57602</f>
        <v>10353</v>
      </c>
      <c r="N22" s="34">
        <f>171166-143537</f>
        <v>27629</v>
      </c>
      <c r="O22" s="34">
        <f t="shared" si="0"/>
        <v>37982</v>
      </c>
      <c r="P22" s="56"/>
      <c r="Q22" s="56"/>
      <c r="R22" s="56"/>
      <c r="S22" s="56"/>
    </row>
    <row r="23" spans="1:19" ht="18">
      <c r="A23" s="570" t="s">
        <v>27</v>
      </c>
      <c r="B23" s="3" t="s">
        <v>239</v>
      </c>
      <c r="C23" s="4" t="s">
        <v>621</v>
      </c>
      <c r="D23" s="4" t="s">
        <v>95</v>
      </c>
      <c r="E23" s="4" t="s">
        <v>892</v>
      </c>
      <c r="F23" s="4" t="s">
        <v>622</v>
      </c>
      <c r="G23" s="4" t="s">
        <v>621</v>
      </c>
      <c r="H23" s="719" t="s">
        <v>628</v>
      </c>
      <c r="I23" s="24">
        <v>41894</v>
      </c>
      <c r="J23" s="31" t="s">
        <v>67</v>
      </c>
      <c r="K23" s="8">
        <v>4</v>
      </c>
      <c r="L23" s="32"/>
      <c r="M23" s="34">
        <f>7007-5830</f>
        <v>1177</v>
      </c>
      <c r="N23" s="34">
        <f>11971-9766</f>
        <v>2205</v>
      </c>
      <c r="O23" s="34">
        <f t="shared" si="0"/>
        <v>3382</v>
      </c>
      <c r="P23" s="56"/>
      <c r="Q23" s="56"/>
      <c r="R23" s="56"/>
      <c r="S23" s="56"/>
    </row>
    <row r="24" spans="1:19" ht="29.25">
      <c r="A24" s="570" t="s">
        <v>27</v>
      </c>
      <c r="B24" s="3" t="s">
        <v>269</v>
      </c>
      <c r="C24" s="4" t="s">
        <v>629</v>
      </c>
      <c r="D24" s="4"/>
      <c r="E24" s="4"/>
      <c r="F24" s="4" t="s">
        <v>622</v>
      </c>
      <c r="G24" s="4" t="s">
        <v>621</v>
      </c>
      <c r="H24" s="719" t="s">
        <v>888</v>
      </c>
      <c r="I24" s="24">
        <v>70526316</v>
      </c>
      <c r="J24" s="31" t="s">
        <v>67</v>
      </c>
      <c r="K24" s="8">
        <v>10</v>
      </c>
      <c r="L24" s="32"/>
      <c r="M24" s="34">
        <f>136601-114682</f>
        <v>21919</v>
      </c>
      <c r="N24" s="34">
        <f>436084-367888</f>
        <v>68196</v>
      </c>
      <c r="O24" s="34">
        <f t="shared" si="0"/>
        <v>90115</v>
      </c>
      <c r="P24" s="56"/>
      <c r="Q24" s="56"/>
      <c r="R24" s="56"/>
      <c r="S24" s="56"/>
    </row>
    <row r="25" spans="1:19" ht="18">
      <c r="A25" s="570" t="s">
        <v>27</v>
      </c>
      <c r="B25" s="3" t="s">
        <v>197</v>
      </c>
      <c r="C25" s="4" t="s">
        <v>630</v>
      </c>
      <c r="D25" s="4"/>
      <c r="E25" s="4" t="s">
        <v>889</v>
      </c>
      <c r="F25" s="4" t="s">
        <v>622</v>
      </c>
      <c r="G25" s="4" t="s">
        <v>621</v>
      </c>
      <c r="H25" s="719" t="s">
        <v>631</v>
      </c>
      <c r="I25" s="24">
        <v>39867</v>
      </c>
      <c r="J25" s="31" t="s">
        <v>67</v>
      </c>
      <c r="K25" s="8">
        <v>3.5</v>
      </c>
      <c r="L25" s="32"/>
      <c r="M25" s="34">
        <f>228-202</f>
        <v>26</v>
      </c>
      <c r="N25" s="34">
        <f>483-429</f>
        <v>54</v>
      </c>
      <c r="O25" s="34">
        <f t="shared" si="0"/>
        <v>80</v>
      </c>
      <c r="P25" s="56"/>
      <c r="Q25" s="56"/>
      <c r="R25" s="56"/>
      <c r="S25" s="56"/>
    </row>
    <row r="26" spans="1:19" ht="18">
      <c r="A26" s="570" t="s">
        <v>27</v>
      </c>
      <c r="B26" s="3" t="s">
        <v>197</v>
      </c>
      <c r="C26" s="4" t="s">
        <v>632</v>
      </c>
      <c r="D26" s="4"/>
      <c r="E26" s="4" t="s">
        <v>894</v>
      </c>
      <c r="F26" s="4" t="s">
        <v>622</v>
      </c>
      <c r="G26" s="4" t="s">
        <v>621</v>
      </c>
      <c r="H26" s="719" t="s">
        <v>633</v>
      </c>
      <c r="I26" s="24">
        <v>39864</v>
      </c>
      <c r="J26" s="31" t="s">
        <v>67</v>
      </c>
      <c r="K26" s="8">
        <v>1</v>
      </c>
      <c r="L26" s="32"/>
      <c r="M26" s="34">
        <f>309-309</f>
        <v>0</v>
      </c>
      <c r="N26" s="34">
        <f>671-671</f>
        <v>0</v>
      </c>
      <c r="O26" s="34">
        <f t="shared" si="0"/>
        <v>0</v>
      </c>
      <c r="P26" s="56"/>
      <c r="Q26" s="56"/>
      <c r="R26" s="56"/>
      <c r="S26" s="56"/>
    </row>
    <row r="27" spans="1:19" ht="18">
      <c r="A27" s="570" t="s">
        <v>27</v>
      </c>
      <c r="B27" s="3" t="s">
        <v>197</v>
      </c>
      <c r="C27" s="4" t="s">
        <v>634</v>
      </c>
      <c r="D27" s="4"/>
      <c r="E27" s="4" t="s">
        <v>895</v>
      </c>
      <c r="F27" s="4" t="s">
        <v>622</v>
      </c>
      <c r="G27" s="4" t="s">
        <v>621</v>
      </c>
      <c r="H27" s="719" t="s">
        <v>635</v>
      </c>
      <c r="I27" s="24">
        <v>39870</v>
      </c>
      <c r="J27" s="31" t="s">
        <v>67</v>
      </c>
      <c r="K27" s="8">
        <v>6</v>
      </c>
      <c r="L27" s="32"/>
      <c r="M27" s="34">
        <f>593-525</f>
        <v>68</v>
      </c>
      <c r="N27" s="34">
        <f>1590-1309</f>
        <v>281</v>
      </c>
      <c r="O27" s="34">
        <f t="shared" si="0"/>
        <v>349</v>
      </c>
      <c r="P27" s="56"/>
      <c r="Q27" s="56"/>
      <c r="R27" s="56"/>
      <c r="S27" s="56"/>
    </row>
    <row r="28" spans="1:19" ht="18">
      <c r="A28" s="570" t="s">
        <v>27</v>
      </c>
      <c r="B28" s="3" t="s">
        <v>197</v>
      </c>
      <c r="C28" s="4" t="s">
        <v>636</v>
      </c>
      <c r="D28" s="4"/>
      <c r="E28" s="4" t="s">
        <v>889</v>
      </c>
      <c r="F28" s="4" t="s">
        <v>622</v>
      </c>
      <c r="G28" s="4" t="s">
        <v>621</v>
      </c>
      <c r="H28" s="719" t="s">
        <v>637</v>
      </c>
      <c r="I28" s="24">
        <v>39871</v>
      </c>
      <c r="J28" s="31" t="s">
        <v>67</v>
      </c>
      <c r="K28" s="8">
        <v>16</v>
      </c>
      <c r="L28" s="32"/>
      <c r="M28" s="34">
        <f>2718-2479</f>
        <v>239</v>
      </c>
      <c r="N28" s="34">
        <f>5617-5062</f>
        <v>555</v>
      </c>
      <c r="O28" s="34">
        <f t="shared" si="0"/>
        <v>794</v>
      </c>
      <c r="P28" s="56"/>
      <c r="Q28" s="56"/>
      <c r="R28" s="56"/>
      <c r="S28" s="56"/>
    </row>
    <row r="29" spans="1:19" ht="18">
      <c r="A29" s="570" t="s">
        <v>27</v>
      </c>
      <c r="B29" s="3" t="s">
        <v>197</v>
      </c>
      <c r="C29" s="4" t="s">
        <v>636</v>
      </c>
      <c r="D29" s="4"/>
      <c r="E29" s="4" t="s">
        <v>895</v>
      </c>
      <c r="F29" s="4" t="s">
        <v>622</v>
      </c>
      <c r="G29" s="4" t="s">
        <v>621</v>
      </c>
      <c r="H29" s="719" t="s">
        <v>638</v>
      </c>
      <c r="I29" s="24">
        <v>39866</v>
      </c>
      <c r="J29" s="31" t="s">
        <v>67</v>
      </c>
      <c r="K29" s="8">
        <v>10</v>
      </c>
      <c r="L29" s="32"/>
      <c r="M29" s="34">
        <f>330-266</f>
        <v>64</v>
      </c>
      <c r="N29" s="34">
        <f>1053-863</f>
        <v>190</v>
      </c>
      <c r="O29" s="34">
        <f t="shared" si="0"/>
        <v>254</v>
      </c>
      <c r="P29" s="56"/>
      <c r="Q29" s="56"/>
      <c r="R29" s="56"/>
      <c r="S29" s="56"/>
    </row>
    <row r="30" spans="1:19" ht="18">
      <c r="A30" s="570" t="s">
        <v>27</v>
      </c>
      <c r="B30" s="3" t="s">
        <v>197</v>
      </c>
      <c r="C30" s="4" t="s">
        <v>639</v>
      </c>
      <c r="D30" s="4"/>
      <c r="E30" s="4" t="s">
        <v>889</v>
      </c>
      <c r="F30" s="4" t="s">
        <v>622</v>
      </c>
      <c r="G30" s="4" t="s">
        <v>621</v>
      </c>
      <c r="H30" s="719" t="s">
        <v>640</v>
      </c>
      <c r="I30" s="24">
        <v>39869</v>
      </c>
      <c r="J30" s="31" t="s">
        <v>67</v>
      </c>
      <c r="K30" s="8">
        <v>4</v>
      </c>
      <c r="L30" s="32"/>
      <c r="M30" s="34">
        <f>680-616</f>
        <v>64</v>
      </c>
      <c r="N30" s="34">
        <f>1680-1542</f>
        <v>138</v>
      </c>
      <c r="O30" s="34">
        <f t="shared" si="0"/>
        <v>202</v>
      </c>
      <c r="P30" s="56"/>
      <c r="Q30" s="56"/>
      <c r="R30" s="56"/>
      <c r="S30" s="56"/>
    </row>
    <row r="31" spans="1:19" ht="29.25">
      <c r="A31" s="570" t="s">
        <v>27</v>
      </c>
      <c r="B31" s="3" t="s">
        <v>147</v>
      </c>
      <c r="C31" s="4" t="s">
        <v>621</v>
      </c>
      <c r="D31" s="4" t="s">
        <v>641</v>
      </c>
      <c r="E31" s="4"/>
      <c r="F31" s="4" t="s">
        <v>622</v>
      </c>
      <c r="G31" s="4" t="s">
        <v>621</v>
      </c>
      <c r="H31" s="719" t="s">
        <v>642</v>
      </c>
      <c r="I31" s="24">
        <v>10220</v>
      </c>
      <c r="J31" s="31" t="s">
        <v>67</v>
      </c>
      <c r="K31" s="8">
        <v>4</v>
      </c>
      <c r="L31" s="32"/>
      <c r="M31" s="34">
        <f>11464-10591</f>
        <v>873</v>
      </c>
      <c r="N31" s="34">
        <f>16129-13937</f>
        <v>2192</v>
      </c>
      <c r="O31" s="34">
        <f t="shared" si="0"/>
        <v>3065</v>
      </c>
      <c r="P31" s="56"/>
      <c r="Q31" s="56"/>
      <c r="R31" s="56"/>
      <c r="S31" s="56"/>
    </row>
    <row r="32" spans="1:19" ht="29.25">
      <c r="A32" s="570" t="s">
        <v>27</v>
      </c>
      <c r="B32" s="3" t="s">
        <v>643</v>
      </c>
      <c r="C32" s="4" t="s">
        <v>644</v>
      </c>
      <c r="D32" s="4"/>
      <c r="E32" s="4"/>
      <c r="F32" s="4" t="s">
        <v>622</v>
      </c>
      <c r="G32" s="4" t="s">
        <v>621</v>
      </c>
      <c r="H32" s="719" t="s">
        <v>645</v>
      </c>
      <c r="I32" s="24">
        <v>557037</v>
      </c>
      <c r="J32" s="389" t="s">
        <v>22</v>
      </c>
      <c r="K32" s="8">
        <v>40</v>
      </c>
      <c r="L32" s="34">
        <f>(10079.5-9381.68)*15</f>
        <v>10467.299999999996</v>
      </c>
      <c r="M32" s="35"/>
      <c r="N32" s="35"/>
      <c r="O32" s="34">
        <f>L32</f>
        <v>10467.299999999996</v>
      </c>
      <c r="P32" s="56"/>
      <c r="Q32" s="56"/>
      <c r="R32" s="56"/>
      <c r="S32" s="56"/>
    </row>
    <row r="33" spans="1:19" s="27" customFormat="1" ht="29.25">
      <c r="A33" s="570" t="s">
        <v>27</v>
      </c>
      <c r="B33" s="25" t="s">
        <v>643</v>
      </c>
      <c r="C33" s="24" t="s">
        <v>621</v>
      </c>
      <c r="D33" s="24" t="s">
        <v>233</v>
      </c>
      <c r="E33" s="24"/>
      <c r="F33" s="24" t="s">
        <v>622</v>
      </c>
      <c r="G33" s="24" t="s">
        <v>621</v>
      </c>
      <c r="H33" s="719" t="s">
        <v>646</v>
      </c>
      <c r="I33" s="24">
        <v>624591</v>
      </c>
      <c r="J33" s="400" t="s">
        <v>22</v>
      </c>
      <c r="K33" s="26">
        <v>102</v>
      </c>
      <c r="L33" s="36">
        <f>(27063.4-22355.7)*30</f>
        <v>141231.00000000003</v>
      </c>
      <c r="M33" s="35"/>
      <c r="N33" s="35"/>
      <c r="O33" s="36">
        <f>L33</f>
        <v>141231.00000000003</v>
      </c>
      <c r="P33" s="56"/>
      <c r="Q33" s="59"/>
      <c r="R33" s="59"/>
      <c r="S33" s="59"/>
    </row>
    <row r="34" spans="1:19" ht="29.25">
      <c r="A34" s="570" t="s">
        <v>27</v>
      </c>
      <c r="B34" s="3" t="s">
        <v>264</v>
      </c>
      <c r="C34" s="4" t="s">
        <v>639</v>
      </c>
      <c r="D34" s="4"/>
      <c r="E34" s="4" t="s">
        <v>895</v>
      </c>
      <c r="F34" s="4" t="s">
        <v>622</v>
      </c>
      <c r="G34" s="4" t="s">
        <v>621</v>
      </c>
      <c r="H34" s="719" t="s">
        <v>647</v>
      </c>
      <c r="I34" s="24">
        <v>613842</v>
      </c>
      <c r="J34" s="31" t="s">
        <v>67</v>
      </c>
      <c r="K34" s="8">
        <v>25</v>
      </c>
      <c r="L34" s="32"/>
      <c r="M34" s="34">
        <f>(6426.45-5762.91)*15</f>
        <v>9953.099999999999</v>
      </c>
      <c r="N34" s="34">
        <f>(18468.83-16470.8)*15</f>
        <v>29970.450000000037</v>
      </c>
      <c r="O34" s="34">
        <f>SUM(M34:N34)</f>
        <v>39923.55000000003</v>
      </c>
      <c r="P34" s="56"/>
      <c r="Q34" s="56"/>
      <c r="R34" s="56"/>
      <c r="S34" s="56"/>
    </row>
    <row r="35" spans="1:19" ht="29.25">
      <c r="A35" s="570" t="s">
        <v>27</v>
      </c>
      <c r="B35" s="3" t="s">
        <v>507</v>
      </c>
      <c r="C35" s="4" t="s">
        <v>630</v>
      </c>
      <c r="D35" s="4"/>
      <c r="E35" s="4" t="s">
        <v>894</v>
      </c>
      <c r="F35" s="4" t="s">
        <v>622</v>
      </c>
      <c r="G35" s="4" t="s">
        <v>621</v>
      </c>
      <c r="H35" s="719" t="s">
        <v>648</v>
      </c>
      <c r="I35" s="24">
        <v>39872</v>
      </c>
      <c r="J35" s="31" t="s">
        <v>67</v>
      </c>
      <c r="K35" s="8">
        <v>3</v>
      </c>
      <c r="L35" s="32"/>
      <c r="M35" s="34">
        <f>36-25</f>
        <v>11</v>
      </c>
      <c r="N35" s="34">
        <f>172-114</f>
        <v>58</v>
      </c>
      <c r="O35" s="34">
        <f>SUM(M35:N35)</f>
        <v>69</v>
      </c>
      <c r="P35" s="56"/>
      <c r="Q35" s="56"/>
      <c r="R35" s="56"/>
      <c r="S35" s="56"/>
    </row>
    <row r="36" spans="1:19" ht="29.25">
      <c r="A36" s="570" t="s">
        <v>27</v>
      </c>
      <c r="B36" s="3" t="s">
        <v>147</v>
      </c>
      <c r="C36" s="4" t="s">
        <v>621</v>
      </c>
      <c r="D36" s="4" t="s">
        <v>233</v>
      </c>
      <c r="E36" s="4" t="s">
        <v>650</v>
      </c>
      <c r="F36" s="4" t="s">
        <v>622</v>
      </c>
      <c r="G36" s="4" t="s">
        <v>621</v>
      </c>
      <c r="H36" s="719" t="s">
        <v>651</v>
      </c>
      <c r="I36" s="24">
        <v>8558</v>
      </c>
      <c r="J36" s="31" t="s">
        <v>67</v>
      </c>
      <c r="K36" s="8">
        <v>7.5</v>
      </c>
      <c r="L36" s="32"/>
      <c r="M36" s="34">
        <f>16620-15057</f>
        <v>1563</v>
      </c>
      <c r="N36" s="34">
        <f>37824-33860</f>
        <v>3964</v>
      </c>
      <c r="O36" s="34">
        <f>SUM(M36:N36)</f>
        <v>5527</v>
      </c>
      <c r="P36" s="56"/>
      <c r="Q36" s="56"/>
      <c r="R36" s="56"/>
      <c r="S36" s="56"/>
    </row>
    <row r="37" spans="1:19" ht="29.25">
      <c r="A37" s="570" t="s">
        <v>27</v>
      </c>
      <c r="B37" s="3" t="s">
        <v>147</v>
      </c>
      <c r="C37" s="4" t="s">
        <v>652</v>
      </c>
      <c r="D37" s="4"/>
      <c r="E37" s="4"/>
      <c r="F37" s="4" t="s">
        <v>622</v>
      </c>
      <c r="G37" s="4" t="s">
        <v>621</v>
      </c>
      <c r="H37" s="719" t="s">
        <v>653</v>
      </c>
      <c r="I37" s="24">
        <v>879950</v>
      </c>
      <c r="J37" s="31" t="s">
        <v>67</v>
      </c>
      <c r="K37" s="8">
        <v>7</v>
      </c>
      <c r="L37" s="32"/>
      <c r="M37" s="34">
        <f>7150-6753</f>
        <v>397</v>
      </c>
      <c r="N37" s="34">
        <f>3359-2215</f>
        <v>1144</v>
      </c>
      <c r="O37" s="34">
        <f>SUM(M37:N37)</f>
        <v>1541</v>
      </c>
      <c r="P37" s="56"/>
      <c r="Q37" s="56"/>
      <c r="R37" s="56"/>
      <c r="S37" s="56"/>
    </row>
    <row r="38" spans="1:19" ht="18">
      <c r="A38" s="570" t="s">
        <v>27</v>
      </c>
      <c r="B38" s="9" t="s">
        <v>654</v>
      </c>
      <c r="C38" s="6" t="s">
        <v>655</v>
      </c>
      <c r="D38" s="6"/>
      <c r="E38" s="4">
        <v>31</v>
      </c>
      <c r="F38" s="4" t="s">
        <v>622</v>
      </c>
      <c r="G38" s="4" t="s">
        <v>621</v>
      </c>
      <c r="H38" s="719" t="s">
        <v>656</v>
      </c>
      <c r="I38" s="24">
        <v>44918</v>
      </c>
      <c r="J38" s="31" t="s">
        <v>67</v>
      </c>
      <c r="K38" s="8">
        <v>2</v>
      </c>
      <c r="L38" s="32"/>
      <c r="M38" s="34">
        <f>10369-8167</f>
        <v>2202</v>
      </c>
      <c r="N38" s="34">
        <f>25190-19840</f>
        <v>5350</v>
      </c>
      <c r="O38" s="34">
        <f>SUM(M38:N38)</f>
        <v>7552</v>
      </c>
      <c r="P38" s="56"/>
      <c r="Q38" s="56"/>
      <c r="R38" s="56"/>
      <c r="S38" s="56"/>
    </row>
    <row r="39" spans="1:15" ht="20.25">
      <c r="A39" s="707" t="s">
        <v>27</v>
      </c>
      <c r="B39" s="668" t="s">
        <v>896</v>
      </c>
      <c r="C39" s="626" t="s">
        <v>621</v>
      </c>
      <c r="D39" s="3" t="s">
        <v>233</v>
      </c>
      <c r="E39" s="48">
        <v>1</v>
      </c>
      <c r="F39" s="4" t="s">
        <v>622</v>
      </c>
      <c r="G39" s="4" t="s">
        <v>621</v>
      </c>
      <c r="H39" s="719" t="s">
        <v>1253</v>
      </c>
      <c r="I39" s="4">
        <v>317631</v>
      </c>
      <c r="J39" s="398" t="s">
        <v>29</v>
      </c>
      <c r="K39" s="8">
        <v>8</v>
      </c>
      <c r="L39" s="34">
        <f>69667-48425</f>
        <v>21242</v>
      </c>
      <c r="M39" s="35"/>
      <c r="N39" s="35"/>
      <c r="O39" s="34">
        <f>L39</f>
        <v>21242</v>
      </c>
    </row>
    <row r="40" spans="1:16" ht="18.75" thickBot="1">
      <c r="A40" s="570" t="s">
        <v>27</v>
      </c>
      <c r="B40" s="9" t="s">
        <v>273</v>
      </c>
      <c r="C40" s="6" t="s">
        <v>621</v>
      </c>
      <c r="D40" s="6" t="s">
        <v>1254</v>
      </c>
      <c r="E40" s="4"/>
      <c r="F40" s="4" t="s">
        <v>622</v>
      </c>
      <c r="G40" s="6" t="s">
        <v>621</v>
      </c>
      <c r="H40" s="1293"/>
      <c r="I40" s="24">
        <v>90113889</v>
      </c>
      <c r="J40" s="398" t="s">
        <v>29</v>
      </c>
      <c r="K40" s="8">
        <v>5</v>
      </c>
      <c r="L40" s="34">
        <v>300</v>
      </c>
      <c r="M40" s="35"/>
      <c r="N40" s="35"/>
      <c r="O40" s="34">
        <f>L40</f>
        <v>300</v>
      </c>
      <c r="P40" s="1116"/>
    </row>
    <row r="41" spans="2:15" ht="15">
      <c r="B41" s="1297" t="s">
        <v>23</v>
      </c>
      <c r="C41" s="125" t="s">
        <v>896</v>
      </c>
      <c r="D41" s="44"/>
      <c r="E41" s="267"/>
      <c r="F41" s="267"/>
      <c r="G41" s="1294" t="s">
        <v>1719</v>
      </c>
      <c r="H41" s="1295" t="s">
        <v>1793</v>
      </c>
      <c r="N41" s="187" t="s">
        <v>24</v>
      </c>
      <c r="O41" s="585">
        <f>SUM(O19:O40)</f>
        <v>365376.8500000001</v>
      </c>
    </row>
    <row r="42" spans="2:14" ht="15">
      <c r="B42" s="13"/>
      <c r="C42" s="45" t="s">
        <v>897</v>
      </c>
      <c r="D42" s="42"/>
      <c r="E42" s="267"/>
      <c r="F42" s="267"/>
      <c r="G42" s="13"/>
      <c r="H42" s="1296" t="s">
        <v>897</v>
      </c>
      <c r="M42" s="33"/>
      <c r="N42" s="33"/>
    </row>
    <row r="43" spans="2:8" ht="15">
      <c r="B43" s="13"/>
      <c r="C43" s="113" t="s">
        <v>657</v>
      </c>
      <c r="D43" s="42"/>
      <c r="E43" s="267"/>
      <c r="F43" s="267"/>
      <c r="G43" s="13"/>
      <c r="H43" s="1296" t="s">
        <v>657</v>
      </c>
    </row>
    <row r="44" spans="2:8" ht="15.75" thickBot="1">
      <c r="B44" s="447" t="s">
        <v>169</v>
      </c>
      <c r="C44" s="116" t="s">
        <v>1794</v>
      </c>
      <c r="D44" s="43"/>
      <c r="E44" s="267"/>
      <c r="F44" s="267"/>
      <c r="G44" s="73"/>
      <c r="H44" s="18"/>
    </row>
    <row r="45" spans="1:10" ht="15">
      <c r="A45" s="295"/>
      <c r="B45" s="20"/>
      <c r="C45" s="14"/>
      <c r="D45" s="14"/>
      <c r="J45" s="295"/>
    </row>
    <row r="46" ht="15" thickBot="1"/>
    <row r="47" spans="1:15" ht="48.75" customHeight="1">
      <c r="A47" s="1588" t="s">
        <v>7</v>
      </c>
      <c r="B47" s="1591" t="s">
        <v>664</v>
      </c>
      <c r="C47" s="1594" t="s">
        <v>9</v>
      </c>
      <c r="D47" s="1594" t="s">
        <v>10</v>
      </c>
      <c r="E47" s="1574" t="s">
        <v>665</v>
      </c>
      <c r="F47" s="1574" t="s">
        <v>12</v>
      </c>
      <c r="G47" s="1594" t="s">
        <v>13</v>
      </c>
      <c r="H47" s="1574" t="s">
        <v>14</v>
      </c>
      <c r="I47" s="1574" t="s">
        <v>282</v>
      </c>
      <c r="J47" s="1574" t="s">
        <v>60</v>
      </c>
      <c r="K47" s="1583" t="s">
        <v>666</v>
      </c>
      <c r="L47" s="1640" t="s">
        <v>667</v>
      </c>
      <c r="M47" s="1634"/>
      <c r="N47" s="1634"/>
      <c r="O47" s="1641"/>
    </row>
    <row r="48" spans="1:15" ht="43.5" customHeight="1">
      <c r="A48" s="1589"/>
      <c r="B48" s="1592"/>
      <c r="C48" s="1595"/>
      <c r="D48" s="1595"/>
      <c r="E48" s="1575"/>
      <c r="F48" s="1575"/>
      <c r="G48" s="1595"/>
      <c r="H48" s="1575"/>
      <c r="I48" s="1613"/>
      <c r="J48" s="1575"/>
      <c r="K48" s="1584"/>
      <c r="L48" s="1597" t="s">
        <v>668</v>
      </c>
      <c r="M48" s="1568"/>
      <c r="N48" s="1568"/>
      <c r="O48" s="1598"/>
    </row>
    <row r="49" spans="1:19" ht="27.75" customHeight="1" thickBot="1">
      <c r="A49" s="1590"/>
      <c r="B49" s="1593"/>
      <c r="C49" s="1596"/>
      <c r="D49" s="1596"/>
      <c r="E49" s="1576"/>
      <c r="F49" s="1576"/>
      <c r="G49" s="1596"/>
      <c r="H49" s="1576"/>
      <c r="I49" s="1614"/>
      <c r="J49" s="1576"/>
      <c r="K49" s="1585"/>
      <c r="L49" s="270" t="s">
        <v>669</v>
      </c>
      <c r="M49" s="277" t="s">
        <v>670</v>
      </c>
      <c r="N49" s="277" t="s">
        <v>671</v>
      </c>
      <c r="O49" s="272" t="s">
        <v>17</v>
      </c>
      <c r="P49" s="56"/>
      <c r="Q49" s="56"/>
      <c r="R49" s="56"/>
      <c r="S49" s="56"/>
    </row>
    <row r="50" spans="1:19" ht="29.25">
      <c r="A50" s="570" t="s">
        <v>27</v>
      </c>
      <c r="B50" s="3" t="s">
        <v>163</v>
      </c>
      <c r="C50" s="4" t="s">
        <v>621</v>
      </c>
      <c r="D50" s="4" t="s">
        <v>172</v>
      </c>
      <c r="E50" s="4">
        <v>3</v>
      </c>
      <c r="F50" s="4" t="s">
        <v>622</v>
      </c>
      <c r="G50" s="4" t="s">
        <v>621</v>
      </c>
      <c r="H50" s="719" t="s">
        <v>658</v>
      </c>
      <c r="I50" s="24">
        <v>50436086</v>
      </c>
      <c r="J50" s="389" t="s">
        <v>22</v>
      </c>
      <c r="K50" s="8">
        <v>147</v>
      </c>
      <c r="L50" s="34">
        <f>(2700-1160)*60</f>
        <v>92400</v>
      </c>
      <c r="M50" s="35"/>
      <c r="N50" s="35"/>
      <c r="O50" s="34">
        <f>L50</f>
        <v>92400</v>
      </c>
      <c r="P50" s="56"/>
      <c r="Q50" s="56"/>
      <c r="R50" s="56"/>
      <c r="S50" s="56"/>
    </row>
    <row r="51" spans="1:19" ht="29.25">
      <c r="A51" s="570" t="s">
        <v>27</v>
      </c>
      <c r="B51" s="3" t="s">
        <v>659</v>
      </c>
      <c r="C51" s="4" t="s">
        <v>621</v>
      </c>
      <c r="D51" s="4" t="s">
        <v>194</v>
      </c>
      <c r="E51" s="4" t="s">
        <v>987</v>
      </c>
      <c r="F51" s="4" t="s">
        <v>622</v>
      </c>
      <c r="G51" s="4" t="s">
        <v>621</v>
      </c>
      <c r="H51" s="719" t="s">
        <v>660</v>
      </c>
      <c r="I51" s="24">
        <v>14141</v>
      </c>
      <c r="J51" s="31" t="s">
        <v>67</v>
      </c>
      <c r="K51" s="8">
        <v>8</v>
      </c>
      <c r="L51" s="35"/>
      <c r="M51" s="34">
        <f>11081-10194</f>
        <v>887</v>
      </c>
      <c r="N51" s="34">
        <f>18460-15884</f>
        <v>2576</v>
      </c>
      <c r="O51" s="34">
        <f>SUM(M51:N51)</f>
        <v>3463</v>
      </c>
      <c r="P51" s="56"/>
      <c r="Q51" s="56"/>
      <c r="R51" s="56"/>
      <c r="S51" s="56"/>
    </row>
    <row r="52" spans="1:19" ht="29.25">
      <c r="A52" s="570" t="s">
        <v>27</v>
      </c>
      <c r="B52" s="3" t="s">
        <v>163</v>
      </c>
      <c r="C52" s="4" t="s">
        <v>655</v>
      </c>
      <c r="D52" s="4"/>
      <c r="E52" s="4" t="s">
        <v>894</v>
      </c>
      <c r="F52" s="4" t="s">
        <v>622</v>
      </c>
      <c r="G52" s="4" t="s">
        <v>621</v>
      </c>
      <c r="H52" s="719" t="s">
        <v>661</v>
      </c>
      <c r="I52" s="24">
        <v>70526239</v>
      </c>
      <c r="J52" s="31" t="s">
        <v>67</v>
      </c>
      <c r="K52" s="8">
        <v>5</v>
      </c>
      <c r="L52" s="35"/>
      <c r="M52" s="34">
        <f>14956-12502</f>
        <v>2454</v>
      </c>
      <c r="N52" s="34">
        <f>32032-25809</f>
        <v>6223</v>
      </c>
      <c r="O52" s="34">
        <f>SUM(M52:N52)</f>
        <v>8677</v>
      </c>
      <c r="P52" s="56"/>
      <c r="Q52" s="56"/>
      <c r="R52" s="56"/>
      <c r="S52" s="56"/>
    </row>
    <row r="53" spans="1:19" ht="29.25">
      <c r="A53" s="570" t="s">
        <v>27</v>
      </c>
      <c r="B53" s="3" t="s">
        <v>163</v>
      </c>
      <c r="C53" s="4" t="s">
        <v>644</v>
      </c>
      <c r="D53" s="4"/>
      <c r="E53" s="4" t="s">
        <v>889</v>
      </c>
      <c r="F53" s="4" t="s">
        <v>622</v>
      </c>
      <c r="G53" s="4" t="s">
        <v>621</v>
      </c>
      <c r="H53" s="719" t="s">
        <v>662</v>
      </c>
      <c r="I53" s="24">
        <v>41707</v>
      </c>
      <c r="J53" s="31" t="s">
        <v>67</v>
      </c>
      <c r="K53" s="8">
        <v>4</v>
      </c>
      <c r="L53" s="35"/>
      <c r="M53" s="34">
        <f>3047-2533</f>
        <v>514</v>
      </c>
      <c r="N53" s="34">
        <f>5674-4859</f>
        <v>815</v>
      </c>
      <c r="O53" s="34">
        <f>SUM(M53:N53)</f>
        <v>1329</v>
      </c>
      <c r="P53" s="56"/>
      <c r="Q53" s="56"/>
      <c r="R53" s="56"/>
      <c r="S53" s="56"/>
    </row>
    <row r="54" spans="1:19" ht="29.25">
      <c r="A54" s="570" t="s">
        <v>27</v>
      </c>
      <c r="B54" s="3" t="s">
        <v>163</v>
      </c>
      <c r="C54" s="4" t="s">
        <v>644</v>
      </c>
      <c r="D54" s="4"/>
      <c r="E54" s="4">
        <v>51</v>
      </c>
      <c r="F54" s="4" t="s">
        <v>622</v>
      </c>
      <c r="G54" s="4" t="s">
        <v>621</v>
      </c>
      <c r="H54" s="719" t="s">
        <v>663</v>
      </c>
      <c r="I54" s="24">
        <v>70526244</v>
      </c>
      <c r="J54" s="31" t="s">
        <v>67</v>
      </c>
      <c r="K54" s="8">
        <v>5</v>
      </c>
      <c r="L54" s="35"/>
      <c r="M54" s="34">
        <f>14874-12385</f>
        <v>2489</v>
      </c>
      <c r="N54" s="34">
        <f>31082-25795</f>
        <v>5287</v>
      </c>
      <c r="O54" s="34">
        <f>SUM(M54:N54)</f>
        <v>7776</v>
      </c>
      <c r="P54" s="56"/>
      <c r="Q54" s="56"/>
      <c r="R54" s="56"/>
      <c r="S54" s="56"/>
    </row>
    <row r="55" spans="1:19" ht="30" thickBot="1">
      <c r="A55" s="570" t="s">
        <v>27</v>
      </c>
      <c r="B55" s="9" t="s">
        <v>163</v>
      </c>
      <c r="C55" s="6" t="s">
        <v>655</v>
      </c>
      <c r="D55" s="6"/>
      <c r="E55" s="4" t="s">
        <v>895</v>
      </c>
      <c r="F55" s="4" t="s">
        <v>622</v>
      </c>
      <c r="G55" s="4" t="s">
        <v>621</v>
      </c>
      <c r="H55" s="720" t="s">
        <v>681</v>
      </c>
      <c r="I55" s="24">
        <v>37031</v>
      </c>
      <c r="J55" s="31" t="s">
        <v>67</v>
      </c>
      <c r="K55" s="8">
        <v>3</v>
      </c>
      <c r="L55" s="35"/>
      <c r="M55" s="34">
        <f>1009-863</f>
        <v>146</v>
      </c>
      <c r="N55" s="34">
        <f>1148-968</f>
        <v>180</v>
      </c>
      <c r="O55" s="34">
        <f>SUM(M55:N55)</f>
        <v>326</v>
      </c>
      <c r="P55" s="56"/>
      <c r="Q55" s="56"/>
      <c r="R55" s="56"/>
      <c r="S55" s="56"/>
    </row>
    <row r="56" spans="2:19" ht="21.75" customHeight="1">
      <c r="B56" s="1297" t="s">
        <v>23</v>
      </c>
      <c r="C56" s="125" t="s">
        <v>896</v>
      </c>
      <c r="D56" s="44"/>
      <c r="E56" s="267"/>
      <c r="F56" s="267"/>
      <c r="G56" s="1294" t="s">
        <v>1719</v>
      </c>
      <c r="H56" s="1295" t="s">
        <v>1793</v>
      </c>
      <c r="M56" s="33"/>
      <c r="N56" s="34" t="s">
        <v>24</v>
      </c>
      <c r="O56" s="574">
        <f>SUM(O50:O55)</f>
        <v>113971</v>
      </c>
      <c r="P56" s="56"/>
      <c r="Q56" s="56"/>
      <c r="R56" s="56"/>
      <c r="S56" s="56"/>
    </row>
    <row r="57" spans="2:8" ht="15">
      <c r="B57" s="13"/>
      <c r="C57" s="45" t="s">
        <v>897</v>
      </c>
      <c r="D57" s="42"/>
      <c r="E57" s="267"/>
      <c r="F57" s="267"/>
      <c r="G57" s="13"/>
      <c r="H57" s="1296" t="s">
        <v>897</v>
      </c>
    </row>
    <row r="58" spans="1:10" ht="15">
      <c r="A58" s="295"/>
      <c r="B58" s="13"/>
      <c r="C58" s="113" t="s">
        <v>657</v>
      </c>
      <c r="D58" s="42"/>
      <c r="E58" s="267"/>
      <c r="F58" s="267"/>
      <c r="G58" s="13"/>
      <c r="H58" s="1296" t="s">
        <v>657</v>
      </c>
      <c r="J58" s="295"/>
    </row>
    <row r="59" spans="1:10" ht="15.75" thickBot="1">
      <c r="A59" s="295"/>
      <c r="B59" s="447" t="s">
        <v>169</v>
      </c>
      <c r="C59" s="116" t="s">
        <v>1794</v>
      </c>
      <c r="D59" s="43"/>
      <c r="E59" s="267"/>
      <c r="F59" s="267"/>
      <c r="G59" s="73"/>
      <c r="H59" s="18"/>
      <c r="J59" s="295"/>
    </row>
    <row r="60" spans="1:10" ht="15.75" thickBot="1">
      <c r="A60" s="951"/>
      <c r="B60" s="595"/>
      <c r="C60" s="70"/>
      <c r="D60" s="55"/>
      <c r="E60" s="14"/>
      <c r="F60" s="56"/>
      <c r="J60" s="951"/>
    </row>
    <row r="61" spans="1:21" ht="45" customHeight="1">
      <c r="A61" s="1580" t="s">
        <v>7</v>
      </c>
      <c r="B61" s="1574" t="s">
        <v>8</v>
      </c>
      <c r="C61" s="1574" t="s">
        <v>9</v>
      </c>
      <c r="D61" s="1574" t="s">
        <v>10</v>
      </c>
      <c r="E61" s="1574" t="s">
        <v>11</v>
      </c>
      <c r="F61" s="1574" t="s">
        <v>12</v>
      </c>
      <c r="G61" s="1574" t="s">
        <v>13</v>
      </c>
      <c r="H61" s="1574" t="s">
        <v>15</v>
      </c>
      <c r="I61" s="1574" t="s">
        <v>282</v>
      </c>
      <c r="J61" s="1574" t="s">
        <v>60</v>
      </c>
      <c r="K61" s="1577" t="s">
        <v>16</v>
      </c>
      <c r="L61" s="1570" t="s">
        <v>672</v>
      </c>
      <c r="M61" s="1570"/>
      <c r="N61" s="1570"/>
      <c r="O61" s="1570"/>
      <c r="P61" s="1570" t="s">
        <v>673</v>
      </c>
      <c r="Q61" s="1570"/>
      <c r="R61" s="1570"/>
      <c r="S61" s="1570"/>
      <c r="T61" s="1571" t="s">
        <v>1232</v>
      </c>
      <c r="U61" s="1657" t="s">
        <v>1184</v>
      </c>
    </row>
    <row r="62" spans="1:21" ht="45" customHeight="1">
      <c r="A62" s="1581"/>
      <c r="B62" s="1575"/>
      <c r="C62" s="1575"/>
      <c r="D62" s="1575"/>
      <c r="E62" s="1575"/>
      <c r="F62" s="1575"/>
      <c r="G62" s="1575"/>
      <c r="H62" s="1575"/>
      <c r="I62" s="1575"/>
      <c r="J62" s="1575"/>
      <c r="K62" s="1578"/>
      <c r="L62" s="1568" t="s">
        <v>669</v>
      </c>
      <c r="M62" s="1568" t="s">
        <v>670</v>
      </c>
      <c r="N62" s="1568" t="s">
        <v>671</v>
      </c>
      <c r="O62" s="1568" t="s">
        <v>674</v>
      </c>
      <c r="P62" s="1568" t="s">
        <v>669</v>
      </c>
      <c r="Q62" s="1568" t="s">
        <v>670</v>
      </c>
      <c r="R62" s="1568" t="s">
        <v>671</v>
      </c>
      <c r="S62" s="1568" t="s">
        <v>674</v>
      </c>
      <c r="T62" s="1572"/>
      <c r="U62" s="1658"/>
    </row>
    <row r="63" spans="1:21" ht="15" thickBot="1">
      <c r="A63" s="1582"/>
      <c r="B63" s="1576"/>
      <c r="C63" s="1576"/>
      <c r="D63" s="1576"/>
      <c r="E63" s="1576"/>
      <c r="F63" s="1576"/>
      <c r="G63" s="1576"/>
      <c r="H63" s="1576"/>
      <c r="I63" s="1576"/>
      <c r="J63" s="1576"/>
      <c r="K63" s="1579"/>
      <c r="L63" s="1569"/>
      <c r="M63" s="1569"/>
      <c r="N63" s="1569"/>
      <c r="O63" s="1569"/>
      <c r="P63" s="1569"/>
      <c r="Q63" s="1569"/>
      <c r="R63" s="1569"/>
      <c r="S63" s="1569"/>
      <c r="T63" s="1573"/>
      <c r="U63" s="1659"/>
    </row>
    <row r="64" spans="1:21" ht="44.25" thickBot="1">
      <c r="A64" s="621" t="s">
        <v>18</v>
      </c>
      <c r="B64" s="472" t="s">
        <v>163</v>
      </c>
      <c r="C64" s="795" t="s">
        <v>644</v>
      </c>
      <c r="D64" s="273" t="s">
        <v>1478</v>
      </c>
      <c r="E64" s="691">
        <v>1</v>
      </c>
      <c r="F64" s="187" t="s">
        <v>622</v>
      </c>
      <c r="G64" s="187" t="s">
        <v>621</v>
      </c>
      <c r="H64" s="734">
        <v>53815249</v>
      </c>
      <c r="I64" s="187">
        <v>27872261</v>
      </c>
      <c r="J64" s="444" t="s">
        <v>747</v>
      </c>
      <c r="K64" s="857">
        <v>3</v>
      </c>
      <c r="L64" s="187">
        <f>4125-3683</f>
        <v>442</v>
      </c>
      <c r="M64" s="500"/>
      <c r="N64" s="500"/>
      <c r="O64" s="187">
        <f>L64</f>
        <v>442</v>
      </c>
      <c r="P64" s="187">
        <f>4125-3683</f>
        <v>442</v>
      </c>
      <c r="Q64" s="500"/>
      <c r="R64" s="500"/>
      <c r="S64" s="187">
        <f>P64</f>
        <v>442</v>
      </c>
      <c r="T64" s="273" t="s">
        <v>1536</v>
      </c>
      <c r="U64" s="187" t="s">
        <v>1496</v>
      </c>
    </row>
    <row r="65" spans="1:19" ht="15">
      <c r="A65" s="951"/>
      <c r="B65" s="1297" t="s">
        <v>23</v>
      </c>
      <c r="C65" s="125" t="s">
        <v>896</v>
      </c>
      <c r="D65" s="44"/>
      <c r="E65" s="267"/>
      <c r="F65" s="267"/>
      <c r="G65" s="1294" t="s">
        <v>1719</v>
      </c>
      <c r="H65" s="1295" t="s">
        <v>1793</v>
      </c>
      <c r="J65" s="951"/>
      <c r="R65" s="34" t="s">
        <v>24</v>
      </c>
      <c r="S65" s="574">
        <f>SUM(S64)</f>
        <v>442</v>
      </c>
    </row>
    <row r="66" spans="1:10" ht="15">
      <c r="A66" s="951"/>
      <c r="B66" s="13"/>
      <c r="C66" s="45" t="s">
        <v>897</v>
      </c>
      <c r="D66" s="42"/>
      <c r="E66" s="267"/>
      <c r="F66" s="267"/>
      <c r="G66" s="13"/>
      <c r="H66" s="1296" t="s">
        <v>897</v>
      </c>
      <c r="J66" s="951"/>
    </row>
    <row r="67" spans="1:10" ht="15">
      <c r="A67" s="951"/>
      <c r="B67" s="13"/>
      <c r="C67" s="113" t="s">
        <v>657</v>
      </c>
      <c r="D67" s="42"/>
      <c r="E67" s="267"/>
      <c r="F67" s="267"/>
      <c r="G67" s="13"/>
      <c r="H67" s="1296" t="s">
        <v>657</v>
      </c>
      <c r="J67" s="951"/>
    </row>
    <row r="68" spans="1:10" ht="15.75" thickBot="1">
      <c r="A68" s="951"/>
      <c r="B68" s="447" t="s">
        <v>169</v>
      </c>
      <c r="C68" s="116" t="s">
        <v>1794</v>
      </c>
      <c r="D68" s="43"/>
      <c r="E68" s="267"/>
      <c r="F68" s="267"/>
      <c r="G68" s="73"/>
      <c r="H68" s="18"/>
      <c r="J68" s="951"/>
    </row>
    <row r="69" spans="1:10" ht="15.75" thickBot="1">
      <c r="A69" s="951"/>
      <c r="B69" s="595"/>
      <c r="C69" s="70"/>
      <c r="D69" s="55"/>
      <c r="E69" s="14"/>
      <c r="F69" s="56"/>
      <c r="J69" s="951"/>
    </row>
    <row r="70" spans="1:21" ht="50.25" customHeight="1">
      <c r="A70" s="1580" t="s">
        <v>7</v>
      </c>
      <c r="B70" s="1574" t="s">
        <v>8</v>
      </c>
      <c r="C70" s="1574" t="s">
        <v>9</v>
      </c>
      <c r="D70" s="1574" t="s">
        <v>10</v>
      </c>
      <c r="E70" s="1574" t="s">
        <v>11</v>
      </c>
      <c r="F70" s="1574" t="s">
        <v>12</v>
      </c>
      <c r="G70" s="1574" t="s">
        <v>13</v>
      </c>
      <c r="H70" s="1574" t="s">
        <v>15</v>
      </c>
      <c r="I70" s="1574" t="s">
        <v>282</v>
      </c>
      <c r="J70" s="1574" t="s">
        <v>60</v>
      </c>
      <c r="K70" s="1577" t="s">
        <v>16</v>
      </c>
      <c r="L70" s="1570" t="s">
        <v>672</v>
      </c>
      <c r="M70" s="1570"/>
      <c r="N70" s="1570"/>
      <c r="O70" s="1570"/>
      <c r="P70" s="1570" t="s">
        <v>673</v>
      </c>
      <c r="Q70" s="1570"/>
      <c r="R70" s="1570"/>
      <c r="S70" s="1570"/>
      <c r="T70" s="1571" t="s">
        <v>1232</v>
      </c>
      <c r="U70" s="1657" t="s">
        <v>1184</v>
      </c>
    </row>
    <row r="71" spans="1:21" ht="50.25" customHeight="1">
      <c r="A71" s="1581"/>
      <c r="B71" s="1575"/>
      <c r="C71" s="1575"/>
      <c r="D71" s="1575"/>
      <c r="E71" s="1575"/>
      <c r="F71" s="1575"/>
      <c r="G71" s="1575"/>
      <c r="H71" s="1575"/>
      <c r="I71" s="1575"/>
      <c r="J71" s="1575"/>
      <c r="K71" s="1578"/>
      <c r="L71" s="1568" t="s">
        <v>669</v>
      </c>
      <c r="M71" s="1568" t="s">
        <v>670</v>
      </c>
      <c r="N71" s="1568" t="s">
        <v>671</v>
      </c>
      <c r="O71" s="1568" t="s">
        <v>674</v>
      </c>
      <c r="P71" s="1568" t="s">
        <v>669</v>
      </c>
      <c r="Q71" s="1568" t="s">
        <v>670</v>
      </c>
      <c r="R71" s="1568" t="s">
        <v>671</v>
      </c>
      <c r="S71" s="1568" t="s">
        <v>674</v>
      </c>
      <c r="T71" s="1572"/>
      <c r="U71" s="1658"/>
    </row>
    <row r="72" spans="1:21" ht="15" thickBot="1">
      <c r="A72" s="1582"/>
      <c r="B72" s="1576"/>
      <c r="C72" s="1576"/>
      <c r="D72" s="1576"/>
      <c r="E72" s="1576"/>
      <c r="F72" s="1576"/>
      <c r="G72" s="1576"/>
      <c r="H72" s="1576"/>
      <c r="I72" s="1576"/>
      <c r="J72" s="1576"/>
      <c r="K72" s="1579"/>
      <c r="L72" s="1569"/>
      <c r="M72" s="1569"/>
      <c r="N72" s="1569"/>
      <c r="O72" s="1569"/>
      <c r="P72" s="1569"/>
      <c r="Q72" s="1569"/>
      <c r="R72" s="1569"/>
      <c r="S72" s="1569"/>
      <c r="T72" s="1573"/>
      <c r="U72" s="1659"/>
    </row>
    <row r="73" spans="1:21" ht="43.5">
      <c r="A73" s="621" t="s">
        <v>18</v>
      </c>
      <c r="B73" s="273" t="s">
        <v>1480</v>
      </c>
      <c r="C73" s="187" t="s">
        <v>1479</v>
      </c>
      <c r="D73" s="187"/>
      <c r="E73" s="187">
        <v>3</v>
      </c>
      <c r="F73" s="187" t="s">
        <v>622</v>
      </c>
      <c r="G73" s="107" t="s">
        <v>621</v>
      </c>
      <c r="H73" s="734">
        <v>53730002</v>
      </c>
      <c r="I73" s="187">
        <v>90599948</v>
      </c>
      <c r="J73" s="501" t="s">
        <v>67</v>
      </c>
      <c r="K73" s="857">
        <v>7</v>
      </c>
      <c r="L73" s="276"/>
      <c r="M73" s="275">
        <f>(1156-103)*2</f>
        <v>2106</v>
      </c>
      <c r="N73" s="275">
        <f>(2486-161)*2</f>
        <v>4650</v>
      </c>
      <c r="O73" s="275">
        <f>M73+N73</f>
        <v>6756</v>
      </c>
      <c r="P73" s="276"/>
      <c r="Q73" s="275">
        <f>(1156-103)*2</f>
        <v>2106</v>
      </c>
      <c r="R73" s="275">
        <f>(2486-161)*2</f>
        <v>4650</v>
      </c>
      <c r="S73" s="275">
        <f>Q73+R73</f>
        <v>6756</v>
      </c>
      <c r="T73" s="273" t="s">
        <v>1536</v>
      </c>
      <c r="U73" s="187" t="s">
        <v>1496</v>
      </c>
    </row>
    <row r="74" spans="1:21" ht="43.5">
      <c r="A74" s="593" t="s">
        <v>18</v>
      </c>
      <c r="B74" s="3" t="s">
        <v>896</v>
      </c>
      <c r="C74" s="4" t="s">
        <v>621</v>
      </c>
      <c r="D74" s="4" t="s">
        <v>194</v>
      </c>
      <c r="E74" s="4">
        <v>21</v>
      </c>
      <c r="F74" s="4" t="s">
        <v>622</v>
      </c>
      <c r="G74" s="4" t="s">
        <v>621</v>
      </c>
      <c r="H74" s="719">
        <v>53853082</v>
      </c>
      <c r="I74" s="4">
        <v>70907486</v>
      </c>
      <c r="J74" s="398" t="s">
        <v>29</v>
      </c>
      <c r="K74" s="88">
        <v>6.6</v>
      </c>
      <c r="L74" s="34">
        <v>1200</v>
      </c>
      <c r="M74" s="35"/>
      <c r="N74" s="35"/>
      <c r="O74" s="34">
        <f>L74</f>
        <v>1200</v>
      </c>
      <c r="P74" s="34">
        <v>1200</v>
      </c>
      <c r="Q74" s="35"/>
      <c r="R74" s="35"/>
      <c r="S74" s="34">
        <f>P74</f>
        <v>1200</v>
      </c>
      <c r="T74" s="273" t="s">
        <v>1536</v>
      </c>
      <c r="U74" s="187" t="s">
        <v>1496</v>
      </c>
    </row>
    <row r="75" spans="1:21" ht="43.5">
      <c r="A75" s="593" t="s">
        <v>18</v>
      </c>
      <c r="B75" s="3" t="s">
        <v>896</v>
      </c>
      <c r="C75" s="4" t="s">
        <v>621</v>
      </c>
      <c r="D75" s="4" t="s">
        <v>95</v>
      </c>
      <c r="E75" s="4">
        <v>2</v>
      </c>
      <c r="F75" s="4" t="s">
        <v>622</v>
      </c>
      <c r="G75" s="4" t="s">
        <v>621</v>
      </c>
      <c r="H75" s="719">
        <v>53852139</v>
      </c>
      <c r="I75" s="4">
        <v>90018539</v>
      </c>
      <c r="J75" s="31" t="s">
        <v>67</v>
      </c>
      <c r="K75" s="88">
        <v>8</v>
      </c>
      <c r="L75" s="35"/>
      <c r="M75" s="34">
        <v>300</v>
      </c>
      <c r="N75" s="34">
        <v>900</v>
      </c>
      <c r="O75" s="34">
        <f>M75+N75</f>
        <v>1200</v>
      </c>
      <c r="P75" s="35"/>
      <c r="Q75" s="34">
        <v>300</v>
      </c>
      <c r="R75" s="34">
        <v>900</v>
      </c>
      <c r="S75" s="34">
        <f>Q75+R75</f>
        <v>1200</v>
      </c>
      <c r="T75" s="273" t="s">
        <v>1536</v>
      </c>
      <c r="U75" s="187" t="s">
        <v>1496</v>
      </c>
    </row>
    <row r="76" spans="1:21" ht="43.5">
      <c r="A76" s="593" t="s">
        <v>18</v>
      </c>
      <c r="B76" s="3" t="s">
        <v>649</v>
      </c>
      <c r="C76" s="4" t="s">
        <v>621</v>
      </c>
      <c r="D76" s="4" t="s">
        <v>1477</v>
      </c>
      <c r="E76" s="4" t="s">
        <v>1481</v>
      </c>
      <c r="F76" s="4" t="s">
        <v>622</v>
      </c>
      <c r="G76" s="4" t="s">
        <v>621</v>
      </c>
      <c r="H76" s="719">
        <v>53730005</v>
      </c>
      <c r="I76" s="4"/>
      <c r="J76" s="31" t="s">
        <v>67</v>
      </c>
      <c r="K76" s="88">
        <v>25</v>
      </c>
      <c r="L76" s="35"/>
      <c r="M76" s="34">
        <v>500</v>
      </c>
      <c r="N76" s="34">
        <v>1000</v>
      </c>
      <c r="O76" s="34">
        <f>M76+N76</f>
        <v>1500</v>
      </c>
      <c r="P76" s="35"/>
      <c r="Q76" s="34">
        <v>500</v>
      </c>
      <c r="R76" s="34">
        <v>1000</v>
      </c>
      <c r="S76" s="34">
        <f>Q76+R76</f>
        <v>1500</v>
      </c>
      <c r="T76" s="3" t="s">
        <v>1536</v>
      </c>
      <c r="U76" s="4" t="s">
        <v>1496</v>
      </c>
    </row>
    <row r="77" spans="1:21" ht="44.25" thickBot="1">
      <c r="A77" s="593" t="s">
        <v>18</v>
      </c>
      <c r="B77" s="3" t="s">
        <v>1791</v>
      </c>
      <c r="C77" s="4" t="s">
        <v>621</v>
      </c>
      <c r="D77" s="4" t="s">
        <v>194</v>
      </c>
      <c r="E77" s="3" t="s">
        <v>1792</v>
      </c>
      <c r="F77" s="4" t="s">
        <v>622</v>
      </c>
      <c r="G77" s="4" t="s">
        <v>621</v>
      </c>
      <c r="H77" s="719">
        <v>53730008</v>
      </c>
      <c r="I77" s="4">
        <v>90114677</v>
      </c>
      <c r="J77" s="31" t="s">
        <v>67</v>
      </c>
      <c r="K77" s="88">
        <v>14</v>
      </c>
      <c r="L77" s="35"/>
      <c r="M77" s="34">
        <v>1200</v>
      </c>
      <c r="N77" s="34">
        <v>3500</v>
      </c>
      <c r="O77" s="34">
        <f>SUM(M77:N77)</f>
        <v>4700</v>
      </c>
      <c r="P77" s="35"/>
      <c r="Q77" s="34">
        <v>1200</v>
      </c>
      <c r="R77" s="34">
        <v>3500</v>
      </c>
      <c r="S77" s="34">
        <f>SUM(Q77:R77)</f>
        <v>4700</v>
      </c>
      <c r="T77" s="273" t="s">
        <v>1536</v>
      </c>
      <c r="U77" s="187" t="s">
        <v>1496</v>
      </c>
    </row>
    <row r="78" spans="1:19" ht="15">
      <c r="A78" s="951"/>
      <c r="B78" s="1297" t="s">
        <v>23</v>
      </c>
      <c r="C78" s="125" t="s">
        <v>896</v>
      </c>
      <c r="D78" s="44"/>
      <c r="E78" s="267"/>
      <c r="F78" s="267"/>
      <c r="G78" s="1294" t="s">
        <v>1719</v>
      </c>
      <c r="H78" s="1295" t="s">
        <v>1793</v>
      </c>
      <c r="J78" s="951"/>
      <c r="R78" s="275" t="s">
        <v>24</v>
      </c>
      <c r="S78" s="585">
        <f>SUM(S73:S77)</f>
        <v>15356</v>
      </c>
    </row>
    <row r="79" spans="1:10" ht="14.25" customHeight="1">
      <c r="A79" s="951"/>
      <c r="B79" s="13"/>
      <c r="C79" s="45" t="s">
        <v>897</v>
      </c>
      <c r="D79" s="42"/>
      <c r="E79" s="267"/>
      <c r="F79" s="267"/>
      <c r="G79" s="13"/>
      <c r="H79" s="1296" t="s">
        <v>897</v>
      </c>
      <c r="J79" s="951"/>
    </row>
    <row r="80" spans="1:10" ht="14.25" customHeight="1">
      <c r="A80" s="951"/>
      <c r="B80" s="13"/>
      <c r="C80" s="113" t="s">
        <v>657</v>
      </c>
      <c r="D80" s="42"/>
      <c r="E80" s="267"/>
      <c r="F80" s="267"/>
      <c r="G80" s="13"/>
      <c r="H80" s="1296" t="s">
        <v>657</v>
      </c>
      <c r="J80" s="951"/>
    </row>
    <row r="81" spans="1:10" ht="14.25" customHeight="1" thickBot="1">
      <c r="A81" s="951"/>
      <c r="B81" s="447" t="s">
        <v>169</v>
      </c>
      <c r="C81" s="116" t="s">
        <v>1794</v>
      </c>
      <c r="D81" s="43"/>
      <c r="E81" s="267"/>
      <c r="F81" s="267"/>
      <c r="G81" s="73"/>
      <c r="H81" s="18"/>
      <c r="J81" s="951"/>
    </row>
    <row r="82" spans="1:10" ht="15">
      <c r="A82" s="951"/>
      <c r="B82" s="595"/>
      <c r="C82" s="70"/>
      <c r="D82" s="55"/>
      <c r="E82" s="14"/>
      <c r="F82" s="56"/>
      <c r="J82" s="951"/>
    </row>
    <row r="83" spans="1:13" ht="15">
      <c r="A83" s="295"/>
      <c r="B83" s="595"/>
      <c r="C83" s="70"/>
      <c r="D83" s="55"/>
      <c r="E83" s="14"/>
      <c r="F83" s="56"/>
      <c r="J83" s="295"/>
      <c r="L83" s="1" t="s">
        <v>63</v>
      </c>
      <c r="M83" s="33">
        <f>O41+O56+S65+S78</f>
        <v>495145.8500000001</v>
      </c>
    </row>
    <row r="84" spans="1:10" ht="15.75" thickBot="1">
      <c r="A84" s="295"/>
      <c r="B84" s="595"/>
      <c r="C84" s="70"/>
      <c r="D84" s="55"/>
      <c r="E84" s="14"/>
      <c r="F84" s="56"/>
      <c r="J84" s="295"/>
    </row>
    <row r="85" spans="11:15" ht="44.25" customHeight="1">
      <c r="K85" s="1621" t="s">
        <v>60</v>
      </c>
      <c r="L85" s="1623" t="s">
        <v>675</v>
      </c>
      <c r="M85" s="1624"/>
      <c r="N85" s="1625"/>
      <c r="O85" s="1626" t="s">
        <v>61</v>
      </c>
    </row>
    <row r="86" spans="11:15" ht="28.5" customHeight="1" thickBot="1">
      <c r="K86" s="1622"/>
      <c r="L86" s="282" t="s">
        <v>62</v>
      </c>
      <c r="M86" s="282" t="s">
        <v>670</v>
      </c>
      <c r="N86" s="282" t="s">
        <v>671</v>
      </c>
      <c r="O86" s="1627"/>
    </row>
    <row r="87" spans="1:15" ht="28.5" customHeight="1">
      <c r="A87" s="971"/>
      <c r="J87" s="971"/>
      <c r="K87" s="1060" t="s">
        <v>747</v>
      </c>
      <c r="L87" s="1061">
        <f>S64</f>
        <v>442</v>
      </c>
      <c r="M87" s="1062"/>
      <c r="N87" s="1063"/>
      <c r="O87" s="821">
        <v>1</v>
      </c>
    </row>
    <row r="88" spans="1:15" ht="23.25" customHeight="1">
      <c r="A88" s="295"/>
      <c r="J88" s="295"/>
      <c r="K88" s="1020" t="s">
        <v>29</v>
      </c>
      <c r="L88" s="1002">
        <f>O39+O40+S74</f>
        <v>22742</v>
      </c>
      <c r="M88" s="1059"/>
      <c r="N88" s="1064"/>
      <c r="O88" s="822">
        <v>3</v>
      </c>
    </row>
    <row r="89" spans="11:15" ht="23.25" customHeight="1">
      <c r="K89" s="1020" t="s">
        <v>22</v>
      </c>
      <c r="L89" s="1002">
        <f>O32+O33+O50</f>
        <v>244098.30000000002</v>
      </c>
      <c r="M89" s="693"/>
      <c r="N89" s="1035"/>
      <c r="O89" s="995">
        <v>3</v>
      </c>
    </row>
    <row r="90" spans="11:15" ht="23.25" customHeight="1" thickBot="1">
      <c r="K90" s="1054" t="s">
        <v>67</v>
      </c>
      <c r="L90" s="1037"/>
      <c r="M90" s="1038">
        <f>M19+M20+M21+M22+M23+M24+M25+M26+M27+M28+M29+M30+M31+M34+M35+M36+M37+M38+M51+M52+M53+M54+M55+Q73+Q75+Q76+Q77</f>
        <v>59750.1</v>
      </c>
      <c r="N90" s="1039">
        <f>N19+N20+N21+N22+N23+N24+N25+N26+N27+N28+N29+N30+N31+N34+N35+N36+N37+N38+N51+N52+N53+N54+N55+R73+R75+R76+R77</f>
        <v>168113.45000000004</v>
      </c>
      <c r="O90" s="996">
        <v>27</v>
      </c>
    </row>
    <row r="91" spans="11:15" ht="23.25" customHeight="1" thickBot="1">
      <c r="K91" s="353" t="s">
        <v>63</v>
      </c>
      <c r="L91" s="1056">
        <f>SUM(L87:L90)</f>
        <v>267282.30000000005</v>
      </c>
      <c r="M91" s="1057">
        <f>SUM(M88:M90)</f>
        <v>59750.1</v>
      </c>
      <c r="N91" s="1058">
        <f>SUM(N88:N90)</f>
        <v>168113.45000000004</v>
      </c>
      <c r="O91" s="1055">
        <f>SUM(O87:O90)</f>
        <v>34</v>
      </c>
    </row>
    <row r="92" spans="11:15" ht="23.25" customHeight="1" thickBot="1">
      <c r="K92" s="1"/>
      <c r="L92" s="127" t="s">
        <v>64</v>
      </c>
      <c r="M92" s="698">
        <f>SUM(L91:N91)</f>
        <v>495145.8500000001</v>
      </c>
      <c r="N92" s="127"/>
      <c r="O92" s="33"/>
    </row>
    <row r="94" ht="14.25" customHeight="1"/>
  </sheetData>
  <sheetProtection/>
  <mergeCells count="78">
    <mergeCell ref="S71:S72"/>
    <mergeCell ref="P70:S70"/>
    <mergeCell ref="T70:T72"/>
    <mergeCell ref="U70:U72"/>
    <mergeCell ref="L71:L72"/>
    <mergeCell ref="M71:M72"/>
    <mergeCell ref="N71:N72"/>
    <mergeCell ref="O71:O72"/>
    <mergeCell ref="P71:P72"/>
    <mergeCell ref="Q71:Q72"/>
    <mergeCell ref="R71:R72"/>
    <mergeCell ref="G70:G72"/>
    <mergeCell ref="H70:H72"/>
    <mergeCell ref="I70:I72"/>
    <mergeCell ref="J70:J72"/>
    <mergeCell ref="K70:K72"/>
    <mergeCell ref="L70:O70"/>
    <mergeCell ref="A70:A72"/>
    <mergeCell ref="B70:B72"/>
    <mergeCell ref="C70:C72"/>
    <mergeCell ref="D70:D72"/>
    <mergeCell ref="E70:E72"/>
    <mergeCell ref="F70:F72"/>
    <mergeCell ref="U61:U63"/>
    <mergeCell ref="L62:L63"/>
    <mergeCell ref="M62:M63"/>
    <mergeCell ref="N62:N63"/>
    <mergeCell ref="O62:O63"/>
    <mergeCell ref="P62:P63"/>
    <mergeCell ref="Q62:Q63"/>
    <mergeCell ref="R62:R63"/>
    <mergeCell ref="S62:S63"/>
    <mergeCell ref="I61:I63"/>
    <mergeCell ref="J61:J63"/>
    <mergeCell ref="K61:K63"/>
    <mergeCell ref="L61:O61"/>
    <mergeCell ref="P61:S61"/>
    <mergeCell ref="T61:T63"/>
    <mergeCell ref="A61:A63"/>
    <mergeCell ref="B61:B63"/>
    <mergeCell ref="C61:C63"/>
    <mergeCell ref="D61:D63"/>
    <mergeCell ref="E61:E63"/>
    <mergeCell ref="F61:F63"/>
    <mergeCell ref="A16:A18"/>
    <mergeCell ref="I47:I49"/>
    <mergeCell ref="D16:D18"/>
    <mergeCell ref="H16:H18"/>
    <mergeCell ref="H47:H49"/>
    <mergeCell ref="A47:A49"/>
    <mergeCell ref="B47:B49"/>
    <mergeCell ref="C16:C18"/>
    <mergeCell ref="B1:I1"/>
    <mergeCell ref="L47:O47"/>
    <mergeCell ref="L16:O16"/>
    <mergeCell ref="J47:J49"/>
    <mergeCell ref="J16:J18"/>
    <mergeCell ref="E47:E49"/>
    <mergeCell ref="I16:I18"/>
    <mergeCell ref="B5:I5"/>
    <mergeCell ref="C47:C49"/>
    <mergeCell ref="F47:F49"/>
    <mergeCell ref="B3:I3"/>
    <mergeCell ref="L48:O48"/>
    <mergeCell ref="F16:F18"/>
    <mergeCell ref="E16:E18"/>
    <mergeCell ref="B16:B18"/>
    <mergeCell ref="D47:D49"/>
    <mergeCell ref="O85:O86"/>
    <mergeCell ref="G47:G49"/>
    <mergeCell ref="G16:G18"/>
    <mergeCell ref="K85:K86"/>
    <mergeCell ref="L17:O17"/>
    <mergeCell ref="L85:N85"/>
    <mergeCell ref="K16:K18"/>
    <mergeCell ref="K47:K49"/>
    <mergeCell ref="G61:G63"/>
    <mergeCell ref="H61:H63"/>
  </mergeCells>
  <printOptions/>
  <pageMargins left="0.7" right="0.7" top="0.75" bottom="0.75" header="0.3" footer="0.3"/>
  <pageSetup horizontalDpi="600" verticalDpi="600" orientation="portrait" paperSize="9" r:id="rId1"/>
  <ignoredErrors>
    <ignoredError sqref="O74 S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16"/>
  <sheetViews>
    <sheetView zoomScale="80" zoomScaleNormal="80" zoomScalePageLayoutView="0" workbookViewId="0" topLeftCell="A37">
      <selection activeCell="B41" sqref="B41:H45"/>
    </sheetView>
  </sheetViews>
  <sheetFormatPr defaultColWidth="8.796875" defaultRowHeight="14.25"/>
  <cols>
    <col min="1" max="1" width="13.19921875" style="0" customWidth="1"/>
    <col min="2" max="2" width="16.3984375" style="0" customWidth="1"/>
    <col min="3" max="3" width="15.59765625" style="0" customWidth="1"/>
    <col min="4" max="4" width="12.8984375" style="0" customWidth="1"/>
    <col min="5" max="5" width="11" style="0" customWidth="1"/>
    <col min="6" max="6" width="12.69921875" style="0" customWidth="1"/>
    <col min="7" max="7" width="17.5" style="0" customWidth="1"/>
    <col min="8" max="8" width="25.8984375" style="1" customWidth="1"/>
    <col min="9" max="9" width="14.59765625" style="1" customWidth="1"/>
    <col min="10" max="10" width="16.59765625" style="0" customWidth="1"/>
    <col min="11" max="11" width="14" style="0" customWidth="1"/>
    <col min="12" max="12" width="13.59765625" style="0" customWidth="1"/>
    <col min="13" max="13" width="16.5" style="0" customWidth="1"/>
    <col min="14" max="14" width="17.19921875" style="0" customWidth="1"/>
    <col min="15" max="15" width="16.59765625" style="0" customWidth="1"/>
    <col min="16" max="16" width="14.3984375" style="0" customWidth="1"/>
    <col min="17" max="17" width="13.5" style="0" customWidth="1"/>
    <col min="18" max="18" width="17.8984375" style="0" customWidth="1"/>
    <col min="19" max="19" width="14.69921875" style="0" customWidth="1"/>
    <col min="20" max="21" width="32.3984375" style="0" customWidth="1"/>
    <col min="22" max="22" width="36.5" style="0" customWidth="1"/>
  </cols>
  <sheetData>
    <row r="1" spans="2:9" s="1" customFormat="1" ht="18">
      <c r="B1" s="1609" t="s">
        <v>1231</v>
      </c>
      <c r="C1" s="1609"/>
      <c r="D1" s="1609"/>
      <c r="E1" s="1609"/>
      <c r="F1" s="1609"/>
      <c r="G1" s="1609"/>
      <c r="H1" s="1609"/>
      <c r="I1" s="1609"/>
    </row>
    <row r="2" s="1" customFormat="1" ht="14.25"/>
    <row r="3" spans="2:10" s="1" customFormat="1" ht="29.25" customHeight="1">
      <c r="B3" s="1642" t="s">
        <v>734</v>
      </c>
      <c r="C3" s="1643"/>
      <c r="D3" s="1643"/>
      <c r="E3" s="1643"/>
      <c r="F3" s="1643"/>
      <c r="G3" s="1643"/>
      <c r="H3" s="1643"/>
      <c r="I3" s="1643"/>
      <c r="J3" s="1644"/>
    </row>
    <row r="4" spans="1:10" ht="15">
      <c r="A4" s="1"/>
      <c r="B4" s="487"/>
      <c r="C4" s="487"/>
      <c r="D4" s="487"/>
      <c r="E4" s="487"/>
      <c r="F4" s="487"/>
      <c r="G4" s="487"/>
      <c r="H4" s="487"/>
      <c r="I4" s="487"/>
      <c r="J4" s="487"/>
    </row>
    <row r="5" spans="2:10" s="1" customFormat="1" ht="15">
      <c r="B5" s="1700" t="s">
        <v>1103</v>
      </c>
      <c r="C5" s="1665"/>
      <c r="D5" s="1665"/>
      <c r="E5" s="1665"/>
      <c r="F5" s="1665"/>
      <c r="G5" s="1665"/>
      <c r="H5" s="1665"/>
      <c r="I5" s="1665"/>
      <c r="J5" s="1701"/>
    </row>
    <row r="6" spans="2:10" s="1" customFormat="1" ht="15">
      <c r="B6" s="487"/>
      <c r="C6" s="487"/>
      <c r="D6" s="487"/>
      <c r="E6" s="487"/>
      <c r="F6" s="487"/>
      <c r="G6" s="487"/>
      <c r="H6" s="490"/>
      <c r="I6" s="490"/>
      <c r="J6" s="489"/>
    </row>
    <row r="7" spans="2:10" s="1" customFormat="1" ht="15.75">
      <c r="B7" s="488" t="s">
        <v>1</v>
      </c>
      <c r="C7" s="487"/>
      <c r="D7" s="487"/>
      <c r="E7" s="487"/>
      <c r="F7" s="489"/>
      <c r="G7" s="487"/>
      <c r="H7" s="490"/>
      <c r="I7" s="490"/>
      <c r="J7" s="489"/>
    </row>
    <row r="8" spans="2:10" s="1" customFormat="1" ht="15.75">
      <c r="B8" s="1389" t="s">
        <v>1833</v>
      </c>
      <c r="C8" s="487"/>
      <c r="D8" s="487"/>
      <c r="E8" s="487"/>
      <c r="F8" s="489"/>
      <c r="G8" s="487"/>
      <c r="H8" s="490"/>
      <c r="I8" s="490"/>
      <c r="J8" s="489"/>
    </row>
    <row r="9" spans="1:10" ht="15.75">
      <c r="A9" s="1"/>
      <c r="B9" s="491" t="s">
        <v>1396</v>
      </c>
      <c r="C9" s="489"/>
      <c r="D9" s="492"/>
      <c r="E9" s="487"/>
      <c r="F9" s="487"/>
      <c r="G9" s="489"/>
      <c r="H9" s="490"/>
      <c r="I9" s="490"/>
      <c r="J9" s="489"/>
    </row>
    <row r="10" spans="1:10" ht="15.75">
      <c r="A10" s="1"/>
      <c r="B10" s="491" t="s">
        <v>1096</v>
      </c>
      <c r="C10" s="489"/>
      <c r="D10" s="492"/>
      <c r="E10" s="487"/>
      <c r="F10" s="487"/>
      <c r="G10" s="489"/>
      <c r="H10" s="490"/>
      <c r="I10" s="490"/>
      <c r="J10" s="489"/>
    </row>
    <row r="11" spans="1:10" ht="15">
      <c r="A11" s="1"/>
      <c r="B11" s="489" t="s">
        <v>1095</v>
      </c>
      <c r="C11" s="489"/>
      <c r="D11" s="489"/>
      <c r="E11" s="489"/>
      <c r="F11" s="489"/>
      <c r="G11" s="489"/>
      <c r="H11" s="490"/>
      <c r="I11" s="490"/>
      <c r="J11" s="489"/>
    </row>
    <row r="12" spans="1:10" ht="15.75">
      <c r="A12" s="1"/>
      <c r="B12" s="493"/>
      <c r="C12" s="494"/>
      <c r="D12" s="492"/>
      <c r="E12" s="495"/>
      <c r="F12" s="489"/>
      <c r="G12" s="489"/>
      <c r="H12" s="489"/>
      <c r="I12" s="489"/>
      <c r="J12" s="489"/>
    </row>
    <row r="13" spans="1:10" ht="15.75">
      <c r="A13" s="1"/>
      <c r="B13" s="493" t="s">
        <v>5</v>
      </c>
      <c r="C13" s="488" t="s">
        <v>6</v>
      </c>
      <c r="D13" s="492"/>
      <c r="E13" s="495"/>
      <c r="F13" s="489"/>
      <c r="G13" s="489"/>
      <c r="H13" s="489"/>
      <c r="I13" s="489"/>
      <c r="J13" s="489"/>
    </row>
    <row r="14" spans="2:10" s="1" customFormat="1" ht="15.75">
      <c r="B14" s="493" t="s">
        <v>3</v>
      </c>
      <c r="C14" s="488" t="s">
        <v>4</v>
      </c>
      <c r="D14" s="492"/>
      <c r="E14" s="495"/>
      <c r="F14" s="489"/>
      <c r="G14" s="489"/>
      <c r="H14" s="489"/>
      <c r="I14" s="489"/>
      <c r="J14" s="489"/>
    </row>
    <row r="15" ht="15" thickBot="1"/>
    <row r="16" spans="1:15" ht="40.5" customHeight="1">
      <c r="A16" s="1580" t="s">
        <v>7</v>
      </c>
      <c r="B16" s="1591" t="s">
        <v>664</v>
      </c>
      <c r="C16" s="1594" t="s">
        <v>9</v>
      </c>
      <c r="D16" s="1594" t="s">
        <v>10</v>
      </c>
      <c r="E16" s="1574" t="s">
        <v>665</v>
      </c>
      <c r="F16" s="1574" t="s">
        <v>12</v>
      </c>
      <c r="G16" s="1594" t="s">
        <v>13</v>
      </c>
      <c r="H16" s="1574" t="s">
        <v>14</v>
      </c>
      <c r="I16" s="1574" t="s">
        <v>788</v>
      </c>
      <c r="J16" s="1574" t="s">
        <v>60</v>
      </c>
      <c r="K16" s="1697" t="s">
        <v>666</v>
      </c>
      <c r="L16" s="1634" t="s">
        <v>667</v>
      </c>
      <c r="M16" s="1634"/>
      <c r="N16" s="1634"/>
      <c r="O16" s="1641"/>
    </row>
    <row r="17" spans="1:15" ht="45" customHeight="1">
      <c r="A17" s="1581"/>
      <c r="B17" s="1592"/>
      <c r="C17" s="1595"/>
      <c r="D17" s="1595"/>
      <c r="E17" s="1575"/>
      <c r="F17" s="1575"/>
      <c r="G17" s="1595"/>
      <c r="H17" s="1575"/>
      <c r="I17" s="1613"/>
      <c r="J17" s="1575"/>
      <c r="K17" s="1698"/>
      <c r="L17" s="1568" t="s">
        <v>668</v>
      </c>
      <c r="M17" s="1568"/>
      <c r="N17" s="1568"/>
      <c r="O17" s="1598"/>
    </row>
    <row r="18" spans="1:15" ht="29.25" customHeight="1" thickBot="1">
      <c r="A18" s="1582"/>
      <c r="B18" s="1593"/>
      <c r="C18" s="1596"/>
      <c r="D18" s="1596"/>
      <c r="E18" s="1576"/>
      <c r="F18" s="1576"/>
      <c r="G18" s="1596"/>
      <c r="H18" s="1576"/>
      <c r="I18" s="1614"/>
      <c r="J18" s="1576"/>
      <c r="K18" s="1699"/>
      <c r="L18" s="277" t="s">
        <v>669</v>
      </c>
      <c r="M18" s="277" t="s">
        <v>670</v>
      </c>
      <c r="N18" s="277" t="s">
        <v>671</v>
      </c>
      <c r="O18" s="272" t="s">
        <v>17</v>
      </c>
    </row>
    <row r="19" spans="1:15" ht="18.75" thickBot="1">
      <c r="A19" s="621" t="s">
        <v>27</v>
      </c>
      <c r="B19" s="372" t="s">
        <v>329</v>
      </c>
      <c r="C19" s="452" t="s">
        <v>684</v>
      </c>
      <c r="D19" s="372"/>
      <c r="E19" s="187"/>
      <c r="F19" s="347" t="s">
        <v>683</v>
      </c>
      <c r="G19" s="347" t="s">
        <v>682</v>
      </c>
      <c r="H19" s="729" t="s">
        <v>881</v>
      </c>
      <c r="I19" s="187">
        <v>4099751</v>
      </c>
      <c r="J19" s="501" t="s">
        <v>22</v>
      </c>
      <c r="K19" s="351">
        <v>35</v>
      </c>
      <c r="L19" s="352">
        <f>((26721.3-25684.8)+(4299.69-138.37))*30</f>
        <v>155934.59999999998</v>
      </c>
      <c r="M19" s="281"/>
      <c r="N19" s="281"/>
      <c r="O19" s="301">
        <f>L19</f>
        <v>155934.59999999998</v>
      </c>
    </row>
    <row r="20" spans="2:20" ht="15">
      <c r="B20" s="1185" t="s">
        <v>23</v>
      </c>
      <c r="C20" s="122" t="s">
        <v>884</v>
      </c>
      <c r="D20" s="1302"/>
      <c r="E20" s="1303"/>
      <c r="F20" s="1303"/>
      <c r="G20" s="1294" t="s">
        <v>1719</v>
      </c>
      <c r="H20" s="1302" t="s">
        <v>884</v>
      </c>
      <c r="I20" s="295"/>
      <c r="J20" s="1"/>
      <c r="K20" s="295"/>
      <c r="L20" s="1"/>
      <c r="M20" s="1"/>
      <c r="N20" s="34" t="s">
        <v>24</v>
      </c>
      <c r="O20" s="574">
        <f>SUM(O19)</f>
        <v>155934.59999999998</v>
      </c>
      <c r="P20" s="1702"/>
      <c r="Q20" s="1702"/>
      <c r="R20" s="1702"/>
      <c r="S20" s="1702"/>
      <c r="T20" s="1702"/>
    </row>
    <row r="21" spans="2:20" ht="15">
      <c r="B21" s="13"/>
      <c r="C21" s="724" t="s">
        <v>1221</v>
      </c>
      <c r="D21" s="1304"/>
      <c r="E21" s="1303"/>
      <c r="F21" s="1303"/>
      <c r="G21" s="1177"/>
      <c r="H21" s="1304" t="s">
        <v>1221</v>
      </c>
      <c r="I21" s="295"/>
      <c r="J21" s="1"/>
      <c r="K21" s="295"/>
      <c r="L21" s="1"/>
      <c r="M21" s="1"/>
      <c r="N21" s="1"/>
      <c r="O21" s="1"/>
      <c r="P21" s="1702"/>
      <c r="Q21" s="1702"/>
      <c r="R21" s="1702"/>
      <c r="S21" s="1702"/>
      <c r="T21" s="1702"/>
    </row>
    <row r="22" spans="2:15" ht="15.75" thickBot="1">
      <c r="B22" s="13"/>
      <c r="C22" s="724" t="s">
        <v>690</v>
      </c>
      <c r="D22" s="1304"/>
      <c r="E22" s="1303"/>
      <c r="F22" s="1303"/>
      <c r="G22" s="1305"/>
      <c r="H22" s="1157" t="s">
        <v>690</v>
      </c>
      <c r="I22" s="295"/>
      <c r="J22" s="1"/>
      <c r="K22" s="295"/>
      <c r="L22" s="1"/>
      <c r="M22" s="1"/>
      <c r="N22" s="1"/>
      <c r="O22" s="1"/>
    </row>
    <row r="23" spans="1:15" ht="15">
      <c r="A23" s="1"/>
      <c r="B23" s="13"/>
      <c r="C23" s="724" t="s">
        <v>885</v>
      </c>
      <c r="D23" s="725"/>
      <c r="E23" s="1303"/>
      <c r="F23" s="1303"/>
      <c r="G23" s="1303"/>
      <c r="H23" s="1303"/>
      <c r="I23" s="295"/>
      <c r="J23" s="1"/>
      <c r="K23" s="295"/>
      <c r="L23" s="1"/>
      <c r="M23" s="1"/>
      <c r="N23" s="1"/>
      <c r="O23" s="1"/>
    </row>
    <row r="24" spans="2:11" s="1" customFormat="1" ht="15.75" thickBot="1">
      <c r="B24" s="447" t="s">
        <v>1112</v>
      </c>
      <c r="C24" s="726" t="s">
        <v>1222</v>
      </c>
      <c r="D24" s="728"/>
      <c r="E24" s="1303"/>
      <c r="F24" s="1303"/>
      <c r="G24" s="1303"/>
      <c r="H24" s="1303"/>
      <c r="I24" s="295"/>
      <c r="K24" s="295"/>
    </row>
    <row r="25" spans="1:15" ht="15" thickBot="1">
      <c r="A25" s="1"/>
      <c r="B25" s="1"/>
      <c r="C25" s="295"/>
      <c r="D25" s="295"/>
      <c r="E25" s="295"/>
      <c r="F25" s="295"/>
      <c r="G25" s="295"/>
      <c r="H25" s="295"/>
      <c r="I25" s="295"/>
      <c r="J25" s="1"/>
      <c r="K25" s="295"/>
      <c r="L25" s="1"/>
      <c r="M25" s="1"/>
      <c r="N25" s="1"/>
      <c r="O25" s="1"/>
    </row>
    <row r="26" spans="1:15" ht="39" customHeight="1">
      <c r="A26" s="1580" t="s">
        <v>7</v>
      </c>
      <c r="B26" s="1591" t="s">
        <v>664</v>
      </c>
      <c r="C26" s="1594" t="s">
        <v>9</v>
      </c>
      <c r="D26" s="1594" t="s">
        <v>10</v>
      </c>
      <c r="E26" s="1574" t="s">
        <v>665</v>
      </c>
      <c r="F26" s="1574" t="s">
        <v>12</v>
      </c>
      <c r="G26" s="1594" t="s">
        <v>13</v>
      </c>
      <c r="H26" s="1574" t="s">
        <v>14</v>
      </c>
      <c r="I26" s="1574" t="s">
        <v>788</v>
      </c>
      <c r="J26" s="1574" t="s">
        <v>60</v>
      </c>
      <c r="K26" s="1697" t="s">
        <v>666</v>
      </c>
      <c r="L26" s="1634" t="s">
        <v>667</v>
      </c>
      <c r="M26" s="1634"/>
      <c r="N26" s="1634"/>
      <c r="O26" s="1641"/>
    </row>
    <row r="27" spans="1:15" ht="39" customHeight="1">
      <c r="A27" s="1581"/>
      <c r="B27" s="1592"/>
      <c r="C27" s="1595"/>
      <c r="D27" s="1595"/>
      <c r="E27" s="1575"/>
      <c r="F27" s="1575"/>
      <c r="G27" s="1595"/>
      <c r="H27" s="1575"/>
      <c r="I27" s="1613"/>
      <c r="J27" s="1575"/>
      <c r="K27" s="1698"/>
      <c r="L27" s="1568" t="s">
        <v>668</v>
      </c>
      <c r="M27" s="1568"/>
      <c r="N27" s="1568"/>
      <c r="O27" s="1598"/>
    </row>
    <row r="28" spans="1:15" ht="28.5" customHeight="1" thickBot="1">
      <c r="A28" s="1582"/>
      <c r="B28" s="1593"/>
      <c r="C28" s="1596"/>
      <c r="D28" s="1632"/>
      <c r="E28" s="1576"/>
      <c r="F28" s="1576"/>
      <c r="G28" s="1596"/>
      <c r="H28" s="1576"/>
      <c r="I28" s="1614"/>
      <c r="J28" s="1576"/>
      <c r="K28" s="1699"/>
      <c r="L28" s="854" t="s">
        <v>669</v>
      </c>
      <c r="M28" s="854" t="s">
        <v>670</v>
      </c>
      <c r="N28" s="854" t="s">
        <v>671</v>
      </c>
      <c r="O28" s="855" t="s">
        <v>17</v>
      </c>
    </row>
    <row r="29" spans="1:15" ht="29.25">
      <c r="A29" s="621" t="s">
        <v>27</v>
      </c>
      <c r="B29" s="273" t="s">
        <v>685</v>
      </c>
      <c r="C29" s="347" t="s">
        <v>686</v>
      </c>
      <c r="D29" s="4"/>
      <c r="E29" s="347"/>
      <c r="F29" s="347" t="s">
        <v>683</v>
      </c>
      <c r="G29" s="347" t="s">
        <v>682</v>
      </c>
      <c r="H29" s="729" t="s">
        <v>883</v>
      </c>
      <c r="I29" s="187">
        <v>41356</v>
      </c>
      <c r="J29" s="501" t="s">
        <v>67</v>
      </c>
      <c r="K29" s="348">
        <v>4</v>
      </c>
      <c r="L29" s="874"/>
      <c r="M29" s="802">
        <f>10043-9225</f>
        <v>818</v>
      </c>
      <c r="N29" s="802">
        <f>23876-21858</f>
        <v>2018</v>
      </c>
      <c r="O29" s="336">
        <f>M29+N29</f>
        <v>2836</v>
      </c>
    </row>
    <row r="30" spans="1:15" ht="18">
      <c r="A30" s="621" t="s">
        <v>27</v>
      </c>
      <c r="B30" s="4" t="s">
        <v>239</v>
      </c>
      <c r="C30" s="343" t="s">
        <v>682</v>
      </c>
      <c r="D30" s="4"/>
      <c r="E30" s="115">
        <v>55</v>
      </c>
      <c r="F30" s="115" t="s">
        <v>683</v>
      </c>
      <c r="G30" s="115" t="s">
        <v>682</v>
      </c>
      <c r="H30" s="730" t="s">
        <v>886</v>
      </c>
      <c r="I30" s="4">
        <v>13496938</v>
      </c>
      <c r="J30" s="389" t="s">
        <v>457</v>
      </c>
      <c r="K30" s="335">
        <v>8</v>
      </c>
      <c r="L30" s="337"/>
      <c r="M30" s="34">
        <f>12043-9935</f>
        <v>2108</v>
      </c>
      <c r="N30" s="34">
        <f>4210-3504</f>
        <v>706</v>
      </c>
      <c r="O30" s="338">
        <f aca="true" t="shared" si="0" ref="O30:O35">M30+N30</f>
        <v>2814</v>
      </c>
    </row>
    <row r="31" spans="1:15" ht="18">
      <c r="A31" s="621" t="s">
        <v>27</v>
      </c>
      <c r="B31" s="4" t="s">
        <v>239</v>
      </c>
      <c r="C31" s="343" t="s">
        <v>682</v>
      </c>
      <c r="D31" s="4"/>
      <c r="E31" s="115"/>
      <c r="F31" s="115" t="s">
        <v>683</v>
      </c>
      <c r="G31" s="115" t="s">
        <v>682</v>
      </c>
      <c r="H31" s="729" t="s">
        <v>887</v>
      </c>
      <c r="I31" s="4">
        <v>38689</v>
      </c>
      <c r="J31" s="31" t="s">
        <v>67</v>
      </c>
      <c r="K31" s="335">
        <v>19</v>
      </c>
      <c r="L31" s="337"/>
      <c r="M31" s="34">
        <f>54486-44554</f>
        <v>9932</v>
      </c>
      <c r="N31" s="34">
        <f>136153-109972</f>
        <v>26181</v>
      </c>
      <c r="O31" s="338">
        <f t="shared" si="0"/>
        <v>36113</v>
      </c>
    </row>
    <row r="32" spans="1:15" ht="18">
      <c r="A32" s="621" t="s">
        <v>27</v>
      </c>
      <c r="B32" s="6" t="s">
        <v>520</v>
      </c>
      <c r="C32" s="343" t="s">
        <v>682</v>
      </c>
      <c r="D32" s="6"/>
      <c r="E32" s="115">
        <v>41</v>
      </c>
      <c r="F32" s="115" t="s">
        <v>683</v>
      </c>
      <c r="G32" s="115" t="s">
        <v>682</v>
      </c>
      <c r="H32" s="730" t="s">
        <v>882</v>
      </c>
      <c r="I32" s="4">
        <v>907709</v>
      </c>
      <c r="J32" s="31" t="s">
        <v>67</v>
      </c>
      <c r="K32" s="335">
        <v>6.6</v>
      </c>
      <c r="L32" s="337"/>
      <c r="M32" s="34">
        <f>9371-7230</f>
        <v>2141</v>
      </c>
      <c r="N32" s="34">
        <f>18517-14238</f>
        <v>4279</v>
      </c>
      <c r="O32" s="338">
        <f t="shared" si="0"/>
        <v>6420</v>
      </c>
    </row>
    <row r="33" spans="1:15" s="1" customFormat="1" ht="18">
      <c r="A33" s="621" t="s">
        <v>27</v>
      </c>
      <c r="B33" s="6"/>
      <c r="C33" s="343" t="s">
        <v>1336</v>
      </c>
      <c r="D33" s="6"/>
      <c r="E33" s="115" t="s">
        <v>1337</v>
      </c>
      <c r="F33" s="115" t="s">
        <v>683</v>
      </c>
      <c r="G33" s="115" t="s">
        <v>682</v>
      </c>
      <c r="H33" s="730" t="s">
        <v>1338</v>
      </c>
      <c r="I33" s="4">
        <v>90054664</v>
      </c>
      <c r="J33" s="31" t="s">
        <v>67</v>
      </c>
      <c r="K33" s="335">
        <v>4</v>
      </c>
      <c r="L33" s="337"/>
      <c r="M33" s="34">
        <v>328</v>
      </c>
      <c r="N33" s="34">
        <v>636</v>
      </c>
      <c r="O33" s="338">
        <f t="shared" si="0"/>
        <v>964</v>
      </c>
    </row>
    <row r="34" spans="1:15" s="1" customFormat="1" ht="18">
      <c r="A34" s="621" t="s">
        <v>27</v>
      </c>
      <c r="B34" s="6"/>
      <c r="C34" s="343" t="s">
        <v>1336</v>
      </c>
      <c r="D34" s="6"/>
      <c r="E34" s="115" t="s">
        <v>1339</v>
      </c>
      <c r="F34" s="115" t="s">
        <v>683</v>
      </c>
      <c r="G34" s="115" t="s">
        <v>682</v>
      </c>
      <c r="H34" s="730" t="s">
        <v>1340</v>
      </c>
      <c r="I34" s="4">
        <v>90030871</v>
      </c>
      <c r="J34" s="31" t="s">
        <v>67</v>
      </c>
      <c r="K34" s="335">
        <v>2</v>
      </c>
      <c r="L34" s="337"/>
      <c r="M34" s="34">
        <f>359-112</f>
        <v>247</v>
      </c>
      <c r="N34" s="34">
        <f>1106-224</f>
        <v>882</v>
      </c>
      <c r="O34" s="338">
        <f t="shared" si="0"/>
        <v>1129</v>
      </c>
    </row>
    <row r="35" spans="1:15" s="1" customFormat="1" ht="18">
      <c r="A35" s="621" t="s">
        <v>27</v>
      </c>
      <c r="B35" s="6"/>
      <c r="C35" s="343" t="s">
        <v>1336</v>
      </c>
      <c r="D35" s="6"/>
      <c r="E35" s="115" t="s">
        <v>1341</v>
      </c>
      <c r="F35" s="115" t="s">
        <v>683</v>
      </c>
      <c r="G35" s="115" t="s">
        <v>682</v>
      </c>
      <c r="H35" s="730" t="s">
        <v>1342</v>
      </c>
      <c r="I35" s="4">
        <v>71870627</v>
      </c>
      <c r="J35" s="31" t="s">
        <v>67</v>
      </c>
      <c r="K35" s="335">
        <v>4</v>
      </c>
      <c r="L35" s="337"/>
      <c r="M35" s="34">
        <f>392-285</f>
        <v>107</v>
      </c>
      <c r="N35" s="34">
        <f>949-674</f>
        <v>275</v>
      </c>
      <c r="O35" s="338">
        <f t="shared" si="0"/>
        <v>382</v>
      </c>
    </row>
    <row r="36" spans="1:15" s="1" customFormat="1" ht="18">
      <c r="A36" s="621" t="s">
        <v>27</v>
      </c>
      <c r="B36" s="342" t="s">
        <v>884</v>
      </c>
      <c r="C36" s="205" t="s">
        <v>687</v>
      </c>
      <c r="D36" s="115"/>
      <c r="E36" s="115" t="s">
        <v>1337</v>
      </c>
      <c r="F36" s="115" t="s">
        <v>683</v>
      </c>
      <c r="G36" s="115" t="s">
        <v>682</v>
      </c>
      <c r="H36" s="730" t="s">
        <v>1539</v>
      </c>
      <c r="I36" s="186">
        <v>90054664</v>
      </c>
      <c r="J36" s="31" t="s">
        <v>67</v>
      </c>
      <c r="K36" s="695">
        <v>4</v>
      </c>
      <c r="L36" s="337"/>
      <c r="M36" s="34">
        <f>242-105</f>
        <v>137</v>
      </c>
      <c r="N36" s="34">
        <f>482-121</f>
        <v>361</v>
      </c>
      <c r="O36" s="1088">
        <f>SUM(M36:N36)</f>
        <v>498</v>
      </c>
    </row>
    <row r="37" spans="1:15" s="1" customFormat="1" ht="29.25">
      <c r="A37" s="621" t="s">
        <v>27</v>
      </c>
      <c r="B37" s="342" t="s">
        <v>294</v>
      </c>
      <c r="C37" s="205" t="s">
        <v>687</v>
      </c>
      <c r="D37" s="115"/>
      <c r="E37" s="115" t="s">
        <v>1386</v>
      </c>
      <c r="F37" s="115" t="s">
        <v>683</v>
      </c>
      <c r="G37" s="115" t="s">
        <v>682</v>
      </c>
      <c r="H37" s="730" t="s">
        <v>1540</v>
      </c>
      <c r="I37" s="186">
        <v>71870629</v>
      </c>
      <c r="J37" s="31" t="s">
        <v>67</v>
      </c>
      <c r="K37" s="695">
        <v>22</v>
      </c>
      <c r="L37" s="337"/>
      <c r="M37" s="34">
        <f>20612-9222</f>
        <v>11390</v>
      </c>
      <c r="N37" s="34">
        <f>61888-26582</f>
        <v>35306</v>
      </c>
      <c r="O37" s="1088">
        <f>SUM(M37:N37)</f>
        <v>46696</v>
      </c>
    </row>
    <row r="38" spans="1:15" s="1" customFormat="1" ht="18">
      <c r="A38" s="621" t="s">
        <v>27</v>
      </c>
      <c r="B38" s="342" t="s">
        <v>884</v>
      </c>
      <c r="C38" s="205" t="s">
        <v>686</v>
      </c>
      <c r="D38" s="115"/>
      <c r="E38" s="115" t="s">
        <v>1387</v>
      </c>
      <c r="F38" s="115" t="s">
        <v>683</v>
      </c>
      <c r="G38" s="115" t="s">
        <v>682</v>
      </c>
      <c r="H38" s="730" t="s">
        <v>1541</v>
      </c>
      <c r="I38" s="115">
        <v>23060970</v>
      </c>
      <c r="J38" s="398" t="s">
        <v>747</v>
      </c>
      <c r="K38" s="695">
        <v>3</v>
      </c>
      <c r="L38" s="360">
        <f>4266-3131</f>
        <v>1135</v>
      </c>
      <c r="M38" s="35"/>
      <c r="N38" s="35"/>
      <c r="O38" s="714">
        <f>L38</f>
        <v>1135</v>
      </c>
    </row>
    <row r="39" spans="1:15" s="1" customFormat="1" ht="18">
      <c r="A39" s="621" t="s">
        <v>27</v>
      </c>
      <c r="B39" s="346" t="s">
        <v>1383</v>
      </c>
      <c r="C39" s="820" t="s">
        <v>1384</v>
      </c>
      <c r="D39" s="347"/>
      <c r="E39" s="347" t="s">
        <v>1385</v>
      </c>
      <c r="F39" s="347" t="s">
        <v>683</v>
      </c>
      <c r="G39" s="347" t="s">
        <v>682</v>
      </c>
      <c r="H39" s="730" t="s">
        <v>1542</v>
      </c>
      <c r="I39" s="347">
        <v>90113933</v>
      </c>
      <c r="J39" s="444" t="s">
        <v>29</v>
      </c>
      <c r="K39" s="694">
        <v>14</v>
      </c>
      <c r="L39" s="360">
        <f>49426-13253</f>
        <v>36173</v>
      </c>
      <c r="M39" s="35"/>
      <c r="N39" s="35"/>
      <c r="O39" s="714">
        <f>L39</f>
        <v>36173</v>
      </c>
    </row>
    <row r="40" spans="1:15" s="1" customFormat="1" ht="18.75" thickBot="1">
      <c r="A40" s="621" t="s">
        <v>27</v>
      </c>
      <c r="B40" s="342" t="s">
        <v>884</v>
      </c>
      <c r="C40" s="205" t="s">
        <v>1256</v>
      </c>
      <c r="D40" s="115"/>
      <c r="E40" s="115" t="s">
        <v>1257</v>
      </c>
      <c r="F40" s="115" t="s">
        <v>683</v>
      </c>
      <c r="G40" s="115" t="s">
        <v>682</v>
      </c>
      <c r="H40" s="730" t="s">
        <v>1543</v>
      </c>
      <c r="I40" s="115">
        <v>18666577</v>
      </c>
      <c r="J40" s="398" t="s">
        <v>747</v>
      </c>
      <c r="K40" s="695">
        <v>3</v>
      </c>
      <c r="L40" s="365">
        <v>10</v>
      </c>
      <c r="M40" s="204"/>
      <c r="N40" s="204"/>
      <c r="O40" s="1089">
        <f>L40</f>
        <v>10</v>
      </c>
    </row>
    <row r="41" spans="2:15" ht="15">
      <c r="B41" s="1185" t="s">
        <v>23</v>
      </c>
      <c r="C41" s="122" t="s">
        <v>884</v>
      </c>
      <c r="D41" s="1302"/>
      <c r="E41" s="1303"/>
      <c r="F41" s="1303"/>
      <c r="G41" s="1294" t="s">
        <v>1719</v>
      </c>
      <c r="H41" s="1302" t="s">
        <v>884</v>
      </c>
      <c r="I41" s="295"/>
      <c r="J41" s="1"/>
      <c r="K41" s="295"/>
      <c r="L41" s="1"/>
      <c r="M41" s="1"/>
      <c r="N41" s="275" t="s">
        <v>24</v>
      </c>
      <c r="O41" s="585">
        <f>SUM(O29:O40)</f>
        <v>135170</v>
      </c>
    </row>
    <row r="42" spans="2:15" s="1" customFormat="1" ht="15">
      <c r="B42" s="13"/>
      <c r="C42" s="724" t="s">
        <v>1221</v>
      </c>
      <c r="D42" s="1304"/>
      <c r="E42" s="1303"/>
      <c r="F42" s="1303"/>
      <c r="G42" s="1177"/>
      <c r="H42" s="1304" t="s">
        <v>1221</v>
      </c>
      <c r="I42" s="295"/>
      <c r="K42" s="295"/>
      <c r="N42" s="72"/>
      <c r="O42" s="72"/>
    </row>
    <row r="43" spans="2:15" ht="15.75" thickBot="1">
      <c r="B43" s="13"/>
      <c r="C43" s="724" t="s">
        <v>690</v>
      </c>
      <c r="D43" s="1304"/>
      <c r="E43" s="1303"/>
      <c r="F43" s="1303"/>
      <c r="G43" s="1305"/>
      <c r="H43" s="1157" t="s">
        <v>690</v>
      </c>
      <c r="I43" s="295"/>
      <c r="J43" s="1"/>
      <c r="K43" s="295"/>
      <c r="L43" s="1"/>
      <c r="M43" s="1"/>
      <c r="N43" s="1"/>
      <c r="O43" s="1"/>
    </row>
    <row r="44" spans="2:15" ht="15">
      <c r="B44" s="571" t="s">
        <v>169</v>
      </c>
      <c r="C44" s="724">
        <v>8222146582</v>
      </c>
      <c r="D44" s="725"/>
      <c r="E44" s="1303"/>
      <c r="F44" s="1303"/>
      <c r="G44" s="1303"/>
      <c r="H44" s="1303"/>
      <c r="I44" s="295"/>
      <c r="J44" s="1"/>
      <c r="K44" s="295"/>
      <c r="L44" s="1"/>
      <c r="M44" s="33"/>
      <c r="N44" s="33"/>
      <c r="O44" s="1"/>
    </row>
    <row r="45" spans="2:14" s="1" customFormat="1" ht="15.75" thickBot="1">
      <c r="B45" s="447" t="s">
        <v>1112</v>
      </c>
      <c r="C45" s="726" t="s">
        <v>1222</v>
      </c>
      <c r="D45" s="728"/>
      <c r="E45" s="1303"/>
      <c r="F45" s="1303"/>
      <c r="G45" s="1303"/>
      <c r="H45" s="1303"/>
      <c r="I45" s="295"/>
      <c r="K45" s="295"/>
      <c r="M45" s="33"/>
      <c r="N45" s="33"/>
    </row>
    <row r="46" spans="1:15" ht="14.25">
      <c r="A46" s="1"/>
      <c r="B46" s="1"/>
      <c r="C46" s="295"/>
      <c r="D46" s="295"/>
      <c r="E46" s="295"/>
      <c r="F46" s="295"/>
      <c r="G46" s="295"/>
      <c r="H46" s="295"/>
      <c r="I46" s="295"/>
      <c r="J46" s="1"/>
      <c r="K46" s="295"/>
      <c r="L46" s="1"/>
      <c r="M46" s="1"/>
      <c r="N46" s="1"/>
      <c r="O46" s="1"/>
    </row>
    <row r="47" spans="1:15" ht="15" thickBot="1">
      <c r="A47" s="1"/>
      <c r="B47" s="1"/>
      <c r="C47" s="295"/>
      <c r="D47" s="295"/>
      <c r="E47" s="295"/>
      <c r="F47" s="295"/>
      <c r="G47" s="295"/>
      <c r="H47" s="295"/>
      <c r="I47" s="295"/>
      <c r="J47" s="1"/>
      <c r="K47" s="295"/>
      <c r="L47" s="1"/>
      <c r="M47" s="1"/>
      <c r="N47" s="1"/>
      <c r="O47" s="1"/>
    </row>
    <row r="48" spans="1:15" ht="44.25" customHeight="1">
      <c r="A48" s="1580" t="s">
        <v>7</v>
      </c>
      <c r="B48" s="1591" t="s">
        <v>664</v>
      </c>
      <c r="C48" s="1594" t="s">
        <v>9</v>
      </c>
      <c r="D48" s="1594" t="s">
        <v>10</v>
      </c>
      <c r="E48" s="1574" t="s">
        <v>665</v>
      </c>
      <c r="F48" s="1574" t="s">
        <v>12</v>
      </c>
      <c r="G48" s="1594" t="s">
        <v>13</v>
      </c>
      <c r="H48" s="1574" t="s">
        <v>14</v>
      </c>
      <c r="I48" s="1574" t="s">
        <v>788</v>
      </c>
      <c r="J48" s="1574" t="s">
        <v>60</v>
      </c>
      <c r="K48" s="1697" t="s">
        <v>666</v>
      </c>
      <c r="L48" s="1634" t="s">
        <v>667</v>
      </c>
      <c r="M48" s="1634"/>
      <c r="N48" s="1634"/>
      <c r="O48" s="1641"/>
    </row>
    <row r="49" spans="1:15" ht="43.5" customHeight="1">
      <c r="A49" s="1581"/>
      <c r="B49" s="1592"/>
      <c r="C49" s="1595"/>
      <c r="D49" s="1595"/>
      <c r="E49" s="1575"/>
      <c r="F49" s="1575"/>
      <c r="G49" s="1595"/>
      <c r="H49" s="1575"/>
      <c r="I49" s="1613"/>
      <c r="J49" s="1575"/>
      <c r="K49" s="1698"/>
      <c r="L49" s="1568" t="s">
        <v>668</v>
      </c>
      <c r="M49" s="1568"/>
      <c r="N49" s="1568"/>
      <c r="O49" s="1598"/>
    </row>
    <row r="50" spans="1:15" ht="33.75" customHeight="1" thickBot="1">
      <c r="A50" s="1582"/>
      <c r="B50" s="1593"/>
      <c r="C50" s="1596"/>
      <c r="D50" s="1596"/>
      <c r="E50" s="1576"/>
      <c r="F50" s="1576"/>
      <c r="G50" s="1596"/>
      <c r="H50" s="1576"/>
      <c r="I50" s="1614"/>
      <c r="J50" s="1576"/>
      <c r="K50" s="1699"/>
      <c r="L50" s="277" t="s">
        <v>669</v>
      </c>
      <c r="M50" s="277" t="s">
        <v>670</v>
      </c>
      <c r="N50" s="277" t="s">
        <v>671</v>
      </c>
      <c r="O50" s="272" t="s">
        <v>17</v>
      </c>
    </row>
    <row r="51" spans="1:15" ht="30" thickBot="1">
      <c r="A51" s="621" t="s">
        <v>27</v>
      </c>
      <c r="B51" s="273" t="s">
        <v>163</v>
      </c>
      <c r="C51" s="346" t="s">
        <v>687</v>
      </c>
      <c r="D51" s="187"/>
      <c r="E51" s="347">
        <v>30</v>
      </c>
      <c r="F51" s="347" t="s">
        <v>683</v>
      </c>
      <c r="G51" s="452" t="s">
        <v>682</v>
      </c>
      <c r="H51" s="1306" t="s">
        <v>877</v>
      </c>
      <c r="I51" s="372">
        <v>907708</v>
      </c>
      <c r="J51" s="763" t="s">
        <v>67</v>
      </c>
      <c r="K51" s="1307">
        <v>4</v>
      </c>
      <c r="L51" s="349"/>
      <c r="M51" s="275">
        <f>27164-21209</f>
        <v>5955</v>
      </c>
      <c r="N51" s="275">
        <f>52503-40928</f>
        <v>11575</v>
      </c>
      <c r="O51" s="350">
        <f>M51+N51</f>
        <v>17530</v>
      </c>
    </row>
    <row r="52" spans="1:15" s="27" customFormat="1" ht="18">
      <c r="A52" s="296"/>
      <c r="B52" s="1185" t="s">
        <v>23</v>
      </c>
      <c r="C52" s="122" t="s">
        <v>884</v>
      </c>
      <c r="D52" s="1302"/>
      <c r="E52" s="58"/>
      <c r="F52" s="58"/>
      <c r="G52" s="1294" t="s">
        <v>1719</v>
      </c>
      <c r="H52" s="722" t="s">
        <v>1798</v>
      </c>
      <c r="I52" s="125"/>
      <c r="J52" s="1308"/>
      <c r="K52" s="1309"/>
      <c r="L52" s="61"/>
      <c r="M52" s="61"/>
      <c r="N52" s="34" t="s">
        <v>24</v>
      </c>
      <c r="O52" s="574">
        <f>SUM(O45:O51)</f>
        <v>17530</v>
      </c>
    </row>
    <row r="53" spans="1:15" s="27" customFormat="1" ht="18">
      <c r="A53" s="296"/>
      <c r="B53" s="13"/>
      <c r="C53" s="724" t="s">
        <v>1221</v>
      </c>
      <c r="D53" s="1304"/>
      <c r="E53" s="58"/>
      <c r="F53" s="58"/>
      <c r="G53" s="1310"/>
      <c r="H53" s="600" t="s">
        <v>1795</v>
      </c>
      <c r="I53" s="45"/>
      <c r="J53" s="1300"/>
      <c r="K53" s="1311"/>
      <c r="L53" s="61"/>
      <c r="M53" s="61"/>
      <c r="N53" s="61"/>
      <c r="O53" s="61"/>
    </row>
    <row r="54" spans="1:15" s="27" customFormat="1" ht="18.75" thickBot="1">
      <c r="A54" s="296"/>
      <c r="B54" s="13"/>
      <c r="C54" s="724" t="s">
        <v>690</v>
      </c>
      <c r="D54" s="1304"/>
      <c r="E54" s="58"/>
      <c r="F54" s="58"/>
      <c r="G54" s="1312"/>
      <c r="H54" s="456" t="s">
        <v>690</v>
      </c>
      <c r="I54" s="116"/>
      <c r="J54" s="1313"/>
      <c r="K54" s="1314"/>
      <c r="L54" s="61"/>
      <c r="M54" s="61"/>
      <c r="N54" s="61"/>
      <c r="O54" s="61"/>
    </row>
    <row r="55" spans="1:15" s="27" customFormat="1" ht="18">
      <c r="A55" s="296"/>
      <c r="B55" s="571" t="s">
        <v>169</v>
      </c>
      <c r="C55" s="724">
        <v>8222146582</v>
      </c>
      <c r="D55" s="725"/>
      <c r="E55" s="58"/>
      <c r="F55" s="58"/>
      <c r="G55" s="58"/>
      <c r="H55" s="659"/>
      <c r="I55" s="59"/>
      <c r="J55" s="1300"/>
      <c r="K55" s="1301"/>
      <c r="L55" s="61"/>
      <c r="M55" s="61"/>
      <c r="N55" s="61"/>
      <c r="O55" s="61"/>
    </row>
    <row r="56" spans="1:15" s="27" customFormat="1" ht="18.75" thickBot="1">
      <c r="A56" s="296"/>
      <c r="B56" s="447" t="s">
        <v>1112</v>
      </c>
      <c r="C56" s="726" t="s">
        <v>1222</v>
      </c>
      <c r="D56" s="728"/>
      <c r="E56" s="58"/>
      <c r="F56" s="58"/>
      <c r="G56" s="58"/>
      <c r="H56" s="659"/>
      <c r="I56" s="59"/>
      <c r="J56" s="1300"/>
      <c r="K56" s="1301"/>
      <c r="L56" s="61"/>
      <c r="M56" s="61"/>
      <c r="N56" s="61"/>
      <c r="O56" s="61"/>
    </row>
    <row r="57" spans="1:15" s="27" customFormat="1" ht="18">
      <c r="A57" s="296"/>
      <c r="B57" s="68"/>
      <c r="C57" s="294"/>
      <c r="D57" s="59"/>
      <c r="E57" s="58"/>
      <c r="F57" s="58"/>
      <c r="G57" s="58"/>
      <c r="H57" s="659"/>
      <c r="I57" s="59"/>
      <c r="J57" s="1300"/>
      <c r="K57" s="1301"/>
      <c r="L57" s="61"/>
      <c r="M57" s="61"/>
      <c r="N57" s="61"/>
      <c r="O57" s="61"/>
    </row>
    <row r="58" spans="1:15" s="27" customFormat="1" ht="18.75" thickBot="1">
      <c r="A58" s="296"/>
      <c r="B58" s="68"/>
      <c r="C58" s="294"/>
      <c r="D58" s="59"/>
      <c r="E58" s="58"/>
      <c r="F58" s="58"/>
      <c r="G58" s="58"/>
      <c r="H58" s="58"/>
      <c r="I58" s="59"/>
      <c r="J58" s="1300"/>
      <c r="K58" s="1301"/>
      <c r="L58" s="61"/>
      <c r="M58" s="61"/>
      <c r="N58" s="61"/>
      <c r="O58" s="61"/>
    </row>
    <row r="59" spans="1:15" s="27" customFormat="1" ht="33.75" customHeight="1">
      <c r="A59" s="1580" t="s">
        <v>7</v>
      </c>
      <c r="B59" s="1591" t="s">
        <v>664</v>
      </c>
      <c r="C59" s="1594" t="s">
        <v>9</v>
      </c>
      <c r="D59" s="1594" t="s">
        <v>10</v>
      </c>
      <c r="E59" s="1574" t="s">
        <v>665</v>
      </c>
      <c r="F59" s="1574" t="s">
        <v>12</v>
      </c>
      <c r="G59" s="1594" t="s">
        <v>13</v>
      </c>
      <c r="H59" s="1574" t="s">
        <v>14</v>
      </c>
      <c r="I59" s="1574" t="s">
        <v>788</v>
      </c>
      <c r="J59" s="1574" t="s">
        <v>60</v>
      </c>
      <c r="K59" s="1697" t="s">
        <v>666</v>
      </c>
      <c r="L59" s="1634" t="s">
        <v>667</v>
      </c>
      <c r="M59" s="1634"/>
      <c r="N59" s="1634"/>
      <c r="O59" s="1641"/>
    </row>
    <row r="60" spans="1:16" ht="33.75" customHeight="1">
      <c r="A60" s="1581"/>
      <c r="B60" s="1592"/>
      <c r="C60" s="1595"/>
      <c r="D60" s="1595"/>
      <c r="E60" s="1575"/>
      <c r="F60" s="1575"/>
      <c r="G60" s="1595"/>
      <c r="H60" s="1575"/>
      <c r="I60" s="1613"/>
      <c r="J60" s="1575"/>
      <c r="K60" s="1698"/>
      <c r="L60" s="1568" t="s">
        <v>668</v>
      </c>
      <c r="M60" s="1568"/>
      <c r="N60" s="1568"/>
      <c r="O60" s="1598"/>
      <c r="P60" s="1"/>
    </row>
    <row r="61" spans="1:15" ht="33.75" customHeight="1" thickBot="1">
      <c r="A61" s="1582"/>
      <c r="B61" s="1593"/>
      <c r="C61" s="1596"/>
      <c r="D61" s="1596"/>
      <c r="E61" s="1576"/>
      <c r="F61" s="1576"/>
      <c r="G61" s="1596"/>
      <c r="H61" s="1576"/>
      <c r="I61" s="1614"/>
      <c r="J61" s="1576"/>
      <c r="K61" s="1699"/>
      <c r="L61" s="1215" t="s">
        <v>669</v>
      </c>
      <c r="M61" s="1215" t="s">
        <v>670</v>
      </c>
      <c r="N61" s="1215" t="s">
        <v>671</v>
      </c>
      <c r="O61" s="1216" t="s">
        <v>17</v>
      </c>
    </row>
    <row r="62" spans="1:16" ht="29.25">
      <c r="A62" s="621" t="s">
        <v>27</v>
      </c>
      <c r="B62" s="3" t="s">
        <v>1716</v>
      </c>
      <c r="C62" s="342" t="s">
        <v>682</v>
      </c>
      <c r="D62" s="4" t="s">
        <v>172</v>
      </c>
      <c r="E62" s="115">
        <v>10</v>
      </c>
      <c r="F62" s="115" t="s">
        <v>683</v>
      </c>
      <c r="G62" s="115" t="s">
        <v>682</v>
      </c>
      <c r="H62" s="730" t="s">
        <v>1255</v>
      </c>
      <c r="I62" s="4">
        <v>350089</v>
      </c>
      <c r="J62" s="31" t="s">
        <v>67</v>
      </c>
      <c r="K62" s="695">
        <v>12</v>
      </c>
      <c r="L62" s="35"/>
      <c r="M62" s="34">
        <f>51668-32459</f>
        <v>19209</v>
      </c>
      <c r="N62" s="34">
        <f>102627-65167</f>
        <v>37460</v>
      </c>
      <c r="O62" s="34">
        <f>M62+N62</f>
        <v>56669</v>
      </c>
      <c r="P62" s="1"/>
    </row>
    <row r="63" spans="1:15" s="1" customFormat="1" ht="29.25">
      <c r="A63" s="621" t="s">
        <v>27</v>
      </c>
      <c r="B63" s="3" t="s">
        <v>1716</v>
      </c>
      <c r="C63" s="344" t="s">
        <v>682</v>
      </c>
      <c r="D63" s="6" t="s">
        <v>172</v>
      </c>
      <c r="E63" s="115">
        <v>10</v>
      </c>
      <c r="F63" s="343" t="s">
        <v>683</v>
      </c>
      <c r="G63" s="115" t="s">
        <v>682</v>
      </c>
      <c r="H63" s="729" t="s">
        <v>1544</v>
      </c>
      <c r="I63" s="4">
        <v>41352</v>
      </c>
      <c r="J63" s="31" t="s">
        <v>67</v>
      </c>
      <c r="K63" s="695">
        <v>4</v>
      </c>
      <c r="L63" s="35"/>
      <c r="M63" s="34">
        <v>50</v>
      </c>
      <c r="N63" s="34">
        <v>100</v>
      </c>
      <c r="O63" s="34">
        <f>M63+N63</f>
        <v>150</v>
      </c>
    </row>
    <row r="64" spans="1:15" s="1" customFormat="1" ht="30" thickBot="1">
      <c r="A64" s="621" t="s">
        <v>27</v>
      </c>
      <c r="B64" s="3" t="s">
        <v>1716</v>
      </c>
      <c r="C64" s="342" t="s">
        <v>682</v>
      </c>
      <c r="D64" s="4" t="s">
        <v>172</v>
      </c>
      <c r="E64" s="115">
        <v>10</v>
      </c>
      <c r="F64" s="115" t="s">
        <v>683</v>
      </c>
      <c r="G64" s="343" t="s">
        <v>682</v>
      </c>
      <c r="H64" s="1306" t="s">
        <v>1545</v>
      </c>
      <c r="I64" s="4">
        <v>41353</v>
      </c>
      <c r="J64" s="31" t="s">
        <v>67</v>
      </c>
      <c r="K64" s="695">
        <v>4</v>
      </c>
      <c r="L64" s="35"/>
      <c r="M64" s="34">
        <f>45*12</f>
        <v>540</v>
      </c>
      <c r="N64" s="34">
        <f>102*12</f>
        <v>1224</v>
      </c>
      <c r="O64" s="34">
        <f>M64+N64</f>
        <v>1764</v>
      </c>
    </row>
    <row r="65" spans="2:15" ht="15">
      <c r="B65" s="1185" t="s">
        <v>23</v>
      </c>
      <c r="C65" s="122" t="s">
        <v>884</v>
      </c>
      <c r="D65" s="1302"/>
      <c r="E65" s="269"/>
      <c r="F65" s="269"/>
      <c r="G65" s="1294" t="s">
        <v>1719</v>
      </c>
      <c r="H65" s="1302" t="s">
        <v>1796</v>
      </c>
      <c r="J65" s="295"/>
      <c r="K65" s="1"/>
      <c r="M65" s="1"/>
      <c r="N65" s="275" t="s">
        <v>24</v>
      </c>
      <c r="O65" s="585">
        <f>SUM(O62:O64)</f>
        <v>58583</v>
      </c>
    </row>
    <row r="66" spans="2:15" ht="15">
      <c r="B66" s="13"/>
      <c r="C66" s="724" t="s">
        <v>1221</v>
      </c>
      <c r="D66" s="1304"/>
      <c r="E66" s="269"/>
      <c r="F66" s="269"/>
      <c r="G66" s="1177"/>
      <c r="H66" s="1304" t="s">
        <v>1797</v>
      </c>
      <c r="I66" s="295"/>
      <c r="J66" s="1"/>
      <c r="K66" s="295"/>
      <c r="L66" s="1"/>
      <c r="M66" s="1"/>
      <c r="N66" s="1"/>
      <c r="O66" s="1"/>
    </row>
    <row r="67" spans="2:15" ht="15.75" thickBot="1">
      <c r="B67" s="13"/>
      <c r="C67" s="724" t="s">
        <v>690</v>
      </c>
      <c r="D67" s="1304"/>
      <c r="E67" s="269"/>
      <c r="F67" s="269"/>
      <c r="G67" s="1305"/>
      <c r="H67" s="1139" t="s">
        <v>690</v>
      </c>
      <c r="I67" s="295"/>
      <c r="J67" s="1"/>
      <c r="K67" s="295"/>
      <c r="L67" s="1"/>
      <c r="M67" s="33"/>
      <c r="N67" s="33"/>
      <c r="O67" s="1"/>
    </row>
    <row r="68" spans="2:15" ht="13.5" customHeight="1">
      <c r="B68" s="571" t="s">
        <v>169</v>
      </c>
      <c r="C68" s="724">
        <v>8222146582</v>
      </c>
      <c r="D68" s="725"/>
      <c r="E68" s="269"/>
      <c r="F68" s="269"/>
      <c r="G68" s="295"/>
      <c r="H68" s="700"/>
      <c r="I68" s="295"/>
      <c r="J68" s="1"/>
      <c r="K68" s="295"/>
      <c r="L68" s="1"/>
      <c r="M68" s="1"/>
      <c r="N68" s="1"/>
      <c r="O68" s="1"/>
    </row>
    <row r="69" spans="2:11" s="1" customFormat="1" ht="13.5" customHeight="1" thickBot="1">
      <c r="B69" s="447" t="s">
        <v>1112</v>
      </c>
      <c r="C69" s="726" t="s">
        <v>1222</v>
      </c>
      <c r="D69" s="728"/>
      <c r="E69" s="269"/>
      <c r="F69" s="269"/>
      <c r="G69" s="295"/>
      <c r="H69" s="700"/>
      <c r="I69" s="295"/>
      <c r="K69" s="295"/>
    </row>
    <row r="70" spans="2:11" s="1" customFormat="1" ht="13.5" customHeight="1" thickBot="1">
      <c r="B70" s="595"/>
      <c r="C70" s="600"/>
      <c r="D70" s="724"/>
      <c r="E70" s="269"/>
      <c r="F70" s="269"/>
      <c r="G70" s="1214"/>
      <c r="H70" s="1214"/>
      <c r="I70" s="1214"/>
      <c r="K70" s="1214"/>
    </row>
    <row r="71" spans="1:15" s="1" customFormat="1" ht="39.75" customHeight="1">
      <c r="A71" s="1580" t="s">
        <v>7</v>
      </c>
      <c r="B71" s="1591" t="s">
        <v>664</v>
      </c>
      <c r="C71" s="1594" t="s">
        <v>9</v>
      </c>
      <c r="D71" s="1594" t="s">
        <v>10</v>
      </c>
      <c r="E71" s="1574" t="s">
        <v>665</v>
      </c>
      <c r="F71" s="1574" t="s">
        <v>12</v>
      </c>
      <c r="G71" s="1594" t="s">
        <v>13</v>
      </c>
      <c r="H71" s="1574" t="s">
        <v>14</v>
      </c>
      <c r="I71" s="1574" t="s">
        <v>788</v>
      </c>
      <c r="J71" s="1574" t="s">
        <v>60</v>
      </c>
      <c r="K71" s="1697" t="s">
        <v>666</v>
      </c>
      <c r="L71" s="1634" t="s">
        <v>667</v>
      </c>
      <c r="M71" s="1634"/>
      <c r="N71" s="1634"/>
      <c r="O71" s="1641"/>
    </row>
    <row r="72" spans="1:15" s="1" customFormat="1" ht="39.75" customHeight="1">
      <c r="A72" s="1581"/>
      <c r="B72" s="1592"/>
      <c r="C72" s="1595"/>
      <c r="D72" s="1595"/>
      <c r="E72" s="1575"/>
      <c r="F72" s="1575"/>
      <c r="G72" s="1595"/>
      <c r="H72" s="1575"/>
      <c r="I72" s="1613"/>
      <c r="J72" s="1575"/>
      <c r="K72" s="1698"/>
      <c r="L72" s="1568" t="s">
        <v>668</v>
      </c>
      <c r="M72" s="1568"/>
      <c r="N72" s="1568"/>
      <c r="O72" s="1598"/>
    </row>
    <row r="73" spans="1:15" s="1" customFormat="1" ht="25.5" customHeight="1" thickBot="1">
      <c r="A73" s="1582"/>
      <c r="B73" s="1593"/>
      <c r="C73" s="1596"/>
      <c r="D73" s="1596"/>
      <c r="E73" s="1576"/>
      <c r="F73" s="1576"/>
      <c r="G73" s="1596"/>
      <c r="H73" s="1576"/>
      <c r="I73" s="1614"/>
      <c r="J73" s="1576"/>
      <c r="K73" s="1699"/>
      <c r="L73" s="1215" t="s">
        <v>669</v>
      </c>
      <c r="M73" s="1215" t="s">
        <v>670</v>
      </c>
      <c r="N73" s="1215" t="s">
        <v>671</v>
      </c>
      <c r="O73" s="1216" t="s">
        <v>17</v>
      </c>
    </row>
    <row r="74" spans="1:15" s="1" customFormat="1" ht="27" customHeight="1">
      <c r="A74" s="621" t="s">
        <v>27</v>
      </c>
      <c r="B74" s="3" t="s">
        <v>163</v>
      </c>
      <c r="C74" s="342" t="s">
        <v>686</v>
      </c>
      <c r="D74" s="4"/>
      <c r="E74" s="115" t="s">
        <v>688</v>
      </c>
      <c r="F74" s="115" t="s">
        <v>683</v>
      </c>
      <c r="G74" s="115" t="s">
        <v>682</v>
      </c>
      <c r="H74" s="730" t="s">
        <v>878</v>
      </c>
      <c r="I74" s="4">
        <v>907711</v>
      </c>
      <c r="J74" s="31" t="s">
        <v>67</v>
      </c>
      <c r="K74" s="695">
        <v>6.6</v>
      </c>
      <c r="L74" s="35"/>
      <c r="M74" s="34">
        <f>17275-12651</f>
        <v>4624</v>
      </c>
      <c r="N74" s="34">
        <f>31796-22805</f>
        <v>8991</v>
      </c>
      <c r="O74" s="34">
        <f>M74+N74</f>
        <v>13615</v>
      </c>
    </row>
    <row r="75" spans="1:15" s="1" customFormat="1" ht="27" customHeight="1" thickBot="1">
      <c r="A75" s="621" t="s">
        <v>27</v>
      </c>
      <c r="B75" s="3" t="s">
        <v>689</v>
      </c>
      <c r="C75" s="342" t="s">
        <v>686</v>
      </c>
      <c r="D75" s="4"/>
      <c r="E75" s="115">
        <v>45</v>
      </c>
      <c r="F75" s="115" t="s">
        <v>683</v>
      </c>
      <c r="G75" s="343" t="s">
        <v>682</v>
      </c>
      <c r="H75" s="1306" t="s">
        <v>879</v>
      </c>
      <c r="I75" s="6">
        <v>871788</v>
      </c>
      <c r="J75" s="1069" t="s">
        <v>67</v>
      </c>
      <c r="K75" s="695">
        <v>3</v>
      </c>
      <c r="L75" s="35"/>
      <c r="M75" s="34">
        <f>187-153</f>
        <v>34</v>
      </c>
      <c r="N75" s="34">
        <f>511-414</f>
        <v>97</v>
      </c>
      <c r="O75" s="34">
        <f>M75+N75</f>
        <v>131</v>
      </c>
    </row>
    <row r="76" spans="2:15" s="1" customFormat="1" ht="13.5" customHeight="1">
      <c r="B76" s="1185" t="s">
        <v>23</v>
      </c>
      <c r="C76" s="122" t="s">
        <v>884</v>
      </c>
      <c r="D76" s="1302"/>
      <c r="E76" s="269"/>
      <c r="F76" s="269"/>
      <c r="G76" s="1294" t="s">
        <v>1719</v>
      </c>
      <c r="H76" s="122" t="s">
        <v>1799</v>
      </c>
      <c r="I76" s="723"/>
      <c r="J76" s="12"/>
      <c r="K76" s="1214"/>
      <c r="N76" s="34" t="s">
        <v>24</v>
      </c>
      <c r="O76" s="574">
        <f>SUM(O74:O75)</f>
        <v>13746</v>
      </c>
    </row>
    <row r="77" spans="2:11" s="1" customFormat="1" ht="13.5" customHeight="1">
      <c r="B77" s="13"/>
      <c r="C77" s="724" t="s">
        <v>1221</v>
      </c>
      <c r="D77" s="1304"/>
      <c r="E77" s="269"/>
      <c r="F77" s="269"/>
      <c r="G77" s="1177"/>
      <c r="H77" s="724" t="s">
        <v>1800</v>
      </c>
      <c r="I77" s="269"/>
      <c r="J77" s="15"/>
      <c r="K77" s="1214"/>
    </row>
    <row r="78" spans="2:11" s="1" customFormat="1" ht="13.5" customHeight="1" thickBot="1">
      <c r="B78" s="13"/>
      <c r="C78" s="724" t="s">
        <v>690</v>
      </c>
      <c r="D78" s="1304"/>
      <c r="E78" s="269"/>
      <c r="F78" s="269"/>
      <c r="G78" s="1305"/>
      <c r="H78" s="456" t="s">
        <v>690</v>
      </c>
      <c r="I78" s="727"/>
      <c r="J78" s="18"/>
      <c r="K78" s="1214"/>
    </row>
    <row r="79" spans="2:11" s="1" customFormat="1" ht="13.5" customHeight="1">
      <c r="B79" s="571" t="s">
        <v>169</v>
      </c>
      <c r="C79" s="724">
        <v>8222146582</v>
      </c>
      <c r="D79" s="725"/>
      <c r="E79" s="269"/>
      <c r="F79" s="269"/>
      <c r="G79" s="1214"/>
      <c r="H79" s="700"/>
      <c r="I79" s="1214"/>
      <c r="K79" s="1214"/>
    </row>
    <row r="80" spans="2:11" s="1" customFormat="1" ht="13.5" customHeight="1" thickBot="1">
      <c r="B80" s="447" t="s">
        <v>1112</v>
      </c>
      <c r="C80" s="726" t="s">
        <v>1222</v>
      </c>
      <c r="D80" s="728"/>
      <c r="E80" s="269"/>
      <c r="F80" s="269"/>
      <c r="G80" s="1214"/>
      <c r="H80" s="700"/>
      <c r="I80" s="1214"/>
      <c r="K80" s="1214"/>
    </row>
    <row r="81" spans="2:11" s="1" customFormat="1" ht="13.5" customHeight="1" thickBot="1">
      <c r="B81" s="595"/>
      <c r="C81" s="600"/>
      <c r="D81" s="724"/>
      <c r="E81" s="269"/>
      <c r="F81" s="269"/>
      <c r="G81" s="1214"/>
      <c r="H81" s="1214"/>
      <c r="I81" s="1214"/>
      <c r="K81" s="1214"/>
    </row>
    <row r="82" spans="1:15" s="1" customFormat="1" ht="36" customHeight="1">
      <c r="A82" s="1580" t="s">
        <v>7</v>
      </c>
      <c r="B82" s="1591" t="s">
        <v>664</v>
      </c>
      <c r="C82" s="1594" t="s">
        <v>9</v>
      </c>
      <c r="D82" s="1594" t="s">
        <v>10</v>
      </c>
      <c r="E82" s="1574" t="s">
        <v>665</v>
      </c>
      <c r="F82" s="1574" t="s">
        <v>12</v>
      </c>
      <c r="G82" s="1594" t="s">
        <v>13</v>
      </c>
      <c r="H82" s="1574" t="s">
        <v>14</v>
      </c>
      <c r="I82" s="1574" t="s">
        <v>788</v>
      </c>
      <c r="J82" s="1574" t="s">
        <v>60</v>
      </c>
      <c r="K82" s="1697" t="s">
        <v>666</v>
      </c>
      <c r="L82" s="1634" t="s">
        <v>667</v>
      </c>
      <c r="M82" s="1634"/>
      <c r="N82" s="1634"/>
      <c r="O82" s="1641"/>
    </row>
    <row r="83" spans="1:15" s="1" customFormat="1" ht="36" customHeight="1">
      <c r="A83" s="1581"/>
      <c r="B83" s="1592"/>
      <c r="C83" s="1595"/>
      <c r="D83" s="1595"/>
      <c r="E83" s="1575"/>
      <c r="F83" s="1575"/>
      <c r="G83" s="1595"/>
      <c r="H83" s="1575"/>
      <c r="I83" s="1613"/>
      <c r="J83" s="1575"/>
      <c r="K83" s="1698"/>
      <c r="L83" s="1568" t="s">
        <v>668</v>
      </c>
      <c r="M83" s="1568"/>
      <c r="N83" s="1568"/>
      <c r="O83" s="1598"/>
    </row>
    <row r="84" spans="1:15" s="1" customFormat="1" ht="36" customHeight="1" thickBot="1">
      <c r="A84" s="1582"/>
      <c r="B84" s="1593"/>
      <c r="C84" s="1596"/>
      <c r="D84" s="1596"/>
      <c r="E84" s="1576"/>
      <c r="F84" s="1576"/>
      <c r="G84" s="1596"/>
      <c r="H84" s="1576"/>
      <c r="I84" s="1614"/>
      <c r="J84" s="1576"/>
      <c r="K84" s="1699"/>
      <c r="L84" s="1215" t="s">
        <v>669</v>
      </c>
      <c r="M84" s="1215" t="s">
        <v>670</v>
      </c>
      <c r="N84" s="1215" t="s">
        <v>671</v>
      </c>
      <c r="O84" s="1216" t="s">
        <v>17</v>
      </c>
    </row>
    <row r="85" spans="1:15" s="1" customFormat="1" ht="35.25" customHeight="1" thickBot="1">
      <c r="A85" s="621" t="s">
        <v>27</v>
      </c>
      <c r="B85" s="1144" t="s">
        <v>163</v>
      </c>
      <c r="C85" s="1298" t="s">
        <v>684</v>
      </c>
      <c r="D85" s="1120" t="s">
        <v>172</v>
      </c>
      <c r="E85" s="1299">
        <v>3</v>
      </c>
      <c r="F85" s="1299" t="s">
        <v>683</v>
      </c>
      <c r="G85" s="343" t="s">
        <v>682</v>
      </c>
      <c r="H85" s="1306" t="s">
        <v>880</v>
      </c>
      <c r="I85" s="6">
        <v>907710</v>
      </c>
      <c r="J85" s="1069" t="s">
        <v>67</v>
      </c>
      <c r="K85" s="695">
        <v>22</v>
      </c>
      <c r="L85" s="35"/>
      <c r="M85" s="34">
        <f>11793-8550</f>
        <v>3243</v>
      </c>
      <c r="N85" s="34">
        <f>26154-18690</f>
        <v>7464</v>
      </c>
      <c r="O85" s="34">
        <f>M85+N85</f>
        <v>10707</v>
      </c>
    </row>
    <row r="86" spans="2:15" s="1" customFormat="1" ht="13.5" customHeight="1">
      <c r="B86" s="1185" t="s">
        <v>23</v>
      </c>
      <c r="C86" s="122" t="s">
        <v>884</v>
      </c>
      <c r="D86" s="1302"/>
      <c r="E86" s="269"/>
      <c r="F86" s="269"/>
      <c r="G86" s="1294" t="s">
        <v>1719</v>
      </c>
      <c r="H86" s="122" t="s">
        <v>1801</v>
      </c>
      <c r="I86" s="723"/>
      <c r="J86" s="12"/>
      <c r="K86" s="1214"/>
      <c r="N86" s="34" t="s">
        <v>24</v>
      </c>
      <c r="O86" s="574">
        <f>SUM(O79:O85)</f>
        <v>10707</v>
      </c>
    </row>
    <row r="87" spans="2:11" s="1" customFormat="1" ht="13.5" customHeight="1">
      <c r="B87" s="13"/>
      <c r="C87" s="724" t="s">
        <v>1221</v>
      </c>
      <c r="D87" s="1304"/>
      <c r="E87" s="269"/>
      <c r="F87" s="269"/>
      <c r="G87" s="1177"/>
      <c r="H87" s="724" t="s">
        <v>1802</v>
      </c>
      <c r="I87" s="269"/>
      <c r="J87" s="15"/>
      <c r="K87" s="1214"/>
    </row>
    <row r="88" spans="2:11" s="1" customFormat="1" ht="13.5" customHeight="1">
      <c r="B88" s="13"/>
      <c r="C88" s="724" t="s">
        <v>690</v>
      </c>
      <c r="D88" s="1304"/>
      <c r="E88" s="269"/>
      <c r="F88" s="269"/>
      <c r="G88" s="1177"/>
      <c r="H88" s="14" t="s">
        <v>684</v>
      </c>
      <c r="I88" s="269"/>
      <c r="J88" s="15"/>
      <c r="K88" s="1214"/>
    </row>
    <row r="89" spans="2:11" s="1" customFormat="1" ht="13.5" customHeight="1" thickBot="1">
      <c r="B89" s="571" t="s">
        <v>169</v>
      </c>
      <c r="C89" s="724">
        <v>8222146582</v>
      </c>
      <c r="D89" s="725"/>
      <c r="E89" s="269"/>
      <c r="F89" s="269"/>
      <c r="G89" s="1305"/>
      <c r="H89" s="456" t="s">
        <v>690</v>
      </c>
      <c r="I89" s="727"/>
      <c r="J89" s="18"/>
      <c r="K89" s="1214"/>
    </row>
    <row r="90" spans="2:11" s="1" customFormat="1" ht="14.25" customHeight="1" thickBot="1">
      <c r="B90" s="447" t="s">
        <v>1112</v>
      </c>
      <c r="C90" s="726" t="s">
        <v>1222</v>
      </c>
      <c r="D90" s="728"/>
      <c r="E90" s="57"/>
      <c r="F90" s="345"/>
      <c r="G90" s="699"/>
      <c r="H90" s="701"/>
      <c r="I90" s="700"/>
      <c r="J90" s="700"/>
      <c r="K90" s="295"/>
    </row>
    <row r="91" spans="2:11" s="1" customFormat="1" ht="15" thickBot="1">
      <c r="B91" s="614"/>
      <c r="C91" s="659"/>
      <c r="D91" s="345"/>
      <c r="E91" s="57"/>
      <c r="F91" s="57"/>
      <c r="G91" s="809"/>
      <c r="H91" s="809"/>
      <c r="I91" s="809"/>
      <c r="K91" s="809"/>
    </row>
    <row r="92" spans="1:21" s="1" customFormat="1" ht="46.5" customHeight="1">
      <c r="A92" s="1580" t="s">
        <v>7</v>
      </c>
      <c r="B92" s="1574" t="s">
        <v>8</v>
      </c>
      <c r="C92" s="1574" t="s">
        <v>9</v>
      </c>
      <c r="D92" s="1574" t="s">
        <v>10</v>
      </c>
      <c r="E92" s="1574" t="s">
        <v>919</v>
      </c>
      <c r="F92" s="1574" t="s">
        <v>12</v>
      </c>
      <c r="G92" s="1574" t="s">
        <v>13</v>
      </c>
      <c r="H92" s="1571" t="s">
        <v>15</v>
      </c>
      <c r="I92" s="1571" t="s">
        <v>282</v>
      </c>
      <c r="J92" s="1571" t="s">
        <v>60</v>
      </c>
      <c r="K92" s="1650" t="s">
        <v>16</v>
      </c>
      <c r="L92" s="1615" t="s">
        <v>672</v>
      </c>
      <c r="M92" s="1616"/>
      <c r="N92" s="1616"/>
      <c r="O92" s="1617"/>
      <c r="P92" s="1615" t="s">
        <v>673</v>
      </c>
      <c r="Q92" s="1616"/>
      <c r="R92" s="1616"/>
      <c r="S92" s="1617"/>
      <c r="T92" s="1571" t="s">
        <v>1232</v>
      </c>
      <c r="U92" s="1657" t="s">
        <v>1184</v>
      </c>
    </row>
    <row r="93" spans="1:21" s="1" customFormat="1" ht="30.75" customHeight="1">
      <c r="A93" s="1581"/>
      <c r="B93" s="1575"/>
      <c r="C93" s="1575"/>
      <c r="D93" s="1575"/>
      <c r="E93" s="1575"/>
      <c r="F93" s="1575"/>
      <c r="G93" s="1575"/>
      <c r="H93" s="1572"/>
      <c r="I93" s="1572"/>
      <c r="J93" s="1572"/>
      <c r="K93" s="1651"/>
      <c r="L93" s="1703" t="s">
        <v>669</v>
      </c>
      <c r="M93" s="1652" t="s">
        <v>670</v>
      </c>
      <c r="N93" s="1652" t="s">
        <v>671</v>
      </c>
      <c r="O93" s="1653" t="s">
        <v>674</v>
      </c>
      <c r="P93" s="1703" t="s">
        <v>669</v>
      </c>
      <c r="Q93" s="1652" t="s">
        <v>670</v>
      </c>
      <c r="R93" s="1652" t="s">
        <v>671</v>
      </c>
      <c r="S93" s="1653" t="s">
        <v>674</v>
      </c>
      <c r="T93" s="1572"/>
      <c r="U93" s="1658"/>
    </row>
    <row r="94" spans="1:21" s="1" customFormat="1" ht="30.75" customHeight="1" thickBot="1">
      <c r="A94" s="1582"/>
      <c r="B94" s="1576"/>
      <c r="C94" s="1576"/>
      <c r="D94" s="1576"/>
      <c r="E94" s="1576"/>
      <c r="F94" s="1576"/>
      <c r="G94" s="1576"/>
      <c r="H94" s="1573"/>
      <c r="I94" s="1573"/>
      <c r="J94" s="1573"/>
      <c r="K94" s="1662"/>
      <c r="L94" s="1704"/>
      <c r="M94" s="1654"/>
      <c r="N94" s="1654"/>
      <c r="O94" s="1705"/>
      <c r="P94" s="1704"/>
      <c r="Q94" s="1654"/>
      <c r="R94" s="1654"/>
      <c r="S94" s="1705"/>
      <c r="T94" s="1573"/>
      <c r="U94" s="1659"/>
    </row>
    <row r="95" spans="1:21" s="1" customFormat="1" ht="36" customHeight="1">
      <c r="A95" s="814" t="s">
        <v>18</v>
      </c>
      <c r="B95" s="342" t="s">
        <v>884</v>
      </c>
      <c r="C95" s="205" t="s">
        <v>682</v>
      </c>
      <c r="D95" s="115" t="s">
        <v>785</v>
      </c>
      <c r="E95" s="115">
        <v>15</v>
      </c>
      <c r="F95" s="115" t="s">
        <v>683</v>
      </c>
      <c r="G95" s="115" t="s">
        <v>682</v>
      </c>
      <c r="H95" s="730">
        <v>53804139</v>
      </c>
      <c r="I95" s="115">
        <v>6380560</v>
      </c>
      <c r="J95" s="31" t="s">
        <v>67</v>
      </c>
      <c r="K95" s="178">
        <v>22</v>
      </c>
      <c r="L95" s="35"/>
      <c r="M95" s="34">
        <f>144*12</f>
        <v>1728</v>
      </c>
      <c r="N95" s="34">
        <f>557*12</f>
        <v>6684</v>
      </c>
      <c r="O95" s="815">
        <f aca="true" t="shared" si="1" ref="O95:O100">SUM(M95:N95)</f>
        <v>8412</v>
      </c>
      <c r="P95" s="35"/>
      <c r="Q95" s="34">
        <f>M95</f>
        <v>1728</v>
      </c>
      <c r="R95" s="34">
        <f>N95</f>
        <v>6684</v>
      </c>
      <c r="S95" s="815">
        <f>Q95+R95</f>
        <v>8412</v>
      </c>
      <c r="T95" s="273" t="s">
        <v>1536</v>
      </c>
      <c r="U95" s="4" t="s">
        <v>1546</v>
      </c>
    </row>
    <row r="96" spans="1:21" s="1" customFormat="1" ht="36" customHeight="1">
      <c r="A96" s="814" t="s">
        <v>18</v>
      </c>
      <c r="B96" s="342" t="s">
        <v>884</v>
      </c>
      <c r="C96" s="205" t="s">
        <v>684</v>
      </c>
      <c r="D96" s="115" t="s">
        <v>172</v>
      </c>
      <c r="E96" s="115" t="s">
        <v>1547</v>
      </c>
      <c r="F96" s="115" t="s">
        <v>683</v>
      </c>
      <c r="G96" s="115" t="s">
        <v>682</v>
      </c>
      <c r="H96" s="730">
        <v>53830008</v>
      </c>
      <c r="I96" s="115">
        <v>90904799</v>
      </c>
      <c r="J96" s="398" t="s">
        <v>29</v>
      </c>
      <c r="K96" s="178">
        <v>11</v>
      </c>
      <c r="L96" s="34">
        <f>15*12</f>
        <v>180</v>
      </c>
      <c r="M96" s="35"/>
      <c r="N96" s="35"/>
      <c r="O96" s="815">
        <f>L96</f>
        <v>180</v>
      </c>
      <c r="P96" s="34">
        <f>L96</f>
        <v>180</v>
      </c>
      <c r="Q96" s="35"/>
      <c r="R96" s="35"/>
      <c r="S96" s="815">
        <f>P96</f>
        <v>180</v>
      </c>
      <c r="T96" s="273" t="s">
        <v>1536</v>
      </c>
      <c r="U96" s="4" t="s">
        <v>1546</v>
      </c>
    </row>
    <row r="97" spans="1:21" s="1" customFormat="1" ht="36" customHeight="1">
      <c r="A97" s="814" t="s">
        <v>18</v>
      </c>
      <c r="B97" s="342" t="s">
        <v>884</v>
      </c>
      <c r="C97" s="205" t="s">
        <v>687</v>
      </c>
      <c r="D97" s="115"/>
      <c r="E97" s="115" t="s">
        <v>1548</v>
      </c>
      <c r="F97" s="115" t="s">
        <v>683</v>
      </c>
      <c r="G97" s="115" t="s">
        <v>682</v>
      </c>
      <c r="H97" s="730">
        <v>53725008</v>
      </c>
      <c r="I97" s="115">
        <v>90599971</v>
      </c>
      <c r="J97" s="31" t="s">
        <v>67</v>
      </c>
      <c r="K97" s="178">
        <v>2</v>
      </c>
      <c r="L97" s="35"/>
      <c r="M97" s="34">
        <v>150</v>
      </c>
      <c r="N97" s="34">
        <v>350</v>
      </c>
      <c r="O97" s="815">
        <f t="shared" si="1"/>
        <v>500</v>
      </c>
      <c r="P97" s="35"/>
      <c r="Q97" s="34">
        <f aca="true" t="shared" si="2" ref="Q97:R100">M97</f>
        <v>150</v>
      </c>
      <c r="R97" s="34">
        <f t="shared" si="2"/>
        <v>350</v>
      </c>
      <c r="S97" s="815">
        <f>Q97+R97</f>
        <v>500</v>
      </c>
      <c r="T97" s="273" t="s">
        <v>1536</v>
      </c>
      <c r="U97" s="4" t="s">
        <v>1546</v>
      </c>
    </row>
    <row r="98" spans="1:21" s="1" customFormat="1" ht="36" customHeight="1">
      <c r="A98" s="814" t="s">
        <v>18</v>
      </c>
      <c r="B98" s="342" t="s">
        <v>884</v>
      </c>
      <c r="C98" s="205" t="s">
        <v>687</v>
      </c>
      <c r="D98" s="115"/>
      <c r="E98" s="115" t="s">
        <v>1549</v>
      </c>
      <c r="F98" s="115" t="s">
        <v>683</v>
      </c>
      <c r="G98" s="115" t="s">
        <v>682</v>
      </c>
      <c r="H98" s="730">
        <v>53725009</v>
      </c>
      <c r="I98" s="115">
        <v>90599961</v>
      </c>
      <c r="J98" s="31" t="s">
        <v>67</v>
      </c>
      <c r="K98" s="178">
        <v>1.1</v>
      </c>
      <c r="L98" s="35"/>
      <c r="M98" s="34">
        <v>100</v>
      </c>
      <c r="N98" s="34">
        <v>200</v>
      </c>
      <c r="O98" s="815">
        <f t="shared" si="1"/>
        <v>300</v>
      </c>
      <c r="P98" s="35"/>
      <c r="Q98" s="34">
        <f t="shared" si="2"/>
        <v>100</v>
      </c>
      <c r="R98" s="34">
        <f t="shared" si="2"/>
        <v>200</v>
      </c>
      <c r="S98" s="815">
        <f>Q98+R98</f>
        <v>300</v>
      </c>
      <c r="T98" s="273" t="s">
        <v>1536</v>
      </c>
      <c r="U98" s="4" t="s">
        <v>1546</v>
      </c>
    </row>
    <row r="99" spans="1:21" s="1" customFormat="1" ht="36" customHeight="1">
      <c r="A99" s="814" t="s">
        <v>18</v>
      </c>
      <c r="B99" s="342" t="s">
        <v>884</v>
      </c>
      <c r="C99" s="205" t="s">
        <v>687</v>
      </c>
      <c r="D99" s="115"/>
      <c r="E99" s="115" t="s">
        <v>1550</v>
      </c>
      <c r="F99" s="115" t="s">
        <v>683</v>
      </c>
      <c r="G99" s="115" t="s">
        <v>682</v>
      </c>
      <c r="H99" s="730">
        <v>53725010</v>
      </c>
      <c r="I99" s="115">
        <v>90599874</v>
      </c>
      <c r="J99" s="31" t="s">
        <v>67</v>
      </c>
      <c r="K99" s="178">
        <v>7</v>
      </c>
      <c r="L99" s="35"/>
      <c r="M99" s="34">
        <v>100</v>
      </c>
      <c r="N99" s="34">
        <v>200</v>
      </c>
      <c r="O99" s="815">
        <f t="shared" si="1"/>
        <v>300</v>
      </c>
      <c r="P99" s="35"/>
      <c r="Q99" s="34">
        <f t="shared" si="2"/>
        <v>100</v>
      </c>
      <c r="R99" s="34">
        <f t="shared" si="2"/>
        <v>200</v>
      </c>
      <c r="S99" s="815">
        <f>Q99+R99</f>
        <v>300</v>
      </c>
      <c r="T99" s="273" t="s">
        <v>1536</v>
      </c>
      <c r="U99" s="4" t="s">
        <v>1546</v>
      </c>
    </row>
    <row r="100" spans="1:21" s="1" customFormat="1" ht="36" customHeight="1">
      <c r="A100" s="814" t="s">
        <v>18</v>
      </c>
      <c r="B100" s="342" t="s">
        <v>884</v>
      </c>
      <c r="C100" s="205" t="s">
        <v>687</v>
      </c>
      <c r="D100" s="115"/>
      <c r="E100" s="115" t="s">
        <v>1551</v>
      </c>
      <c r="F100" s="115" t="s">
        <v>683</v>
      </c>
      <c r="G100" s="115" t="s">
        <v>682</v>
      </c>
      <c r="H100" s="730">
        <v>53725011</v>
      </c>
      <c r="I100" s="115">
        <v>90599970</v>
      </c>
      <c r="J100" s="31" t="s">
        <v>67</v>
      </c>
      <c r="K100" s="178">
        <v>2</v>
      </c>
      <c r="L100" s="35"/>
      <c r="M100" s="34">
        <v>200</v>
      </c>
      <c r="N100" s="34">
        <v>300</v>
      </c>
      <c r="O100" s="815">
        <f t="shared" si="1"/>
        <v>500</v>
      </c>
      <c r="P100" s="35"/>
      <c r="Q100" s="34">
        <f t="shared" si="2"/>
        <v>200</v>
      </c>
      <c r="R100" s="34">
        <f t="shared" si="2"/>
        <v>300</v>
      </c>
      <c r="S100" s="815">
        <f>Q100+R100</f>
        <v>500</v>
      </c>
      <c r="T100" s="273" t="s">
        <v>1536</v>
      </c>
      <c r="U100" s="4" t="s">
        <v>1546</v>
      </c>
    </row>
    <row r="101" spans="1:21" s="1" customFormat="1" ht="36" customHeight="1" thickBot="1">
      <c r="A101" s="814" t="s">
        <v>18</v>
      </c>
      <c r="B101" s="344" t="s">
        <v>1552</v>
      </c>
      <c r="C101" s="227" t="s">
        <v>686</v>
      </c>
      <c r="D101" s="343"/>
      <c r="E101" s="1068" t="s">
        <v>1553</v>
      </c>
      <c r="F101" s="115" t="s">
        <v>683</v>
      </c>
      <c r="G101" s="115" t="s">
        <v>682</v>
      </c>
      <c r="H101" s="730">
        <v>53721126</v>
      </c>
      <c r="I101" s="115">
        <v>23060970</v>
      </c>
      <c r="J101" s="398" t="s">
        <v>747</v>
      </c>
      <c r="K101" s="178">
        <v>3</v>
      </c>
      <c r="L101" s="34">
        <f>100</f>
        <v>100</v>
      </c>
      <c r="M101" s="35"/>
      <c r="N101" s="35"/>
      <c r="O101" s="815">
        <f>L101</f>
        <v>100</v>
      </c>
      <c r="P101" s="34">
        <f>L101</f>
        <v>100</v>
      </c>
      <c r="Q101" s="35"/>
      <c r="R101" s="35"/>
      <c r="S101" s="815">
        <f>P101</f>
        <v>100</v>
      </c>
      <c r="T101" s="273" t="s">
        <v>1536</v>
      </c>
      <c r="U101" s="4" t="s">
        <v>1546</v>
      </c>
    </row>
    <row r="102" spans="2:19" s="1" customFormat="1" ht="22.5" customHeight="1">
      <c r="B102" s="1185" t="s">
        <v>23</v>
      </c>
      <c r="C102" s="122" t="s">
        <v>884</v>
      </c>
      <c r="D102" s="1302"/>
      <c r="E102" s="57"/>
      <c r="F102" s="57"/>
      <c r="G102" s="1294" t="s">
        <v>1719</v>
      </c>
      <c r="H102" s="1302" t="s">
        <v>884</v>
      </c>
      <c r="I102" s="809"/>
      <c r="K102" s="809"/>
      <c r="L102" s="33"/>
      <c r="M102" s="33"/>
      <c r="N102" s="33"/>
      <c r="O102" s="33"/>
      <c r="P102" s="33"/>
      <c r="Q102" s="33"/>
      <c r="R102" s="34" t="s">
        <v>24</v>
      </c>
      <c r="S102" s="574">
        <f>SUM(S95:S101)</f>
        <v>10292</v>
      </c>
    </row>
    <row r="103" spans="2:11" s="1" customFormat="1" ht="15">
      <c r="B103" s="13"/>
      <c r="C103" s="724" t="s">
        <v>1221</v>
      </c>
      <c r="D103" s="1304"/>
      <c r="E103" s="57"/>
      <c r="F103" s="57"/>
      <c r="G103" s="1177"/>
      <c r="H103" s="1304" t="s">
        <v>1221</v>
      </c>
      <c r="I103" s="809"/>
      <c r="K103" s="809"/>
    </row>
    <row r="104" spans="2:11" s="1" customFormat="1" ht="15.75" thickBot="1">
      <c r="B104" s="13"/>
      <c r="C104" s="724" t="s">
        <v>690</v>
      </c>
      <c r="D104" s="1304"/>
      <c r="E104" s="57"/>
      <c r="F104" s="57"/>
      <c r="G104" s="1305"/>
      <c r="H104" s="1157" t="s">
        <v>690</v>
      </c>
      <c r="I104" s="809"/>
      <c r="K104" s="809"/>
    </row>
    <row r="105" spans="2:11" s="1" customFormat="1" ht="15.75" thickBot="1">
      <c r="B105" s="447" t="s">
        <v>169</v>
      </c>
      <c r="C105" s="726">
        <v>8222146582</v>
      </c>
      <c r="D105" s="728"/>
      <c r="E105" s="57"/>
      <c r="F105" s="57"/>
      <c r="G105" s="809"/>
      <c r="H105" s="809"/>
      <c r="I105" s="809"/>
      <c r="K105" s="809"/>
    </row>
    <row r="106" spans="3:13" s="1" customFormat="1" ht="14.25">
      <c r="C106" s="659"/>
      <c r="D106" s="345"/>
      <c r="E106" s="57"/>
      <c r="F106" s="57"/>
      <c r="G106" s="295"/>
      <c r="H106" s="295"/>
      <c r="I106" s="295"/>
      <c r="K106" s="295"/>
      <c r="L106" s="1" t="s">
        <v>63</v>
      </c>
      <c r="M106" s="33">
        <f>O20+O41+O52+O65+O76+O86+S102</f>
        <v>401962.6</v>
      </c>
    </row>
    <row r="107" spans="3:11" s="1" customFormat="1" ht="15" thickBot="1">
      <c r="C107" s="659"/>
      <c r="D107" s="345"/>
      <c r="E107" s="57"/>
      <c r="F107" s="57"/>
      <c r="G107" s="295"/>
      <c r="H107" s="295"/>
      <c r="I107" s="295"/>
      <c r="K107" s="295"/>
    </row>
    <row r="108" spans="11:15" ht="46.5" customHeight="1">
      <c r="K108" s="1621" t="s">
        <v>60</v>
      </c>
      <c r="L108" s="1623" t="s">
        <v>675</v>
      </c>
      <c r="M108" s="1624"/>
      <c r="N108" s="1625"/>
      <c r="O108" s="1626" t="s">
        <v>61</v>
      </c>
    </row>
    <row r="109" spans="11:15" ht="24.75" customHeight="1" thickBot="1">
      <c r="K109" s="1622"/>
      <c r="L109" s="282" t="s">
        <v>62</v>
      </c>
      <c r="M109" s="282" t="s">
        <v>670</v>
      </c>
      <c r="N109" s="282" t="s">
        <v>671</v>
      </c>
      <c r="O109" s="1627"/>
    </row>
    <row r="110" spans="11:15" s="1" customFormat="1" ht="18.75" customHeight="1">
      <c r="K110" s="1517" t="s">
        <v>747</v>
      </c>
      <c r="L110" s="1518">
        <f>O38+O40+S101</f>
        <v>1245</v>
      </c>
      <c r="M110" s="1519"/>
      <c r="N110" s="1520"/>
      <c r="O110" s="1514">
        <v>3</v>
      </c>
    </row>
    <row r="111" spans="11:15" s="1" customFormat="1" ht="16.5" customHeight="1">
      <c r="K111" s="1521" t="s">
        <v>29</v>
      </c>
      <c r="L111" s="876">
        <f>O39+S96</f>
        <v>36353</v>
      </c>
      <c r="M111" s="877"/>
      <c r="N111" s="1522"/>
      <c r="O111" s="1514">
        <v>2</v>
      </c>
    </row>
    <row r="112" spans="11:15" ht="14.25">
      <c r="K112" s="1521" t="s">
        <v>22</v>
      </c>
      <c r="L112" s="824">
        <f>O19</f>
        <v>155934.59999999998</v>
      </c>
      <c r="M112" s="878"/>
      <c r="N112" s="1523"/>
      <c r="O112" s="1515">
        <v>1</v>
      </c>
    </row>
    <row r="113" spans="11:15" ht="14.25">
      <c r="K113" s="1491" t="s">
        <v>67</v>
      </c>
      <c r="L113" s="878"/>
      <c r="M113" s="210">
        <f>M29+M31+M32+M33+M34+M35+M51+M74+M75+M62+M85+M36+M37+M63+M64+Q95+Q97+Q98+Q99+Q100</f>
        <v>61033</v>
      </c>
      <c r="N113" s="1524">
        <f>N29+N31+N32+N33+N34+N35+N36+N37+N51+N74+N75+N62+N85+N63+N64+R95+R97+R98+R99+R100</f>
        <v>144583</v>
      </c>
      <c r="O113" s="1515">
        <v>20</v>
      </c>
    </row>
    <row r="114" spans="11:15" s="1" customFormat="1" ht="15" thickBot="1">
      <c r="K114" s="1492" t="s">
        <v>457</v>
      </c>
      <c r="L114" s="1525"/>
      <c r="M114" s="1526">
        <f>M30</f>
        <v>2108</v>
      </c>
      <c r="N114" s="1527">
        <f>N30</f>
        <v>706</v>
      </c>
      <c r="O114" s="1512">
        <v>1</v>
      </c>
    </row>
    <row r="115" spans="11:15" ht="15" thickBot="1">
      <c r="K115" s="353" t="s">
        <v>63</v>
      </c>
      <c r="L115" s="978">
        <f>SUM(L110:L114)</f>
        <v>193532.59999999998</v>
      </c>
      <c r="M115" s="1516">
        <f>SUM(M110:M114)</f>
        <v>63141</v>
      </c>
      <c r="N115" s="1513">
        <f>SUM(N110:N114)</f>
        <v>145289</v>
      </c>
      <c r="O115" s="879">
        <f>SUM(O110:O114)</f>
        <v>27</v>
      </c>
    </row>
    <row r="116" spans="11:15" ht="18.75" thickBot="1">
      <c r="K116" s="1"/>
      <c r="L116" s="127" t="s">
        <v>64</v>
      </c>
      <c r="M116" s="681">
        <f>SUM(L115:N115)</f>
        <v>401962.6</v>
      </c>
      <c r="N116" s="33"/>
      <c r="O116" s="33"/>
    </row>
  </sheetData>
  <sheetProtection/>
  <mergeCells count="108">
    <mergeCell ref="P20:T21"/>
    <mergeCell ref="T92:T94"/>
    <mergeCell ref="U92:U94"/>
    <mergeCell ref="L93:L94"/>
    <mergeCell ref="M93:M94"/>
    <mergeCell ref="N93:N94"/>
    <mergeCell ref="O93:O94"/>
    <mergeCell ref="S93:S94"/>
    <mergeCell ref="P93:P94"/>
    <mergeCell ref="Q93:Q94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P92:S92"/>
    <mergeCell ref="L48:O48"/>
    <mergeCell ref="L49:O49"/>
    <mergeCell ref="R93:R94"/>
    <mergeCell ref="J92:J94"/>
    <mergeCell ref="K92:K94"/>
    <mergeCell ref="L92:O92"/>
    <mergeCell ref="K108:K109"/>
    <mergeCell ref="L108:N108"/>
    <mergeCell ref="O108:O109"/>
    <mergeCell ref="K48:K50"/>
    <mergeCell ref="L26:O26"/>
    <mergeCell ref="L27:O27"/>
    <mergeCell ref="K26:K28"/>
    <mergeCell ref="A16:A18"/>
    <mergeCell ref="G48:G50"/>
    <mergeCell ref="A48:A50"/>
    <mergeCell ref="B48:B50"/>
    <mergeCell ref="C48:C50"/>
    <mergeCell ref="D48:D50"/>
    <mergeCell ref="E48:E50"/>
    <mergeCell ref="F48:F50"/>
    <mergeCell ref="A26:A28"/>
    <mergeCell ref="F26:F28"/>
    <mergeCell ref="I48:I50"/>
    <mergeCell ref="J48:J50"/>
    <mergeCell ref="H48:H50"/>
    <mergeCell ref="C26:C28"/>
    <mergeCell ref="D26:D28"/>
    <mergeCell ref="G26:G28"/>
    <mergeCell ref="L16:O16"/>
    <mergeCell ref="L17:O17"/>
    <mergeCell ref="K16:K18"/>
    <mergeCell ref="B5:J5"/>
    <mergeCell ref="F16:F18"/>
    <mergeCell ref="E26:E28"/>
    <mergeCell ref="H26:H28"/>
    <mergeCell ref="I26:I28"/>
    <mergeCell ref="J26:J28"/>
    <mergeCell ref="B26:B28"/>
    <mergeCell ref="B1:I1"/>
    <mergeCell ref="H16:H18"/>
    <mergeCell ref="I16:I18"/>
    <mergeCell ref="J16:J18"/>
    <mergeCell ref="B16:B18"/>
    <mergeCell ref="C16:C18"/>
    <mergeCell ref="D16:D18"/>
    <mergeCell ref="E16:E18"/>
    <mergeCell ref="B3:J3"/>
    <mergeCell ref="G16:G18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K71:K73"/>
    <mergeCell ref="L71:O71"/>
    <mergeCell ref="L72:O72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O82"/>
    <mergeCell ref="L83:O83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O59"/>
    <mergeCell ref="L60:O60"/>
  </mergeCells>
  <printOptions/>
  <pageMargins left="0.7" right="0.7" top="0.75" bottom="0.75" header="0.3" footer="0.3"/>
  <pageSetup horizontalDpi="600" verticalDpi="600" orientation="portrait" paperSize="9" r:id="rId1"/>
  <ignoredErrors>
    <ignoredError sqref="E101" twoDigitTextYear="1"/>
    <ignoredError sqref="S96 O96" formula="1"/>
    <ignoredError sqref="M115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7"/>
  <sheetViews>
    <sheetView zoomScale="80" zoomScaleNormal="80" zoomScalePageLayoutView="0" workbookViewId="0" topLeftCell="A105">
      <selection activeCell="B106" sqref="B106:I110"/>
    </sheetView>
  </sheetViews>
  <sheetFormatPr defaultColWidth="8.796875" defaultRowHeight="14.25"/>
  <cols>
    <col min="1" max="1" width="11.8984375" style="0" customWidth="1"/>
    <col min="2" max="2" width="15.8984375" style="0" customWidth="1"/>
    <col min="3" max="3" width="12.5" style="0" customWidth="1"/>
    <col min="4" max="4" width="13.09765625" style="0" customWidth="1"/>
    <col min="5" max="5" width="10.5" style="0" customWidth="1"/>
    <col min="7" max="7" width="10.59765625" style="0" customWidth="1"/>
    <col min="8" max="8" width="16.69921875" style="0" customWidth="1"/>
    <col min="9" max="9" width="26.69921875" style="1" customWidth="1"/>
    <col min="10" max="10" width="16" style="1" customWidth="1"/>
    <col min="11" max="11" width="12.69921875" style="0" customWidth="1"/>
    <col min="12" max="12" width="12.3984375" style="0" customWidth="1"/>
    <col min="13" max="13" width="15.59765625" style="0" customWidth="1"/>
    <col min="14" max="14" width="16.3984375" style="0" customWidth="1"/>
    <col min="15" max="15" width="15.3984375" style="0" customWidth="1"/>
    <col min="16" max="16" width="16.3984375" style="0" customWidth="1"/>
    <col min="17" max="17" width="13.09765625" style="0" customWidth="1"/>
    <col min="18" max="18" width="15.3984375" style="0" customWidth="1"/>
    <col min="19" max="19" width="14.8984375" style="0" customWidth="1"/>
    <col min="20" max="20" width="24.8984375" style="0" customWidth="1"/>
    <col min="21" max="21" width="23.3984375" style="0" customWidth="1"/>
  </cols>
  <sheetData>
    <row r="1" spans="2:9" s="1" customFormat="1" ht="18">
      <c r="B1" s="1609" t="s">
        <v>1231</v>
      </c>
      <c r="C1" s="1609"/>
      <c r="D1" s="1609"/>
      <c r="E1" s="1609"/>
      <c r="F1" s="1609"/>
      <c r="G1" s="1609"/>
      <c r="H1" s="1609"/>
      <c r="I1" s="1609"/>
    </row>
    <row r="2" s="1" customFormat="1" ht="14.25"/>
    <row r="3" spans="2:11" s="1" customFormat="1" ht="30" customHeight="1">
      <c r="B3" s="1642" t="s">
        <v>735</v>
      </c>
      <c r="C3" s="1643"/>
      <c r="D3" s="1643"/>
      <c r="E3" s="1643"/>
      <c r="F3" s="1643"/>
      <c r="G3" s="1643"/>
      <c r="H3" s="1643"/>
      <c r="I3" s="1643"/>
      <c r="J3" s="1643"/>
      <c r="K3" s="1644"/>
    </row>
    <row r="4" spans="2:11" s="1" customFormat="1" ht="15">
      <c r="B4" s="487"/>
      <c r="C4" s="487"/>
      <c r="D4" s="487"/>
      <c r="E4" s="487"/>
      <c r="F4" s="487"/>
      <c r="G4" s="487"/>
      <c r="H4" s="487"/>
      <c r="I4" s="487"/>
      <c r="J4" s="487"/>
      <c r="K4" s="487"/>
    </row>
    <row r="5" spans="2:11" s="1" customFormat="1" ht="15">
      <c r="B5" s="1700" t="s">
        <v>1103</v>
      </c>
      <c r="C5" s="1665"/>
      <c r="D5" s="1665"/>
      <c r="E5" s="1665"/>
      <c r="F5" s="1665"/>
      <c r="G5" s="1665"/>
      <c r="H5" s="1665"/>
      <c r="I5" s="1665"/>
      <c r="J5" s="1665"/>
      <c r="K5" s="1701"/>
    </row>
    <row r="6" spans="2:11" s="1" customFormat="1" ht="15">
      <c r="B6" s="487"/>
      <c r="C6" s="487"/>
      <c r="D6" s="487"/>
      <c r="E6" s="487"/>
      <c r="F6" s="487"/>
      <c r="G6" s="487"/>
      <c r="H6" s="490"/>
      <c r="I6" s="490"/>
      <c r="J6" s="490"/>
      <c r="K6" s="489"/>
    </row>
    <row r="7" spans="2:11" s="1" customFormat="1" ht="15.75">
      <c r="B7" s="488" t="s">
        <v>1</v>
      </c>
      <c r="C7" s="487"/>
      <c r="D7" s="487"/>
      <c r="E7" s="487"/>
      <c r="F7" s="489"/>
      <c r="G7" s="487"/>
      <c r="H7" s="490"/>
      <c r="I7" s="490"/>
      <c r="J7" s="490"/>
      <c r="K7" s="489"/>
    </row>
    <row r="8" spans="1:11" ht="15.75">
      <c r="A8" s="1"/>
      <c r="B8" s="1389" t="s">
        <v>1833</v>
      </c>
      <c r="C8" s="487"/>
      <c r="D8" s="487"/>
      <c r="E8" s="487"/>
      <c r="F8" s="489"/>
      <c r="G8" s="487"/>
      <c r="H8" s="490"/>
      <c r="I8" s="490"/>
      <c r="J8" s="490"/>
      <c r="K8" s="489"/>
    </row>
    <row r="9" spans="1:11" ht="15.75">
      <c r="A9" s="1"/>
      <c r="B9" s="491" t="s">
        <v>1396</v>
      </c>
      <c r="C9" s="489"/>
      <c r="D9" s="492"/>
      <c r="E9" s="487"/>
      <c r="F9" s="487"/>
      <c r="G9" s="489"/>
      <c r="H9" s="487"/>
      <c r="I9" s="490"/>
      <c r="J9" s="490"/>
      <c r="K9" s="489"/>
    </row>
    <row r="10" spans="1:11" ht="15.75">
      <c r="A10" s="1"/>
      <c r="B10" s="491" t="s">
        <v>1096</v>
      </c>
      <c r="C10" s="489"/>
      <c r="D10" s="492"/>
      <c r="E10" s="487"/>
      <c r="F10" s="487"/>
      <c r="G10" s="489"/>
      <c r="H10" s="487"/>
      <c r="I10" s="490"/>
      <c r="J10" s="490"/>
      <c r="K10" s="489"/>
    </row>
    <row r="11" spans="1:11" ht="15">
      <c r="A11" s="1"/>
      <c r="B11" s="489" t="s">
        <v>727</v>
      </c>
      <c r="C11" s="489"/>
      <c r="D11" s="489"/>
      <c r="E11" s="489"/>
      <c r="F11" s="489"/>
      <c r="G11" s="489"/>
      <c r="H11" s="487"/>
      <c r="I11" s="490"/>
      <c r="J11" s="490"/>
      <c r="K11" s="489"/>
    </row>
    <row r="12" spans="1:11" ht="15.75">
      <c r="A12" s="1"/>
      <c r="B12" s="493" t="s">
        <v>3</v>
      </c>
      <c r="C12" s="494" t="s">
        <v>4</v>
      </c>
      <c r="D12" s="492"/>
      <c r="E12" s="495"/>
      <c r="F12" s="489"/>
      <c r="G12" s="489"/>
      <c r="H12" s="489"/>
      <c r="I12" s="489"/>
      <c r="J12" s="489"/>
      <c r="K12" s="489"/>
    </row>
    <row r="13" spans="1:11" ht="15.75">
      <c r="A13" s="1"/>
      <c r="B13" s="493" t="s">
        <v>5</v>
      </c>
      <c r="C13" s="488" t="s">
        <v>6</v>
      </c>
      <c r="D13" s="492"/>
      <c r="E13" s="495"/>
      <c r="F13" s="489"/>
      <c r="G13" s="489"/>
      <c r="H13" s="489"/>
      <c r="I13" s="489"/>
      <c r="J13" s="489"/>
      <c r="K13" s="489"/>
    </row>
    <row r="14" ht="15" thickBot="1"/>
    <row r="15" spans="1:15" ht="45" customHeight="1">
      <c r="A15" s="1580" t="s">
        <v>7</v>
      </c>
      <c r="B15" s="1591" t="s">
        <v>664</v>
      </c>
      <c r="C15" s="1594" t="s">
        <v>9</v>
      </c>
      <c r="D15" s="1594" t="s">
        <v>10</v>
      </c>
      <c r="E15" s="1574" t="s">
        <v>665</v>
      </c>
      <c r="F15" s="1574" t="s">
        <v>12</v>
      </c>
      <c r="G15" s="1594" t="s">
        <v>13</v>
      </c>
      <c r="H15" s="1574" t="s">
        <v>282</v>
      </c>
      <c r="I15" s="1574" t="s">
        <v>14</v>
      </c>
      <c r="J15" s="1574" t="s">
        <v>60</v>
      </c>
      <c r="K15" s="1697" t="s">
        <v>666</v>
      </c>
      <c r="L15" s="1634" t="s">
        <v>667</v>
      </c>
      <c r="M15" s="1634"/>
      <c r="N15" s="1634"/>
      <c r="O15" s="1641"/>
    </row>
    <row r="16" spans="1:15" ht="42.75" customHeight="1">
      <c r="A16" s="1581"/>
      <c r="B16" s="1592"/>
      <c r="C16" s="1595"/>
      <c r="D16" s="1595"/>
      <c r="E16" s="1575"/>
      <c r="F16" s="1575"/>
      <c r="G16" s="1595"/>
      <c r="H16" s="1575"/>
      <c r="I16" s="1575"/>
      <c r="J16" s="1575"/>
      <c r="K16" s="1698"/>
      <c r="L16" s="1568" t="s">
        <v>668</v>
      </c>
      <c r="M16" s="1568"/>
      <c r="N16" s="1568"/>
      <c r="O16" s="1598"/>
    </row>
    <row r="17" spans="1:15" ht="27.75" customHeight="1" thickBot="1">
      <c r="A17" s="1582"/>
      <c r="B17" s="1593"/>
      <c r="C17" s="1596"/>
      <c r="D17" s="1596"/>
      <c r="E17" s="1576"/>
      <c r="F17" s="1576"/>
      <c r="G17" s="1596"/>
      <c r="H17" s="1576"/>
      <c r="I17" s="1576"/>
      <c r="J17" s="1576"/>
      <c r="K17" s="1699"/>
      <c r="L17" s="277" t="s">
        <v>669</v>
      </c>
      <c r="M17" s="277" t="s">
        <v>670</v>
      </c>
      <c r="N17" s="277" t="s">
        <v>671</v>
      </c>
      <c r="O17" s="272" t="s">
        <v>17</v>
      </c>
    </row>
    <row r="18" spans="1:15" ht="30" thickBot="1">
      <c r="A18" s="621" t="s">
        <v>27</v>
      </c>
      <c r="B18" s="635" t="s">
        <v>691</v>
      </c>
      <c r="C18" s="635" t="s">
        <v>694</v>
      </c>
      <c r="E18" s="107">
        <v>19</v>
      </c>
      <c r="F18" s="107" t="s">
        <v>693</v>
      </c>
      <c r="G18" s="107" t="s">
        <v>692</v>
      </c>
      <c r="H18" s="107">
        <v>70958678</v>
      </c>
      <c r="I18" s="734" t="s">
        <v>1019</v>
      </c>
      <c r="J18" s="560" t="s">
        <v>29</v>
      </c>
      <c r="K18" s="354">
        <v>6</v>
      </c>
      <c r="L18" s="293">
        <f>10433-7988</f>
        <v>2445</v>
      </c>
      <c r="M18" s="478"/>
      <c r="N18" s="478"/>
      <c r="O18" s="355">
        <f>L18</f>
        <v>2445</v>
      </c>
    </row>
    <row r="19" spans="2:15" ht="15">
      <c r="B19" s="721" t="s">
        <v>23</v>
      </c>
      <c r="C19" s="11" t="s">
        <v>691</v>
      </c>
      <c r="D19" s="12"/>
      <c r="E19" s="1315"/>
      <c r="F19" s="267"/>
      <c r="G19" s="267"/>
      <c r="H19" s="1294" t="s">
        <v>1719</v>
      </c>
      <c r="I19" s="12" t="s">
        <v>691</v>
      </c>
      <c r="K19" s="295"/>
      <c r="L19" s="356"/>
      <c r="M19" s="1"/>
      <c r="N19" s="34" t="s">
        <v>24</v>
      </c>
      <c r="O19" s="574">
        <f>SUM(O18)</f>
        <v>2445</v>
      </c>
    </row>
    <row r="20" spans="2:15" ht="15">
      <c r="B20" s="571"/>
      <c r="C20" s="14" t="s">
        <v>695</v>
      </c>
      <c r="D20" s="15"/>
      <c r="E20" s="1315"/>
      <c r="F20" s="267"/>
      <c r="G20" s="267"/>
      <c r="H20" s="13"/>
      <c r="I20" s="15" t="s">
        <v>695</v>
      </c>
      <c r="K20" s="295"/>
      <c r="L20" s="356"/>
      <c r="M20" s="1"/>
      <c r="N20" s="1"/>
      <c r="O20" s="1"/>
    </row>
    <row r="21" spans="2:15" ht="15.75" thickBot="1">
      <c r="B21" s="571"/>
      <c r="C21" s="14" t="s">
        <v>696</v>
      </c>
      <c r="D21" s="15"/>
      <c r="E21" s="1315"/>
      <c r="F21" s="267"/>
      <c r="G21" s="267"/>
      <c r="H21" s="73"/>
      <c r="I21" s="18" t="s">
        <v>696</v>
      </c>
      <c r="K21" s="295"/>
      <c r="L21" s="356"/>
      <c r="M21" s="1"/>
      <c r="N21" s="1"/>
      <c r="O21" s="1"/>
    </row>
    <row r="22" spans="2:15" ht="15">
      <c r="B22" s="571" t="s">
        <v>169</v>
      </c>
      <c r="C22" s="14" t="s">
        <v>697</v>
      </c>
      <c r="D22" s="15"/>
      <c r="E22" s="1315"/>
      <c r="F22" s="267"/>
      <c r="G22" s="267"/>
      <c r="H22" s="267"/>
      <c r="I22" s="267"/>
      <c r="K22" s="295"/>
      <c r="L22" s="356"/>
      <c r="M22" s="1"/>
      <c r="N22" s="1"/>
      <c r="O22" s="1"/>
    </row>
    <row r="23" spans="2:12" s="1" customFormat="1" ht="15.75" thickBot="1">
      <c r="B23" s="447" t="s">
        <v>1112</v>
      </c>
      <c r="C23" s="17" t="s">
        <v>1172</v>
      </c>
      <c r="D23" s="18"/>
      <c r="E23" s="1315"/>
      <c r="F23" s="267"/>
      <c r="G23" s="267"/>
      <c r="H23" s="267"/>
      <c r="I23" s="267"/>
      <c r="K23" s="295"/>
      <c r="L23" s="356"/>
    </row>
    <row r="24" spans="1:15" ht="15" thickBot="1">
      <c r="A24" s="1"/>
      <c r="B24" s="2"/>
      <c r="C24" s="1"/>
      <c r="D24" s="1"/>
      <c r="E24" s="2"/>
      <c r="F24" s="1"/>
      <c r="G24" s="1"/>
      <c r="H24" s="1"/>
      <c r="K24" s="295"/>
      <c r="L24" s="356"/>
      <c r="M24" s="1"/>
      <c r="N24" s="1"/>
      <c r="O24" s="1"/>
    </row>
    <row r="25" spans="1:15" ht="42" customHeight="1">
      <c r="A25" s="1580" t="s">
        <v>7</v>
      </c>
      <c r="B25" s="1591" t="s">
        <v>664</v>
      </c>
      <c r="C25" s="1594" t="s">
        <v>9</v>
      </c>
      <c r="D25" s="1594" t="s">
        <v>10</v>
      </c>
      <c r="E25" s="1574" t="s">
        <v>665</v>
      </c>
      <c r="F25" s="1574" t="s">
        <v>12</v>
      </c>
      <c r="G25" s="1594" t="s">
        <v>13</v>
      </c>
      <c r="H25" s="1574" t="s">
        <v>282</v>
      </c>
      <c r="I25" s="1574" t="s">
        <v>14</v>
      </c>
      <c r="J25" s="1574" t="s">
        <v>60</v>
      </c>
      <c r="K25" s="1697" t="s">
        <v>666</v>
      </c>
      <c r="L25" s="1634" t="s">
        <v>667</v>
      </c>
      <c r="M25" s="1634"/>
      <c r="N25" s="1634"/>
      <c r="O25" s="1641"/>
    </row>
    <row r="26" spans="1:15" ht="39" customHeight="1">
      <c r="A26" s="1581"/>
      <c r="B26" s="1592"/>
      <c r="C26" s="1595"/>
      <c r="D26" s="1595"/>
      <c r="E26" s="1575"/>
      <c r="F26" s="1575"/>
      <c r="G26" s="1595"/>
      <c r="H26" s="1575"/>
      <c r="I26" s="1575"/>
      <c r="J26" s="1575"/>
      <c r="K26" s="1698"/>
      <c r="L26" s="1568" t="s">
        <v>668</v>
      </c>
      <c r="M26" s="1568"/>
      <c r="N26" s="1568"/>
      <c r="O26" s="1598"/>
    </row>
    <row r="27" spans="1:15" ht="27" customHeight="1" thickBot="1">
      <c r="A27" s="1582"/>
      <c r="B27" s="1593"/>
      <c r="C27" s="1596"/>
      <c r="D27" s="1596"/>
      <c r="E27" s="1576"/>
      <c r="F27" s="1576"/>
      <c r="G27" s="1596"/>
      <c r="H27" s="1576"/>
      <c r="I27" s="1576"/>
      <c r="J27" s="1576"/>
      <c r="K27" s="1699"/>
      <c r="L27" s="277" t="s">
        <v>669</v>
      </c>
      <c r="M27" s="277" t="s">
        <v>670</v>
      </c>
      <c r="N27" s="277" t="s">
        <v>671</v>
      </c>
      <c r="O27" s="272" t="s">
        <v>17</v>
      </c>
    </row>
    <row r="28" spans="1:15" ht="18">
      <c r="A28" s="621" t="s">
        <v>27</v>
      </c>
      <c r="B28" s="108" t="s">
        <v>698</v>
      </c>
      <c r="C28" s="108" t="s">
        <v>692</v>
      </c>
      <c r="D28" s="107" t="s">
        <v>176</v>
      </c>
      <c r="E28" s="107"/>
      <c r="F28" s="107" t="s">
        <v>693</v>
      </c>
      <c r="G28" s="107" t="s">
        <v>692</v>
      </c>
      <c r="H28" s="24">
        <v>71020470</v>
      </c>
      <c r="I28" s="734" t="s">
        <v>1032</v>
      </c>
      <c r="J28" s="560" t="s">
        <v>29</v>
      </c>
      <c r="K28" s="354">
        <v>13</v>
      </c>
      <c r="L28" s="357">
        <f>35173-25205</f>
        <v>9968</v>
      </c>
      <c r="M28" s="474"/>
      <c r="N28" s="474"/>
      <c r="O28" s="358">
        <f>L28</f>
        <v>9968</v>
      </c>
    </row>
    <row r="29" spans="1:15" ht="29.25">
      <c r="A29" s="621" t="s">
        <v>27</v>
      </c>
      <c r="B29" s="25" t="s">
        <v>699</v>
      </c>
      <c r="C29" s="25" t="s">
        <v>692</v>
      </c>
      <c r="D29" s="24" t="s">
        <v>700</v>
      </c>
      <c r="E29" s="24">
        <v>4</v>
      </c>
      <c r="F29" s="24" t="s">
        <v>693</v>
      </c>
      <c r="G29" s="24" t="s">
        <v>692</v>
      </c>
      <c r="H29" s="24">
        <v>838110</v>
      </c>
      <c r="I29" s="719" t="s">
        <v>1022</v>
      </c>
      <c r="J29" s="417" t="s">
        <v>29</v>
      </c>
      <c r="K29" s="359">
        <v>21</v>
      </c>
      <c r="L29" s="360">
        <f>46875-36398</f>
        <v>10477</v>
      </c>
      <c r="M29" s="35"/>
      <c r="N29" s="35"/>
      <c r="O29" s="361">
        <f aca="true" t="shared" si="0" ref="O29:O40">L29</f>
        <v>10477</v>
      </c>
    </row>
    <row r="30" spans="1:15" ht="18">
      <c r="A30" s="621" t="s">
        <v>27</v>
      </c>
      <c r="B30" s="25" t="s">
        <v>234</v>
      </c>
      <c r="C30" s="25" t="s">
        <v>692</v>
      </c>
      <c r="D30" s="24" t="s">
        <v>700</v>
      </c>
      <c r="E30" s="24">
        <v>1</v>
      </c>
      <c r="F30" s="24" t="s">
        <v>693</v>
      </c>
      <c r="G30" s="24" t="s">
        <v>692</v>
      </c>
      <c r="H30" s="24">
        <v>838111</v>
      </c>
      <c r="I30" s="734" t="s">
        <v>1024</v>
      </c>
      <c r="J30" s="417" t="s">
        <v>29</v>
      </c>
      <c r="K30" s="359">
        <v>11</v>
      </c>
      <c r="L30" s="360">
        <f>90826-68597</f>
        <v>22229</v>
      </c>
      <c r="M30" s="35"/>
      <c r="N30" s="35"/>
      <c r="O30" s="361">
        <f t="shared" si="0"/>
        <v>22229</v>
      </c>
    </row>
    <row r="31" spans="1:15" ht="29.25">
      <c r="A31" s="621" t="s">
        <v>27</v>
      </c>
      <c r="B31" s="25" t="s">
        <v>701</v>
      </c>
      <c r="C31" s="25" t="s">
        <v>692</v>
      </c>
      <c r="D31" s="24" t="s">
        <v>702</v>
      </c>
      <c r="E31" s="24"/>
      <c r="F31" s="24" t="s">
        <v>693</v>
      </c>
      <c r="G31" s="24" t="s">
        <v>692</v>
      </c>
      <c r="H31" s="24">
        <v>907900</v>
      </c>
      <c r="I31" s="719" t="s">
        <v>1027</v>
      </c>
      <c r="J31" s="417" t="s">
        <v>29</v>
      </c>
      <c r="K31" s="359">
        <v>5</v>
      </c>
      <c r="L31" s="360">
        <f>22816-7847</f>
        <v>14969</v>
      </c>
      <c r="M31" s="35"/>
      <c r="N31" s="35"/>
      <c r="O31" s="361">
        <f t="shared" si="0"/>
        <v>14969</v>
      </c>
    </row>
    <row r="32" spans="1:15" ht="18">
      <c r="A32" s="621" t="s">
        <v>27</v>
      </c>
      <c r="B32" s="25"/>
      <c r="C32" s="25" t="s">
        <v>703</v>
      </c>
      <c r="D32" s="24"/>
      <c r="E32" s="24"/>
      <c r="F32" s="24" t="s">
        <v>693</v>
      </c>
      <c r="G32" s="24" t="s">
        <v>692</v>
      </c>
      <c r="H32" s="24">
        <v>71020631</v>
      </c>
      <c r="I32" s="734" t="s">
        <v>1035</v>
      </c>
      <c r="J32" s="417" t="s">
        <v>29</v>
      </c>
      <c r="K32" s="359">
        <v>6.6</v>
      </c>
      <c r="L32" s="360">
        <f>2499-1655</f>
        <v>844</v>
      </c>
      <c r="M32" s="35"/>
      <c r="N32" s="35"/>
      <c r="O32" s="361">
        <f t="shared" si="0"/>
        <v>844</v>
      </c>
    </row>
    <row r="33" spans="1:15" ht="25.5" customHeight="1">
      <c r="A33" s="621" t="s">
        <v>27</v>
      </c>
      <c r="B33" s="25" t="s">
        <v>458</v>
      </c>
      <c r="C33" s="260" t="s">
        <v>704</v>
      </c>
      <c r="D33" s="24"/>
      <c r="E33" s="24"/>
      <c r="F33" s="24" t="s">
        <v>693</v>
      </c>
      <c r="G33" s="24" t="s">
        <v>692</v>
      </c>
      <c r="H33" s="24">
        <v>907896</v>
      </c>
      <c r="I33" s="719" t="s">
        <v>1030</v>
      </c>
      <c r="J33" s="559" t="s">
        <v>67</v>
      </c>
      <c r="K33" s="359">
        <v>10</v>
      </c>
      <c r="L33" s="337"/>
      <c r="M33" s="36">
        <f>1336-246</f>
        <v>1090</v>
      </c>
      <c r="N33" s="36">
        <f>2822-346</f>
        <v>2476</v>
      </c>
      <c r="O33" s="361">
        <f>M33+N33</f>
        <v>3566</v>
      </c>
    </row>
    <row r="34" spans="1:15" ht="18">
      <c r="A34" s="621" t="s">
        <v>27</v>
      </c>
      <c r="B34" s="25" t="s">
        <v>197</v>
      </c>
      <c r="C34" s="25" t="s">
        <v>705</v>
      </c>
      <c r="D34" s="24"/>
      <c r="E34" s="24"/>
      <c r="F34" s="24" t="s">
        <v>693</v>
      </c>
      <c r="G34" s="24" t="s">
        <v>692</v>
      </c>
      <c r="H34" s="24">
        <v>71020481</v>
      </c>
      <c r="I34" s="734" t="s">
        <v>1036</v>
      </c>
      <c r="J34" s="417" t="s">
        <v>29</v>
      </c>
      <c r="K34" s="359">
        <v>6</v>
      </c>
      <c r="L34" s="360">
        <f>19360-7077</f>
        <v>12283</v>
      </c>
      <c r="M34" s="35"/>
      <c r="N34" s="35"/>
      <c r="O34" s="361">
        <f t="shared" si="0"/>
        <v>12283</v>
      </c>
    </row>
    <row r="35" spans="1:15" ht="18">
      <c r="A35" s="621" t="s">
        <v>27</v>
      </c>
      <c r="B35" s="363" t="s">
        <v>197</v>
      </c>
      <c r="C35" s="363" t="s">
        <v>692</v>
      </c>
      <c r="D35" s="362" t="s">
        <v>55</v>
      </c>
      <c r="E35" s="362"/>
      <c r="F35" s="362" t="s">
        <v>693</v>
      </c>
      <c r="G35" s="362" t="s">
        <v>692</v>
      </c>
      <c r="H35" s="24">
        <v>908016</v>
      </c>
      <c r="I35" s="719" t="s">
        <v>1023</v>
      </c>
      <c r="J35" s="561" t="s">
        <v>29</v>
      </c>
      <c r="K35" s="364">
        <v>5</v>
      </c>
      <c r="L35" s="360">
        <f>7266-5580</f>
        <v>1686</v>
      </c>
      <c r="M35" s="479"/>
      <c r="N35" s="479"/>
      <c r="O35" s="361">
        <f t="shared" si="0"/>
        <v>1686</v>
      </c>
    </row>
    <row r="36" spans="1:15" ht="18">
      <c r="A36" s="621" t="s">
        <v>27</v>
      </c>
      <c r="B36" s="25" t="s">
        <v>458</v>
      </c>
      <c r="C36" s="25" t="s">
        <v>706</v>
      </c>
      <c r="D36" s="24"/>
      <c r="E36" s="24"/>
      <c r="F36" s="24" t="s">
        <v>693</v>
      </c>
      <c r="G36" s="24" t="s">
        <v>692</v>
      </c>
      <c r="H36" s="24">
        <v>908019</v>
      </c>
      <c r="I36" s="734" t="s">
        <v>1029</v>
      </c>
      <c r="J36" s="417" t="s">
        <v>29</v>
      </c>
      <c r="K36" s="359">
        <v>6.6</v>
      </c>
      <c r="L36" s="360">
        <f>5300-1932</f>
        <v>3368</v>
      </c>
      <c r="M36" s="35"/>
      <c r="N36" s="35"/>
      <c r="O36" s="361">
        <f t="shared" si="0"/>
        <v>3368</v>
      </c>
    </row>
    <row r="37" spans="1:15" ht="18">
      <c r="A37" s="621" t="s">
        <v>27</v>
      </c>
      <c r="B37" s="25" t="s">
        <v>707</v>
      </c>
      <c r="C37" s="25" t="s">
        <v>692</v>
      </c>
      <c r="D37" s="24" t="s">
        <v>55</v>
      </c>
      <c r="E37" s="24">
        <v>42</v>
      </c>
      <c r="F37" s="24" t="s">
        <v>693</v>
      </c>
      <c r="G37" s="24" t="s">
        <v>692</v>
      </c>
      <c r="H37" s="24">
        <v>908013</v>
      </c>
      <c r="I37" s="719" t="s">
        <v>1021</v>
      </c>
      <c r="J37" s="417" t="s">
        <v>29</v>
      </c>
      <c r="K37" s="359">
        <v>8</v>
      </c>
      <c r="L37" s="360">
        <f>16194-11843</f>
        <v>4351</v>
      </c>
      <c r="M37" s="35"/>
      <c r="N37" s="35"/>
      <c r="O37" s="361">
        <f t="shared" si="0"/>
        <v>4351</v>
      </c>
    </row>
    <row r="38" spans="1:15" ht="18">
      <c r="A38" s="621" t="s">
        <v>27</v>
      </c>
      <c r="B38" s="25" t="s">
        <v>708</v>
      </c>
      <c r="C38" s="25" t="s">
        <v>709</v>
      </c>
      <c r="D38" s="24"/>
      <c r="E38" s="24" t="s">
        <v>710</v>
      </c>
      <c r="F38" s="24" t="s">
        <v>693</v>
      </c>
      <c r="G38" s="24" t="s">
        <v>692</v>
      </c>
      <c r="H38" s="24">
        <v>838118</v>
      </c>
      <c r="I38" s="734" t="s">
        <v>1028</v>
      </c>
      <c r="J38" s="417" t="s">
        <v>29</v>
      </c>
      <c r="K38" s="359">
        <v>2</v>
      </c>
      <c r="L38" s="360">
        <f>1626-1309</f>
        <v>317</v>
      </c>
      <c r="M38" s="35"/>
      <c r="N38" s="35"/>
      <c r="O38" s="361">
        <f t="shared" si="0"/>
        <v>317</v>
      </c>
    </row>
    <row r="39" spans="1:15" ht="29.25">
      <c r="A39" s="621" t="s">
        <v>27</v>
      </c>
      <c r="B39" s="25" t="s">
        <v>711</v>
      </c>
      <c r="C39" s="25" t="s">
        <v>692</v>
      </c>
      <c r="D39" s="25" t="s">
        <v>726</v>
      </c>
      <c r="E39" s="24"/>
      <c r="F39" s="24" t="s">
        <v>693</v>
      </c>
      <c r="G39" s="24" t="s">
        <v>692</v>
      </c>
      <c r="H39" s="24">
        <v>71020490</v>
      </c>
      <c r="I39" s="719" t="s">
        <v>1033</v>
      </c>
      <c r="J39" s="417" t="s">
        <v>29</v>
      </c>
      <c r="K39" s="359">
        <v>16</v>
      </c>
      <c r="L39" s="360">
        <f>106513-80606</f>
        <v>25907</v>
      </c>
      <c r="M39" s="35"/>
      <c r="N39" s="35"/>
      <c r="O39" s="714">
        <f t="shared" si="0"/>
        <v>25907</v>
      </c>
    </row>
    <row r="40" spans="1:15" ht="18">
      <c r="A40" s="621" t="s">
        <v>27</v>
      </c>
      <c r="B40" s="23" t="s">
        <v>182</v>
      </c>
      <c r="C40" s="23" t="s">
        <v>692</v>
      </c>
      <c r="D40" s="22" t="s">
        <v>55</v>
      </c>
      <c r="E40" s="24"/>
      <c r="F40" s="24" t="s">
        <v>693</v>
      </c>
      <c r="G40" s="24" t="s">
        <v>692</v>
      </c>
      <c r="H40" s="24">
        <v>71019676</v>
      </c>
      <c r="I40" s="734" t="s">
        <v>1031</v>
      </c>
      <c r="J40" s="417" t="s">
        <v>29</v>
      </c>
      <c r="K40" s="359">
        <v>6</v>
      </c>
      <c r="L40" s="360">
        <f>43913-32027</f>
        <v>11886</v>
      </c>
      <c r="M40" s="35"/>
      <c r="N40" s="35"/>
      <c r="O40" s="714">
        <f t="shared" si="0"/>
        <v>11886</v>
      </c>
    </row>
    <row r="41" spans="1:15" s="1" customFormat="1" ht="29.25" thickBot="1">
      <c r="A41" s="621" t="s">
        <v>27</v>
      </c>
      <c r="B41" s="648" t="s">
        <v>1175</v>
      </c>
      <c r="C41" s="648" t="s">
        <v>717</v>
      </c>
      <c r="D41" s="648"/>
      <c r="E41" s="639"/>
      <c r="F41" s="639" t="s">
        <v>693</v>
      </c>
      <c r="G41" s="639" t="s">
        <v>692</v>
      </c>
      <c r="H41" s="639">
        <v>16880805</v>
      </c>
      <c r="I41" s="734" t="s">
        <v>1307</v>
      </c>
      <c r="J41" s="1094" t="s">
        <v>747</v>
      </c>
      <c r="K41" s="880">
        <v>3</v>
      </c>
      <c r="L41" s="881">
        <f>8825-7289</f>
        <v>1536</v>
      </c>
      <c r="M41" s="882"/>
      <c r="N41" s="882"/>
      <c r="O41" s="883">
        <f>L41</f>
        <v>1536</v>
      </c>
    </row>
    <row r="42" spans="2:15" ht="15">
      <c r="B42" s="721" t="s">
        <v>23</v>
      </c>
      <c r="C42" s="125" t="s">
        <v>1177</v>
      </c>
      <c r="D42" s="12"/>
      <c r="E42" s="1315"/>
      <c r="F42" s="267"/>
      <c r="G42" s="267"/>
      <c r="H42" s="1294" t="s">
        <v>1719</v>
      </c>
      <c r="I42" s="670" t="s">
        <v>712</v>
      </c>
      <c r="J42"/>
      <c r="K42" s="295"/>
      <c r="L42" s="356"/>
      <c r="M42" s="1"/>
      <c r="N42" s="275" t="s">
        <v>24</v>
      </c>
      <c r="O42" s="585">
        <f>SUM(O28:O41)</f>
        <v>123387</v>
      </c>
    </row>
    <row r="43" spans="2:15" ht="15">
      <c r="B43" s="571"/>
      <c r="C43" s="45" t="s">
        <v>713</v>
      </c>
      <c r="D43" s="15"/>
      <c r="E43" s="1315"/>
      <c r="F43" s="267"/>
      <c r="G43" s="267"/>
      <c r="H43" s="13"/>
      <c r="I43" s="181" t="s">
        <v>713</v>
      </c>
      <c r="K43" s="295"/>
      <c r="L43" s="356"/>
      <c r="M43" s="1"/>
      <c r="N43" s="1"/>
      <c r="O43" s="1"/>
    </row>
    <row r="44" spans="2:15" ht="15.75" thickBot="1">
      <c r="B44" s="571"/>
      <c r="C44" s="45" t="s">
        <v>696</v>
      </c>
      <c r="D44" s="15"/>
      <c r="E44" s="1315"/>
      <c r="F44" s="267"/>
      <c r="G44" s="267"/>
      <c r="H44" s="73"/>
      <c r="I44" s="182" t="s">
        <v>696</v>
      </c>
      <c r="K44" s="295"/>
      <c r="L44" s="356"/>
      <c r="M44" s="1"/>
      <c r="N44" s="1"/>
      <c r="O44" s="1"/>
    </row>
    <row r="45" spans="2:15" ht="15">
      <c r="B45" s="571" t="s">
        <v>169</v>
      </c>
      <c r="C45" s="45" t="s">
        <v>1803</v>
      </c>
      <c r="D45" s="15"/>
      <c r="E45" s="1315"/>
      <c r="F45" s="267"/>
      <c r="G45" s="267"/>
      <c r="H45" s="267"/>
      <c r="I45" s="267"/>
      <c r="K45" s="295"/>
      <c r="L45" s="356"/>
      <c r="M45" s="1"/>
      <c r="N45" s="1"/>
      <c r="O45" s="1"/>
    </row>
    <row r="46" spans="2:12" s="1" customFormat="1" ht="15.75" thickBot="1">
      <c r="B46" s="1317" t="s">
        <v>1112</v>
      </c>
      <c r="C46" s="1328" t="s">
        <v>1575</v>
      </c>
      <c r="D46" s="1327"/>
      <c r="E46" s="1315"/>
      <c r="F46" s="267"/>
      <c r="G46" s="267"/>
      <c r="H46" s="267"/>
      <c r="I46" s="267"/>
      <c r="K46" s="295"/>
      <c r="L46" s="356"/>
    </row>
    <row r="47" spans="1:15" ht="15" thickBot="1">
      <c r="A47" s="1"/>
      <c r="B47" s="2"/>
      <c r="C47" s="1"/>
      <c r="D47" s="1"/>
      <c r="E47" s="2"/>
      <c r="F47" s="1"/>
      <c r="G47" s="1"/>
      <c r="H47" s="1"/>
      <c r="K47" s="295"/>
      <c r="L47" s="356"/>
      <c r="M47" s="1"/>
      <c r="N47" s="1"/>
      <c r="O47" s="1"/>
    </row>
    <row r="48" spans="1:15" ht="39.75" customHeight="1">
      <c r="A48" s="1580" t="s">
        <v>7</v>
      </c>
      <c r="B48" s="1591" t="s">
        <v>664</v>
      </c>
      <c r="C48" s="1594" t="s">
        <v>9</v>
      </c>
      <c r="D48" s="1594" t="s">
        <v>10</v>
      </c>
      <c r="E48" s="1574" t="s">
        <v>665</v>
      </c>
      <c r="F48" s="1574" t="s">
        <v>12</v>
      </c>
      <c r="G48" s="1594" t="s">
        <v>13</v>
      </c>
      <c r="H48" s="1574" t="s">
        <v>282</v>
      </c>
      <c r="I48" s="1574" t="s">
        <v>14</v>
      </c>
      <c r="J48" s="1574" t="s">
        <v>60</v>
      </c>
      <c r="K48" s="1697" t="s">
        <v>666</v>
      </c>
      <c r="L48" s="1634" t="s">
        <v>667</v>
      </c>
      <c r="M48" s="1634"/>
      <c r="N48" s="1634"/>
      <c r="O48" s="1641"/>
    </row>
    <row r="49" spans="1:15" ht="33.75" customHeight="1">
      <c r="A49" s="1581"/>
      <c r="B49" s="1592"/>
      <c r="C49" s="1595"/>
      <c r="D49" s="1595"/>
      <c r="E49" s="1575"/>
      <c r="F49" s="1575"/>
      <c r="G49" s="1595"/>
      <c r="H49" s="1575"/>
      <c r="I49" s="1575"/>
      <c r="J49" s="1575"/>
      <c r="K49" s="1698"/>
      <c r="L49" s="1568" t="s">
        <v>668</v>
      </c>
      <c r="M49" s="1568"/>
      <c r="N49" s="1568"/>
      <c r="O49" s="1598"/>
    </row>
    <row r="50" spans="1:15" ht="24.75" customHeight="1" thickBot="1">
      <c r="A50" s="1582"/>
      <c r="B50" s="1593"/>
      <c r="C50" s="1596"/>
      <c r="D50" s="1596"/>
      <c r="E50" s="1576"/>
      <c r="F50" s="1576"/>
      <c r="G50" s="1596"/>
      <c r="H50" s="1576"/>
      <c r="I50" s="1576"/>
      <c r="J50" s="1576"/>
      <c r="K50" s="1699"/>
      <c r="L50" s="277" t="s">
        <v>669</v>
      </c>
      <c r="M50" s="277" t="s">
        <v>670</v>
      </c>
      <c r="N50" s="277" t="s">
        <v>671</v>
      </c>
      <c r="O50" s="272" t="s">
        <v>17</v>
      </c>
    </row>
    <row r="51" spans="1:15" ht="30" thickBot="1">
      <c r="A51" s="621" t="s">
        <v>27</v>
      </c>
      <c r="B51" s="635" t="s">
        <v>691</v>
      </c>
      <c r="C51" s="635" t="s">
        <v>1017</v>
      </c>
      <c r="E51" s="107">
        <v>22</v>
      </c>
      <c r="F51" s="107" t="s">
        <v>693</v>
      </c>
      <c r="G51" s="107" t="s">
        <v>692</v>
      </c>
      <c r="H51" s="107">
        <v>118477</v>
      </c>
      <c r="I51" s="719" t="s">
        <v>1018</v>
      </c>
      <c r="J51" s="558" t="s">
        <v>67</v>
      </c>
      <c r="K51" s="354">
        <v>6</v>
      </c>
      <c r="L51" s="468"/>
      <c r="M51" s="469">
        <f>1363-1022</f>
        <v>341</v>
      </c>
      <c r="N51" s="469">
        <f>5509-4115</f>
        <v>1394</v>
      </c>
      <c r="O51" s="355">
        <f>SUM(M51:N51)</f>
        <v>1735</v>
      </c>
    </row>
    <row r="52" spans="2:15" ht="15">
      <c r="B52" s="721" t="s">
        <v>23</v>
      </c>
      <c r="C52" s="11" t="s">
        <v>691</v>
      </c>
      <c r="D52" s="12"/>
      <c r="E52" s="1315"/>
      <c r="F52" s="267"/>
      <c r="G52" s="267"/>
      <c r="H52" s="1294" t="s">
        <v>1719</v>
      </c>
      <c r="I52" s="12" t="s">
        <v>691</v>
      </c>
      <c r="K52" s="295"/>
      <c r="L52" s="356"/>
      <c r="M52" s="33"/>
      <c r="N52" s="34" t="s">
        <v>24</v>
      </c>
      <c r="O52" s="574">
        <f>SUM(O45:O51)</f>
        <v>1735</v>
      </c>
    </row>
    <row r="53" spans="2:15" ht="15">
      <c r="B53" s="571"/>
      <c r="C53" s="14" t="s">
        <v>714</v>
      </c>
      <c r="D53" s="15"/>
      <c r="E53" s="1315"/>
      <c r="F53" s="267"/>
      <c r="G53" s="267"/>
      <c r="H53" s="13"/>
      <c r="I53" s="15" t="s">
        <v>714</v>
      </c>
      <c r="K53" s="295"/>
      <c r="L53" s="356"/>
      <c r="M53" s="1"/>
      <c r="N53" s="1"/>
      <c r="O53" s="1"/>
    </row>
    <row r="54" spans="2:15" ht="15.75" thickBot="1">
      <c r="B54" s="571"/>
      <c r="C54" s="14" t="s">
        <v>696</v>
      </c>
      <c r="D54" s="15"/>
      <c r="E54" s="1315"/>
      <c r="F54" s="267"/>
      <c r="G54" s="267"/>
      <c r="H54" s="73"/>
      <c r="I54" s="18" t="s">
        <v>696</v>
      </c>
      <c r="K54" s="295"/>
      <c r="L54" s="356"/>
      <c r="M54" s="1"/>
      <c r="N54" s="1"/>
      <c r="O54" s="1"/>
    </row>
    <row r="55" spans="2:15" ht="15">
      <c r="B55" s="571" t="s">
        <v>169</v>
      </c>
      <c r="C55" s="14" t="s">
        <v>1805</v>
      </c>
      <c r="D55" s="15"/>
      <c r="E55" s="1315"/>
      <c r="F55" s="267"/>
      <c r="G55" s="267"/>
      <c r="H55" s="267"/>
      <c r="I55" s="267"/>
      <c r="K55" s="295"/>
      <c r="L55" s="356"/>
      <c r="M55" s="1"/>
      <c r="N55" s="1"/>
      <c r="O55" s="1"/>
    </row>
    <row r="56" spans="1:15" ht="15.75" thickBot="1">
      <c r="A56" s="1"/>
      <c r="B56" s="455" t="s">
        <v>1112</v>
      </c>
      <c r="C56" s="17" t="s">
        <v>1173</v>
      </c>
      <c r="D56" s="18"/>
      <c r="E56" s="1315"/>
      <c r="F56" s="267"/>
      <c r="G56" s="267"/>
      <c r="H56" s="267"/>
      <c r="I56" s="267"/>
      <c r="K56" s="295"/>
      <c r="L56" s="356"/>
      <c r="M56" s="1"/>
      <c r="N56" s="1"/>
      <c r="O56" s="1"/>
    </row>
    <row r="57" spans="1:15" ht="14.25">
      <c r="A57" s="1"/>
      <c r="B57" s="2"/>
      <c r="C57" s="1"/>
      <c r="D57" s="1"/>
      <c r="E57" s="2"/>
      <c r="F57" s="1"/>
      <c r="G57" s="1"/>
      <c r="H57" s="1"/>
      <c r="K57" s="295"/>
      <c r="L57" s="356"/>
      <c r="M57" s="1"/>
      <c r="N57" s="1"/>
      <c r="O57" s="1"/>
    </row>
    <row r="58" spans="1:15" ht="15" thickBot="1">
      <c r="A58" s="1"/>
      <c r="B58" s="2"/>
      <c r="C58" s="1"/>
      <c r="D58" s="1"/>
      <c r="E58" s="2"/>
      <c r="F58" s="1"/>
      <c r="G58" s="1"/>
      <c r="H58" s="1"/>
      <c r="K58" s="295"/>
      <c r="L58" s="356"/>
      <c r="M58" s="1"/>
      <c r="N58" s="1"/>
      <c r="O58" s="1"/>
    </row>
    <row r="59" spans="1:15" ht="42" customHeight="1">
      <c r="A59" s="1580" t="s">
        <v>7</v>
      </c>
      <c r="B59" s="1591" t="s">
        <v>664</v>
      </c>
      <c r="C59" s="1594" t="s">
        <v>9</v>
      </c>
      <c r="D59" s="1594" t="s">
        <v>10</v>
      </c>
      <c r="E59" s="1574" t="s">
        <v>665</v>
      </c>
      <c r="F59" s="1574" t="s">
        <v>12</v>
      </c>
      <c r="G59" s="1594" t="s">
        <v>13</v>
      </c>
      <c r="H59" s="1574" t="s">
        <v>282</v>
      </c>
      <c r="I59" s="1574" t="s">
        <v>14</v>
      </c>
      <c r="J59" s="1574" t="s">
        <v>60</v>
      </c>
      <c r="K59" s="1697" t="s">
        <v>666</v>
      </c>
      <c r="L59" s="1634" t="s">
        <v>667</v>
      </c>
      <c r="M59" s="1634"/>
      <c r="N59" s="1634"/>
      <c r="O59" s="1641"/>
    </row>
    <row r="60" spans="1:15" ht="39" customHeight="1">
      <c r="A60" s="1581"/>
      <c r="B60" s="1592"/>
      <c r="C60" s="1595"/>
      <c r="D60" s="1595"/>
      <c r="E60" s="1575"/>
      <c r="F60" s="1575"/>
      <c r="G60" s="1595"/>
      <c r="H60" s="1575"/>
      <c r="I60" s="1575"/>
      <c r="J60" s="1575"/>
      <c r="K60" s="1698"/>
      <c r="L60" s="1568" t="s">
        <v>668</v>
      </c>
      <c r="M60" s="1568"/>
      <c r="N60" s="1568"/>
      <c r="O60" s="1598"/>
    </row>
    <row r="61" spans="1:15" ht="27.75" customHeight="1" thickBot="1">
      <c r="A61" s="1582"/>
      <c r="B61" s="1593"/>
      <c r="C61" s="1596"/>
      <c r="D61" s="1596"/>
      <c r="E61" s="1576"/>
      <c r="F61" s="1576"/>
      <c r="G61" s="1596"/>
      <c r="H61" s="1576"/>
      <c r="I61" s="1576"/>
      <c r="J61" s="1576"/>
      <c r="K61" s="1699"/>
      <c r="L61" s="277" t="s">
        <v>669</v>
      </c>
      <c r="M61" s="277" t="s">
        <v>670</v>
      </c>
      <c r="N61" s="277" t="s">
        <v>671</v>
      </c>
      <c r="O61" s="272" t="s">
        <v>17</v>
      </c>
    </row>
    <row r="62" spans="1:16" ht="29.25">
      <c r="A62" s="621" t="s">
        <v>27</v>
      </c>
      <c r="B62" s="108" t="s">
        <v>163</v>
      </c>
      <c r="C62" s="108" t="s">
        <v>692</v>
      </c>
      <c r="D62" s="107" t="s">
        <v>715</v>
      </c>
      <c r="E62" s="107">
        <v>4</v>
      </c>
      <c r="F62" s="107" t="s">
        <v>693</v>
      </c>
      <c r="G62" s="107" t="s">
        <v>692</v>
      </c>
      <c r="H62" s="24">
        <v>838113</v>
      </c>
      <c r="I62" s="734" t="s">
        <v>1026</v>
      </c>
      <c r="J62" s="560" t="s">
        <v>29</v>
      </c>
      <c r="K62" s="354">
        <v>16</v>
      </c>
      <c r="L62" s="357">
        <f>297446-224332</f>
        <v>73114</v>
      </c>
      <c r="M62" s="476"/>
      <c r="N62" s="476"/>
      <c r="O62" s="358">
        <f>L62</f>
        <v>73114</v>
      </c>
      <c r="P62" s="1"/>
    </row>
    <row r="63" spans="1:15" ht="32.25" customHeight="1">
      <c r="A63" s="621" t="s">
        <v>27</v>
      </c>
      <c r="B63" s="25" t="s">
        <v>716</v>
      </c>
      <c r="C63" s="25" t="s">
        <v>717</v>
      </c>
      <c r="D63" s="24"/>
      <c r="E63" s="24"/>
      <c r="F63" s="24" t="s">
        <v>693</v>
      </c>
      <c r="G63" s="24" t="s">
        <v>692</v>
      </c>
      <c r="H63" s="24">
        <v>70958707</v>
      </c>
      <c r="I63" s="719" t="s">
        <v>1034</v>
      </c>
      <c r="J63" s="417" t="s">
        <v>29</v>
      </c>
      <c r="K63" s="359">
        <v>7.5</v>
      </c>
      <c r="L63" s="360">
        <f>10378-7333</f>
        <v>3045</v>
      </c>
      <c r="M63" s="32"/>
      <c r="N63" s="32"/>
      <c r="O63" s="361">
        <f>L63</f>
        <v>3045</v>
      </c>
    </row>
    <row r="64" spans="1:15" ht="30" thickBot="1">
      <c r="A64" s="621" t="s">
        <v>27</v>
      </c>
      <c r="B64" s="23" t="s">
        <v>659</v>
      </c>
      <c r="C64" s="23" t="s">
        <v>692</v>
      </c>
      <c r="D64" s="22" t="s">
        <v>715</v>
      </c>
      <c r="E64" s="24">
        <v>2</v>
      </c>
      <c r="F64" s="24" t="s">
        <v>693</v>
      </c>
      <c r="G64" s="24" t="s">
        <v>692</v>
      </c>
      <c r="H64" s="24">
        <v>838109</v>
      </c>
      <c r="I64" s="734" t="s">
        <v>1025</v>
      </c>
      <c r="J64" s="417" t="s">
        <v>29</v>
      </c>
      <c r="K64" s="359">
        <v>15</v>
      </c>
      <c r="L64" s="365">
        <f>93748-69747</f>
        <v>24001</v>
      </c>
      <c r="M64" s="477"/>
      <c r="N64" s="477"/>
      <c r="O64" s="366">
        <f>L64</f>
        <v>24001</v>
      </c>
    </row>
    <row r="65" spans="2:15" ht="15">
      <c r="B65" s="721" t="s">
        <v>23</v>
      </c>
      <c r="C65" s="125" t="s">
        <v>1177</v>
      </c>
      <c r="D65" s="12"/>
      <c r="E65" s="1315"/>
      <c r="F65" s="267"/>
      <c r="G65" s="267"/>
      <c r="H65" s="1294" t="s">
        <v>1719</v>
      </c>
      <c r="I65" s="12" t="s">
        <v>712</v>
      </c>
      <c r="K65" s="295"/>
      <c r="L65" s="356"/>
      <c r="M65" s="1"/>
      <c r="N65" s="34" t="s">
        <v>24</v>
      </c>
      <c r="O65" s="574">
        <f>SUM(O62:O64)</f>
        <v>100160</v>
      </c>
    </row>
    <row r="66" spans="2:15" ht="15">
      <c r="B66" s="571"/>
      <c r="C66" s="45" t="s">
        <v>713</v>
      </c>
      <c r="D66" s="15"/>
      <c r="E66" s="1315"/>
      <c r="F66" s="267"/>
      <c r="G66" s="267"/>
      <c r="H66" s="13"/>
      <c r="I66" s="15" t="s">
        <v>713</v>
      </c>
      <c r="K66" s="295"/>
      <c r="L66" s="356"/>
      <c r="M66" s="1"/>
      <c r="N66" s="1"/>
      <c r="O66" s="1"/>
    </row>
    <row r="67" spans="2:15" ht="15.75" thickBot="1">
      <c r="B67" s="571"/>
      <c r="C67" s="45" t="s">
        <v>696</v>
      </c>
      <c r="D67" s="15"/>
      <c r="E67" s="1315"/>
      <c r="F67" s="267"/>
      <c r="G67" s="267"/>
      <c r="H67" s="73"/>
      <c r="I67" s="18" t="s">
        <v>696</v>
      </c>
      <c r="K67" s="295"/>
      <c r="L67" s="356"/>
      <c r="M67" s="1"/>
      <c r="N67" s="1"/>
      <c r="O67" s="1"/>
    </row>
    <row r="68" spans="2:15" ht="15">
      <c r="B68" s="571" t="s">
        <v>169</v>
      </c>
      <c r="C68" s="45" t="s">
        <v>1803</v>
      </c>
      <c r="D68" s="15"/>
      <c r="E68" s="1315"/>
      <c r="F68" s="267"/>
      <c r="G68" s="267"/>
      <c r="H68" s="267"/>
      <c r="I68" s="267"/>
      <c r="K68" s="295"/>
      <c r="L68" s="356"/>
      <c r="M68" s="1"/>
      <c r="N68" s="1"/>
      <c r="O68" s="1"/>
    </row>
    <row r="69" spans="1:15" ht="15.75" thickBot="1">
      <c r="A69" s="1"/>
      <c r="B69" s="1317" t="s">
        <v>1112</v>
      </c>
      <c r="C69" s="1328" t="s">
        <v>1575</v>
      </c>
      <c r="D69" s="1327"/>
      <c r="E69" s="1315"/>
      <c r="F69" s="267"/>
      <c r="G69" s="267"/>
      <c r="H69" s="267"/>
      <c r="I69" s="267"/>
      <c r="K69" s="295"/>
      <c r="L69" s="356"/>
      <c r="M69" s="1"/>
      <c r="N69" s="1"/>
      <c r="O69" s="1"/>
    </row>
    <row r="70" spans="1:15" ht="15" thickBot="1">
      <c r="A70" s="1"/>
      <c r="B70" s="2"/>
      <c r="C70" s="1"/>
      <c r="D70" s="1"/>
      <c r="E70" s="2"/>
      <c r="F70" s="1"/>
      <c r="G70" s="1"/>
      <c r="H70" s="1"/>
      <c r="K70" s="295"/>
      <c r="L70" s="356"/>
      <c r="M70" s="1"/>
      <c r="N70" s="1"/>
      <c r="O70" s="1"/>
    </row>
    <row r="71" spans="1:15" ht="46.5" customHeight="1">
      <c r="A71" s="1580" t="s">
        <v>7</v>
      </c>
      <c r="B71" s="1591" t="s">
        <v>664</v>
      </c>
      <c r="C71" s="1594" t="s">
        <v>9</v>
      </c>
      <c r="D71" s="1594" t="s">
        <v>10</v>
      </c>
      <c r="E71" s="1574" t="s">
        <v>665</v>
      </c>
      <c r="F71" s="1574" t="s">
        <v>12</v>
      </c>
      <c r="G71" s="1594" t="s">
        <v>13</v>
      </c>
      <c r="H71" s="1574" t="s">
        <v>282</v>
      </c>
      <c r="I71" s="1574" t="s">
        <v>14</v>
      </c>
      <c r="J71" s="1574" t="s">
        <v>60</v>
      </c>
      <c r="K71" s="1697" t="s">
        <v>666</v>
      </c>
      <c r="L71" s="1634" t="s">
        <v>667</v>
      </c>
      <c r="M71" s="1634"/>
      <c r="N71" s="1634"/>
      <c r="O71" s="1641"/>
    </row>
    <row r="72" spans="1:15" ht="39.75" customHeight="1">
      <c r="A72" s="1581"/>
      <c r="B72" s="1592"/>
      <c r="C72" s="1595"/>
      <c r="D72" s="1595"/>
      <c r="E72" s="1575"/>
      <c r="F72" s="1575"/>
      <c r="G72" s="1595"/>
      <c r="H72" s="1575"/>
      <c r="I72" s="1575"/>
      <c r="J72" s="1575"/>
      <c r="K72" s="1698"/>
      <c r="L72" s="1568" t="s">
        <v>668</v>
      </c>
      <c r="M72" s="1568"/>
      <c r="N72" s="1568"/>
      <c r="O72" s="1598"/>
    </row>
    <row r="73" spans="1:15" ht="30.75" customHeight="1" thickBot="1">
      <c r="A73" s="1582"/>
      <c r="B73" s="1593"/>
      <c r="C73" s="1596"/>
      <c r="D73" s="1596"/>
      <c r="E73" s="1576"/>
      <c r="F73" s="1576"/>
      <c r="G73" s="1596"/>
      <c r="H73" s="1576"/>
      <c r="I73" s="1576"/>
      <c r="J73" s="1576"/>
      <c r="K73" s="1699"/>
      <c r="L73" s="277" t="s">
        <v>669</v>
      </c>
      <c r="M73" s="277" t="s">
        <v>670</v>
      </c>
      <c r="N73" s="277" t="s">
        <v>671</v>
      </c>
      <c r="O73" s="272" t="s">
        <v>17</v>
      </c>
    </row>
    <row r="74" spans="1:15" ht="30" thickBot="1">
      <c r="A74" s="621" t="s">
        <v>27</v>
      </c>
      <c r="B74" s="371" t="s">
        <v>718</v>
      </c>
      <c r="C74" s="23" t="s">
        <v>692</v>
      </c>
      <c r="D74" s="372" t="s">
        <v>55</v>
      </c>
      <c r="E74" s="372">
        <v>39</v>
      </c>
      <c r="F74" s="24" t="s">
        <v>693</v>
      </c>
      <c r="G74" s="24" t="s">
        <v>692</v>
      </c>
      <c r="H74" s="22">
        <v>71020493</v>
      </c>
      <c r="I74" s="1141" t="s">
        <v>1020</v>
      </c>
      <c r="J74" s="1330" t="s">
        <v>29</v>
      </c>
      <c r="K74" s="367">
        <v>13</v>
      </c>
      <c r="L74" s="284">
        <f>27048-19140</f>
        <v>7908</v>
      </c>
      <c r="M74" s="475"/>
      <c r="N74" s="475"/>
      <c r="O74" s="126">
        <f>L74</f>
        <v>7908</v>
      </c>
    </row>
    <row r="75" spans="2:15" ht="15">
      <c r="B75" s="721" t="s">
        <v>23</v>
      </c>
      <c r="C75" s="11" t="s">
        <v>1170</v>
      </c>
      <c r="D75" s="11"/>
      <c r="E75" s="44"/>
      <c r="F75" s="267"/>
      <c r="G75" s="267"/>
      <c r="H75" s="1294" t="s">
        <v>1719</v>
      </c>
      <c r="I75" s="11" t="s">
        <v>1170</v>
      </c>
      <c r="J75" s="12"/>
      <c r="K75" s="295"/>
      <c r="L75" s="356"/>
      <c r="M75" s="1"/>
      <c r="N75" s="34" t="s">
        <v>24</v>
      </c>
      <c r="O75" s="574">
        <f>SUM(O70:O74)</f>
        <v>7908</v>
      </c>
    </row>
    <row r="76" spans="2:15" ht="15">
      <c r="B76" s="571"/>
      <c r="C76" s="14" t="s">
        <v>719</v>
      </c>
      <c r="D76" s="14"/>
      <c r="E76" s="42"/>
      <c r="F76" s="267"/>
      <c r="G76" s="267"/>
      <c r="H76" s="13"/>
      <c r="I76" s="14" t="s">
        <v>719</v>
      </c>
      <c r="J76" s="15"/>
      <c r="K76" s="295"/>
      <c r="L76" s="356"/>
      <c r="M76" s="1"/>
      <c r="N76" s="1"/>
      <c r="O76" s="1"/>
    </row>
    <row r="77" spans="2:15" ht="15.75" thickBot="1">
      <c r="B77" s="571"/>
      <c r="C77" s="14" t="s">
        <v>696</v>
      </c>
      <c r="D77" s="14"/>
      <c r="E77" s="42"/>
      <c r="F77" s="267"/>
      <c r="G77" s="267"/>
      <c r="H77" s="73"/>
      <c r="I77" s="17" t="s">
        <v>696</v>
      </c>
      <c r="J77" s="18"/>
      <c r="K77" s="295"/>
      <c r="L77" s="356"/>
      <c r="M77" s="1"/>
      <c r="N77" s="1"/>
      <c r="O77" s="1"/>
    </row>
    <row r="78" spans="2:15" ht="15">
      <c r="B78" s="571" t="s">
        <v>169</v>
      </c>
      <c r="C78" s="14" t="s">
        <v>1804</v>
      </c>
      <c r="D78" s="14"/>
      <c r="E78" s="42"/>
      <c r="F78" s="267"/>
      <c r="G78" s="267"/>
      <c r="H78" s="267"/>
      <c r="I78" s="267"/>
      <c r="J78" s="267"/>
      <c r="K78" s="295"/>
      <c r="L78" s="356"/>
      <c r="M78" s="1"/>
      <c r="N78" s="1"/>
      <c r="O78" s="1"/>
    </row>
    <row r="79" spans="1:15" ht="15.75" thickBot="1">
      <c r="A79" s="1"/>
      <c r="B79" s="455" t="s">
        <v>1112</v>
      </c>
      <c r="C79" s="17" t="s">
        <v>1171</v>
      </c>
      <c r="D79" s="17"/>
      <c r="E79" s="43"/>
      <c r="F79" s="267"/>
      <c r="G79" s="267"/>
      <c r="H79" s="267"/>
      <c r="I79" s="267"/>
      <c r="J79" s="267"/>
      <c r="K79" s="295"/>
      <c r="L79" s="356"/>
      <c r="M79" s="1"/>
      <c r="N79" s="1"/>
      <c r="O79" s="1"/>
    </row>
    <row r="80" spans="1:15" ht="14.25">
      <c r="A80" s="1"/>
      <c r="B80" s="2"/>
      <c r="C80" s="1"/>
      <c r="D80" s="1"/>
      <c r="E80" s="2"/>
      <c r="F80" s="1"/>
      <c r="G80" s="1"/>
      <c r="H80" s="1"/>
      <c r="K80" s="295"/>
      <c r="L80" s="356"/>
      <c r="M80" s="1"/>
      <c r="N80" s="1"/>
      <c r="O80" s="1"/>
    </row>
    <row r="81" spans="1:15" ht="15" thickBot="1">
      <c r="A81" s="1"/>
      <c r="B81" s="2"/>
      <c r="C81" s="1"/>
      <c r="D81" s="1"/>
      <c r="E81" s="2"/>
      <c r="F81" s="1"/>
      <c r="G81" s="1"/>
      <c r="H81" s="1"/>
      <c r="K81" s="295"/>
      <c r="L81" s="356"/>
      <c r="M81" s="1"/>
      <c r="N81" s="1"/>
      <c r="O81" s="1"/>
    </row>
    <row r="82" spans="1:15" ht="41.25" customHeight="1">
      <c r="A82" s="1580" t="s">
        <v>7</v>
      </c>
      <c r="B82" s="1591" t="s">
        <v>664</v>
      </c>
      <c r="C82" s="1594" t="s">
        <v>9</v>
      </c>
      <c r="D82" s="1594" t="s">
        <v>10</v>
      </c>
      <c r="E82" s="1574" t="s">
        <v>665</v>
      </c>
      <c r="F82" s="1574" t="s">
        <v>12</v>
      </c>
      <c r="G82" s="1594" t="s">
        <v>13</v>
      </c>
      <c r="H82" s="1574" t="s">
        <v>282</v>
      </c>
      <c r="I82" s="1574" t="s">
        <v>14</v>
      </c>
      <c r="J82" s="1574" t="s">
        <v>60</v>
      </c>
      <c r="K82" s="1697" t="s">
        <v>666</v>
      </c>
      <c r="L82" s="1634" t="s">
        <v>667</v>
      </c>
      <c r="M82" s="1634"/>
      <c r="N82" s="1634"/>
      <c r="O82" s="1641"/>
    </row>
    <row r="83" spans="1:15" ht="41.25" customHeight="1">
      <c r="A83" s="1581"/>
      <c r="B83" s="1592"/>
      <c r="C83" s="1595"/>
      <c r="D83" s="1595"/>
      <c r="E83" s="1575"/>
      <c r="F83" s="1575"/>
      <c r="G83" s="1595"/>
      <c r="H83" s="1575"/>
      <c r="I83" s="1575"/>
      <c r="J83" s="1575"/>
      <c r="K83" s="1698"/>
      <c r="L83" s="1568" t="s">
        <v>668</v>
      </c>
      <c r="M83" s="1568"/>
      <c r="N83" s="1568"/>
      <c r="O83" s="1598"/>
    </row>
    <row r="84" spans="1:15" ht="27" customHeight="1" thickBot="1">
      <c r="A84" s="1582"/>
      <c r="B84" s="1593"/>
      <c r="C84" s="1596"/>
      <c r="D84" s="1596"/>
      <c r="E84" s="1649"/>
      <c r="F84" s="1576"/>
      <c r="G84" s="1596"/>
      <c r="H84" s="1576"/>
      <c r="I84" s="1576"/>
      <c r="J84" s="1576"/>
      <c r="K84" s="1699"/>
      <c r="L84" s="277" t="s">
        <v>669</v>
      </c>
      <c r="M84" s="277" t="s">
        <v>670</v>
      </c>
      <c r="N84" s="277" t="s">
        <v>671</v>
      </c>
      <c r="O84" s="272" t="s">
        <v>17</v>
      </c>
    </row>
    <row r="85" spans="1:16" ht="43.5">
      <c r="A85" s="621" t="s">
        <v>27</v>
      </c>
      <c r="B85" s="273" t="s">
        <v>720</v>
      </c>
      <c r="C85" s="107" t="s">
        <v>692</v>
      </c>
      <c r="D85" s="187" t="s">
        <v>233</v>
      </c>
      <c r="E85" s="4">
        <v>5</v>
      </c>
      <c r="F85" s="107" t="s">
        <v>693</v>
      </c>
      <c r="G85" s="107" t="s">
        <v>692</v>
      </c>
      <c r="H85" s="107">
        <v>47426</v>
      </c>
      <c r="I85" s="1110" t="s">
        <v>1099</v>
      </c>
      <c r="J85" s="444" t="s">
        <v>29</v>
      </c>
      <c r="K85" s="367">
        <v>2.2</v>
      </c>
      <c r="L85" s="368">
        <f>3163-2556</f>
        <v>607</v>
      </c>
      <c r="M85" s="474"/>
      <c r="N85" s="474"/>
      <c r="O85" s="336">
        <f>L85</f>
        <v>607</v>
      </c>
      <c r="P85" s="1"/>
    </row>
    <row r="86" spans="1:16" ht="18">
      <c r="A86" s="621" t="s">
        <v>27</v>
      </c>
      <c r="B86" s="3" t="s">
        <v>273</v>
      </c>
      <c r="C86" s="24" t="s">
        <v>692</v>
      </c>
      <c r="D86" s="4" t="s">
        <v>721</v>
      </c>
      <c r="E86" s="4"/>
      <c r="F86" s="24" t="s">
        <v>693</v>
      </c>
      <c r="G86" s="24" t="s">
        <v>692</v>
      </c>
      <c r="H86" s="24">
        <v>838119</v>
      </c>
      <c r="I86" s="719" t="s">
        <v>1090</v>
      </c>
      <c r="J86" s="398" t="s">
        <v>29</v>
      </c>
      <c r="K86" s="369">
        <v>6</v>
      </c>
      <c r="L86" s="370">
        <f>53015-40139</f>
        <v>12876</v>
      </c>
      <c r="M86" s="35"/>
      <c r="N86" s="35"/>
      <c r="O86" s="350">
        <f aca="true" t="shared" si="1" ref="O86:O93">L86</f>
        <v>12876</v>
      </c>
      <c r="P86" s="1"/>
    </row>
    <row r="87" spans="1:16" ht="18">
      <c r="A87" s="621" t="s">
        <v>27</v>
      </c>
      <c r="B87" s="3" t="s">
        <v>273</v>
      </c>
      <c r="C87" s="24" t="s">
        <v>692</v>
      </c>
      <c r="D87" s="4" t="s">
        <v>722</v>
      </c>
      <c r="E87" s="4"/>
      <c r="F87" s="24" t="s">
        <v>693</v>
      </c>
      <c r="G87" s="24" t="s">
        <v>692</v>
      </c>
      <c r="H87" s="24">
        <v>838117</v>
      </c>
      <c r="I87" s="1110" t="s">
        <v>1091</v>
      </c>
      <c r="J87" s="398" t="s">
        <v>29</v>
      </c>
      <c r="K87" s="369">
        <v>4</v>
      </c>
      <c r="L87" s="370">
        <f>13315-10275</f>
        <v>3040</v>
      </c>
      <c r="M87" s="35"/>
      <c r="N87" s="35"/>
      <c r="O87" s="350">
        <f t="shared" si="1"/>
        <v>3040</v>
      </c>
      <c r="P87" s="1"/>
    </row>
    <row r="88" spans="1:16" ht="43.5">
      <c r="A88" s="621" t="s">
        <v>27</v>
      </c>
      <c r="B88" s="3" t="s">
        <v>720</v>
      </c>
      <c r="C88" s="3" t="s">
        <v>703</v>
      </c>
      <c r="D88" s="4"/>
      <c r="E88" s="4"/>
      <c r="F88" s="107" t="s">
        <v>693</v>
      </c>
      <c r="G88" s="107" t="s">
        <v>692</v>
      </c>
      <c r="H88" s="24">
        <v>350128</v>
      </c>
      <c r="I88" s="719" t="s">
        <v>1092</v>
      </c>
      <c r="J88" s="398" t="s">
        <v>29</v>
      </c>
      <c r="K88" s="369">
        <v>8</v>
      </c>
      <c r="L88" s="370">
        <f>2032-1389</f>
        <v>643</v>
      </c>
      <c r="M88" s="35"/>
      <c r="N88" s="35"/>
      <c r="O88" s="350">
        <f t="shared" si="1"/>
        <v>643</v>
      </c>
      <c r="P88" s="1"/>
    </row>
    <row r="89" spans="1:16" ht="43.5">
      <c r="A89" s="621" t="s">
        <v>27</v>
      </c>
      <c r="B89" s="3" t="s">
        <v>720</v>
      </c>
      <c r="C89" s="3" t="s">
        <v>703</v>
      </c>
      <c r="D89" s="4"/>
      <c r="E89" s="4"/>
      <c r="F89" s="24" t="s">
        <v>693</v>
      </c>
      <c r="G89" s="24" t="s">
        <v>692</v>
      </c>
      <c r="H89" s="24">
        <v>350124</v>
      </c>
      <c r="I89" s="1110" t="s">
        <v>1093</v>
      </c>
      <c r="J89" s="398" t="s">
        <v>29</v>
      </c>
      <c r="K89" s="369">
        <v>8</v>
      </c>
      <c r="L89" s="370">
        <f>3515-2581</f>
        <v>934</v>
      </c>
      <c r="M89" s="35"/>
      <c r="N89" s="35"/>
      <c r="O89" s="350">
        <f t="shared" si="1"/>
        <v>934</v>
      </c>
      <c r="P89" s="1"/>
    </row>
    <row r="90" spans="1:16" ht="43.5">
      <c r="A90" s="621" t="s">
        <v>27</v>
      </c>
      <c r="B90" s="3" t="s">
        <v>720</v>
      </c>
      <c r="C90" s="3" t="s">
        <v>723</v>
      </c>
      <c r="D90" s="4"/>
      <c r="E90" s="4"/>
      <c r="F90" s="24" t="s">
        <v>693</v>
      </c>
      <c r="G90" s="24" t="s">
        <v>692</v>
      </c>
      <c r="H90" s="24">
        <v>86214</v>
      </c>
      <c r="I90" s="719" t="s">
        <v>1098</v>
      </c>
      <c r="J90" s="398" t="s">
        <v>29</v>
      </c>
      <c r="K90" s="369">
        <v>8</v>
      </c>
      <c r="L90" s="370">
        <f>6812-6240</f>
        <v>572</v>
      </c>
      <c r="M90" s="35"/>
      <c r="N90" s="35"/>
      <c r="O90" s="350">
        <f t="shared" si="1"/>
        <v>572</v>
      </c>
      <c r="P90" s="1"/>
    </row>
    <row r="91" spans="1:16" ht="18">
      <c r="A91" s="621" t="s">
        <v>27</v>
      </c>
      <c r="B91" s="3" t="s">
        <v>366</v>
      </c>
      <c r="C91" s="3" t="s">
        <v>694</v>
      </c>
      <c r="D91" s="4"/>
      <c r="E91" s="4"/>
      <c r="F91" s="107" t="s">
        <v>693</v>
      </c>
      <c r="G91" s="107" t="s">
        <v>692</v>
      </c>
      <c r="H91" s="24">
        <v>907903</v>
      </c>
      <c r="I91" s="1110" t="s">
        <v>1094</v>
      </c>
      <c r="J91" s="31" t="s">
        <v>67</v>
      </c>
      <c r="K91" s="369">
        <v>20</v>
      </c>
      <c r="L91" s="337"/>
      <c r="M91" s="34">
        <f>9474-7223</f>
        <v>2251</v>
      </c>
      <c r="N91" s="34">
        <f>23575-18033</f>
        <v>5542</v>
      </c>
      <c r="O91" s="350">
        <f>SUM(M91:N91)</f>
        <v>7793</v>
      </c>
      <c r="P91" s="1"/>
    </row>
    <row r="92" spans="1:16" ht="29.25">
      <c r="A92" s="621" t="s">
        <v>27</v>
      </c>
      <c r="B92" s="3" t="s">
        <v>264</v>
      </c>
      <c r="C92" s="24" t="s">
        <v>692</v>
      </c>
      <c r="D92" s="4" t="s">
        <v>724</v>
      </c>
      <c r="E92" s="4"/>
      <c r="F92" s="24" t="s">
        <v>693</v>
      </c>
      <c r="G92" s="24" t="s">
        <v>692</v>
      </c>
      <c r="H92" s="24">
        <v>908183</v>
      </c>
      <c r="I92" s="719" t="s">
        <v>1088</v>
      </c>
      <c r="J92" s="389" t="s">
        <v>22</v>
      </c>
      <c r="K92" s="369">
        <v>30</v>
      </c>
      <c r="L92" s="370">
        <f>(14490.29-10735.48)*30</f>
        <v>112644.30000000005</v>
      </c>
      <c r="M92" s="35"/>
      <c r="N92" s="35"/>
      <c r="O92" s="350">
        <f t="shared" si="1"/>
        <v>112644.30000000005</v>
      </c>
      <c r="P92" s="1"/>
    </row>
    <row r="93" spans="1:16" ht="18">
      <c r="A93" s="621" t="s">
        <v>27</v>
      </c>
      <c r="B93" s="3" t="s">
        <v>329</v>
      </c>
      <c r="C93" s="3" t="s">
        <v>709</v>
      </c>
      <c r="D93" s="4"/>
      <c r="E93" s="4"/>
      <c r="F93" s="24" t="s">
        <v>693</v>
      </c>
      <c r="G93" s="24" t="s">
        <v>692</v>
      </c>
      <c r="H93" s="24">
        <v>4143445</v>
      </c>
      <c r="I93" s="719" t="s">
        <v>1089</v>
      </c>
      <c r="J93" s="389" t="s">
        <v>22</v>
      </c>
      <c r="K93" s="784">
        <v>38</v>
      </c>
      <c r="L93" s="34">
        <f>(17780.4-14906.79)*30</f>
        <v>86208.30000000002</v>
      </c>
      <c r="M93" s="35"/>
      <c r="N93" s="35"/>
      <c r="O93" s="34">
        <f t="shared" si="1"/>
        <v>86208.30000000002</v>
      </c>
      <c r="P93" s="1"/>
    </row>
    <row r="94" spans="1:15" s="1" customFormat="1" ht="30" thickBot="1">
      <c r="A94" s="621" t="s">
        <v>27</v>
      </c>
      <c r="B94" s="3"/>
      <c r="C94" s="3" t="s">
        <v>692</v>
      </c>
      <c r="D94" s="3" t="s">
        <v>1037</v>
      </c>
      <c r="E94" s="4">
        <v>20</v>
      </c>
      <c r="F94" s="24" t="s">
        <v>693</v>
      </c>
      <c r="G94" s="24" t="s">
        <v>692</v>
      </c>
      <c r="H94" s="22">
        <v>218249</v>
      </c>
      <c r="I94" s="797" t="s">
        <v>1316</v>
      </c>
      <c r="J94" s="769" t="s">
        <v>29</v>
      </c>
      <c r="K94" s="784">
        <v>7</v>
      </c>
      <c r="L94" s="34">
        <f>5991-4703</f>
        <v>1288</v>
      </c>
      <c r="M94" s="35"/>
      <c r="N94" s="35"/>
      <c r="O94" s="34">
        <f>L94</f>
        <v>1288</v>
      </c>
    </row>
    <row r="95" spans="2:15" ht="15">
      <c r="B95" s="721" t="s">
        <v>23</v>
      </c>
      <c r="C95" s="125" t="s">
        <v>1177</v>
      </c>
      <c r="D95" s="12"/>
      <c r="E95" s="20"/>
      <c r="F95" s="14"/>
      <c r="G95" s="267"/>
      <c r="H95" s="1294" t="s">
        <v>1719</v>
      </c>
      <c r="I95" s="11" t="s">
        <v>725</v>
      </c>
      <c r="J95" s="12"/>
      <c r="K95" s="1"/>
      <c r="L95" s="295"/>
      <c r="M95" s="356"/>
      <c r="N95" s="275" t="s">
        <v>24</v>
      </c>
      <c r="O95" s="585">
        <f>SUM(O85:O94)</f>
        <v>226605.60000000006</v>
      </c>
    </row>
    <row r="96" spans="2:16" ht="15">
      <c r="B96" s="571"/>
      <c r="C96" s="45" t="s">
        <v>713</v>
      </c>
      <c r="D96" s="15"/>
      <c r="E96" s="20"/>
      <c r="F96" s="14"/>
      <c r="G96" s="267"/>
      <c r="H96" s="13"/>
      <c r="I96" s="14" t="s">
        <v>1176</v>
      </c>
      <c r="J96" s="15"/>
      <c r="K96" s="1"/>
      <c r="L96" s="295"/>
      <c r="M96" s="356"/>
      <c r="N96" s="1"/>
      <c r="O96" s="1"/>
      <c r="P96" s="1"/>
    </row>
    <row r="97" spans="2:13" s="1" customFormat="1" ht="15.75" thickBot="1">
      <c r="B97" s="571"/>
      <c r="C97" s="45" t="s">
        <v>696</v>
      </c>
      <c r="D97" s="15"/>
      <c r="E97" s="20"/>
      <c r="F97" s="14"/>
      <c r="G97" s="267"/>
      <c r="H97" s="73"/>
      <c r="I97" s="17" t="s">
        <v>696</v>
      </c>
      <c r="J97" s="18"/>
      <c r="L97" s="295"/>
      <c r="M97" s="356"/>
    </row>
    <row r="98" spans="2:16" ht="15">
      <c r="B98" s="571" t="s">
        <v>169</v>
      </c>
      <c r="C98" s="45" t="s">
        <v>1803</v>
      </c>
      <c r="D98" s="15"/>
      <c r="E98" s="20"/>
      <c r="F98" s="14"/>
      <c r="G98" s="267"/>
      <c r="H98" s="267"/>
      <c r="I98" s="267"/>
      <c r="J98" s="267"/>
      <c r="K98" s="1"/>
      <c r="L98" s="295"/>
      <c r="M98" s="1"/>
      <c r="N98" s="33"/>
      <c r="O98" s="1"/>
      <c r="P98" s="1"/>
    </row>
    <row r="99" spans="2:10" ht="15.75" thickBot="1">
      <c r="B99" s="1317" t="s">
        <v>1112</v>
      </c>
      <c r="C99" s="1328" t="s">
        <v>1575</v>
      </c>
      <c r="D99" s="1327"/>
      <c r="E99" s="14"/>
      <c r="F99" s="267"/>
      <c r="G99" s="267"/>
      <c r="H99" s="267"/>
      <c r="I99" s="267"/>
      <c r="J99" s="267"/>
    </row>
    <row r="100" spans="2:7" s="1" customFormat="1" ht="15" thickBot="1">
      <c r="B100" s="614"/>
      <c r="C100" s="345"/>
      <c r="D100" s="56"/>
      <c r="E100" s="56"/>
      <c r="F100" s="56"/>
      <c r="G100" s="56"/>
    </row>
    <row r="101" spans="1:15" s="1" customFormat="1" ht="48" customHeight="1">
      <c r="A101" s="1580" t="s">
        <v>7</v>
      </c>
      <c r="B101" s="1591" t="s">
        <v>664</v>
      </c>
      <c r="C101" s="1594" t="s">
        <v>9</v>
      </c>
      <c r="D101" s="1594" t="s">
        <v>10</v>
      </c>
      <c r="E101" s="1574" t="s">
        <v>665</v>
      </c>
      <c r="F101" s="1574" t="s">
        <v>12</v>
      </c>
      <c r="G101" s="1594" t="s">
        <v>13</v>
      </c>
      <c r="H101" s="1574" t="s">
        <v>282</v>
      </c>
      <c r="I101" s="1574" t="s">
        <v>14</v>
      </c>
      <c r="J101" s="1574" t="s">
        <v>60</v>
      </c>
      <c r="K101" s="1697" t="s">
        <v>666</v>
      </c>
      <c r="L101" s="1634" t="s">
        <v>667</v>
      </c>
      <c r="M101" s="1634"/>
      <c r="N101" s="1634"/>
      <c r="O101" s="1641"/>
    </row>
    <row r="102" spans="1:15" s="1" customFormat="1" ht="48" customHeight="1">
      <c r="A102" s="1581"/>
      <c r="B102" s="1592"/>
      <c r="C102" s="1595"/>
      <c r="D102" s="1595"/>
      <c r="E102" s="1575"/>
      <c r="F102" s="1575"/>
      <c r="G102" s="1595"/>
      <c r="H102" s="1575"/>
      <c r="I102" s="1575"/>
      <c r="J102" s="1575"/>
      <c r="K102" s="1698"/>
      <c r="L102" s="1568" t="s">
        <v>668</v>
      </c>
      <c r="M102" s="1568"/>
      <c r="N102" s="1568"/>
      <c r="O102" s="1598"/>
    </row>
    <row r="103" spans="1:15" s="1" customFormat="1" ht="27" customHeight="1" thickBot="1">
      <c r="A103" s="1582"/>
      <c r="B103" s="1593"/>
      <c r="C103" s="1596"/>
      <c r="D103" s="1596"/>
      <c r="E103" s="1576"/>
      <c r="F103" s="1576"/>
      <c r="G103" s="1596"/>
      <c r="H103" s="1576"/>
      <c r="I103" s="1576"/>
      <c r="J103" s="1576"/>
      <c r="K103" s="1699"/>
      <c r="L103" s="1215" t="s">
        <v>669</v>
      </c>
      <c r="M103" s="1215" t="s">
        <v>670</v>
      </c>
      <c r="N103" s="1215" t="s">
        <v>671</v>
      </c>
      <c r="O103" s="1216" t="s">
        <v>17</v>
      </c>
    </row>
    <row r="104" spans="1:15" s="643" customFormat="1" ht="66" customHeight="1">
      <c r="A104" s="621" t="s">
        <v>27</v>
      </c>
      <c r="B104" s="536"/>
      <c r="C104" s="536" t="s">
        <v>1174</v>
      </c>
      <c r="D104" s="536"/>
      <c r="E104" s="536">
        <v>43</v>
      </c>
      <c r="F104" s="536" t="s">
        <v>693</v>
      </c>
      <c r="G104" s="536" t="s">
        <v>692</v>
      </c>
      <c r="H104" s="536">
        <v>329200</v>
      </c>
      <c r="I104" s="734" t="s">
        <v>1308</v>
      </c>
      <c r="J104" s="1329" t="s">
        <v>29</v>
      </c>
      <c r="K104" s="711">
        <v>14</v>
      </c>
      <c r="L104" s="537">
        <f>15964.61-14175.34</f>
        <v>1789.2700000000004</v>
      </c>
      <c r="M104" s="538"/>
      <c r="N104" s="538"/>
      <c r="O104" s="537">
        <f>L104</f>
        <v>1789.2700000000004</v>
      </c>
    </row>
    <row r="105" spans="1:15" s="643" customFormat="1" ht="66" customHeight="1" thickBot="1">
      <c r="A105" s="593" t="s">
        <v>27</v>
      </c>
      <c r="B105" s="648"/>
      <c r="C105" s="648" t="s">
        <v>692</v>
      </c>
      <c r="D105" s="648" t="s">
        <v>1309</v>
      </c>
      <c r="E105" s="639"/>
      <c r="F105" s="639" t="s">
        <v>693</v>
      </c>
      <c r="G105" s="639" t="s">
        <v>692</v>
      </c>
      <c r="H105" s="639">
        <v>908430</v>
      </c>
      <c r="I105" s="719" t="s">
        <v>1310</v>
      </c>
      <c r="J105" s="783" t="s">
        <v>22</v>
      </c>
      <c r="K105" s="640">
        <v>85</v>
      </c>
      <c r="L105" s="641">
        <f>(1411.25-773.18)*30</f>
        <v>19142.100000000002</v>
      </c>
      <c r="M105" s="642"/>
      <c r="N105" s="642"/>
      <c r="O105" s="641">
        <f>L105</f>
        <v>19142.100000000002</v>
      </c>
    </row>
    <row r="106" spans="2:15" ht="15">
      <c r="B106" s="721" t="s">
        <v>23</v>
      </c>
      <c r="C106" s="125" t="s">
        <v>1177</v>
      </c>
      <c r="D106" s="12"/>
      <c r="E106" s="267"/>
      <c r="F106" s="267"/>
      <c r="G106" s="267"/>
      <c r="H106" s="1294" t="s">
        <v>1719</v>
      </c>
      <c r="I106" s="12" t="s">
        <v>712</v>
      </c>
      <c r="N106" s="275" t="s">
        <v>24</v>
      </c>
      <c r="O106" s="585">
        <f>SUM(O104:O105)</f>
        <v>20931.370000000003</v>
      </c>
    </row>
    <row r="107" spans="2:9" s="1" customFormat="1" ht="15">
      <c r="B107" s="571"/>
      <c r="C107" s="45" t="s">
        <v>713</v>
      </c>
      <c r="D107" s="15"/>
      <c r="E107" s="267"/>
      <c r="F107" s="267"/>
      <c r="G107" s="267"/>
      <c r="H107" s="13"/>
      <c r="I107" s="15" t="s">
        <v>713</v>
      </c>
    </row>
    <row r="108" spans="1:21" s="27" customFormat="1" ht="15.75" thickBot="1">
      <c r="A108" s="461"/>
      <c r="B108" s="571"/>
      <c r="C108" s="45" t="s">
        <v>696</v>
      </c>
      <c r="D108" s="15"/>
      <c r="E108" s="1321"/>
      <c r="F108" s="1321"/>
      <c r="G108" s="1321"/>
      <c r="H108" s="1316"/>
      <c r="I108" s="18" t="s">
        <v>696</v>
      </c>
      <c r="J108" s="461"/>
      <c r="K108" s="636"/>
      <c r="L108" s="465"/>
      <c r="M108" s="465"/>
      <c r="N108" s="465"/>
      <c r="O108" s="465"/>
      <c r="P108" s="465"/>
      <c r="Q108" s="465"/>
      <c r="R108" s="465"/>
      <c r="S108" s="465"/>
      <c r="T108" s="461"/>
      <c r="U108" s="461"/>
    </row>
    <row r="109" spans="1:21" s="27" customFormat="1" ht="15">
      <c r="A109" s="461"/>
      <c r="B109" s="571" t="s">
        <v>169</v>
      </c>
      <c r="C109" s="45" t="s">
        <v>1803</v>
      </c>
      <c r="D109" s="15"/>
      <c r="E109" s="1321"/>
      <c r="F109" s="1321"/>
      <c r="G109" s="1321"/>
      <c r="H109" s="1321"/>
      <c r="I109" s="1321"/>
      <c r="J109" s="461"/>
      <c r="K109" s="636"/>
      <c r="L109" s="465"/>
      <c r="M109" s="465"/>
      <c r="N109" s="465"/>
      <c r="O109" s="465"/>
      <c r="P109" s="465"/>
      <c r="Q109" s="465"/>
      <c r="R109" s="465"/>
      <c r="S109" s="465"/>
      <c r="T109" s="461"/>
      <c r="U109" s="461"/>
    </row>
    <row r="110" spans="1:21" s="27" customFormat="1" ht="15.75" thickBot="1">
      <c r="A110" s="461"/>
      <c r="B110" s="1317" t="s">
        <v>1112</v>
      </c>
      <c r="C110" s="1328" t="s">
        <v>1575</v>
      </c>
      <c r="D110" s="1327"/>
      <c r="E110" s="1321"/>
      <c r="F110" s="1321"/>
      <c r="G110" s="1321"/>
      <c r="H110" s="1321"/>
      <c r="I110" s="1321"/>
      <c r="J110" s="461"/>
      <c r="K110" s="636"/>
      <c r="L110" s="465"/>
      <c r="M110" s="465"/>
      <c r="N110" s="465"/>
      <c r="O110" s="465"/>
      <c r="P110" s="465"/>
      <c r="Q110" s="465"/>
      <c r="R110" s="465"/>
      <c r="S110" s="465"/>
      <c r="T110" s="461"/>
      <c r="U110" s="461"/>
    </row>
    <row r="111" spans="1:21" s="643" customFormat="1" ht="18.75" thickBot="1">
      <c r="A111" s="647"/>
      <c r="B111" s="56"/>
      <c r="C111" s="451"/>
      <c r="D111" s="56"/>
      <c r="E111" s="644"/>
      <c r="F111" s="644"/>
      <c r="G111" s="644"/>
      <c r="H111" s="644"/>
      <c r="I111" s="644"/>
      <c r="J111" s="644"/>
      <c r="K111" s="645"/>
      <c r="L111" s="646"/>
      <c r="M111" s="646"/>
      <c r="N111" s="646"/>
      <c r="O111" s="646"/>
      <c r="P111" s="646"/>
      <c r="Q111" s="646"/>
      <c r="R111" s="646"/>
      <c r="S111" s="646"/>
      <c r="T111" s="644"/>
      <c r="U111" s="644"/>
    </row>
    <row r="112" spans="1:15" s="643" customFormat="1" ht="42.75" customHeight="1">
      <c r="A112" s="1580" t="s">
        <v>7</v>
      </c>
      <c r="B112" s="1591" t="s">
        <v>664</v>
      </c>
      <c r="C112" s="1594" t="s">
        <v>9</v>
      </c>
      <c r="D112" s="1594" t="s">
        <v>10</v>
      </c>
      <c r="E112" s="1574" t="s">
        <v>665</v>
      </c>
      <c r="F112" s="1574" t="s">
        <v>12</v>
      </c>
      <c r="G112" s="1594" t="s">
        <v>13</v>
      </c>
      <c r="H112" s="1574" t="s">
        <v>282</v>
      </c>
      <c r="I112" s="1574" t="s">
        <v>14</v>
      </c>
      <c r="J112" s="1574" t="s">
        <v>60</v>
      </c>
      <c r="K112" s="1697" t="s">
        <v>666</v>
      </c>
      <c r="L112" s="1634" t="s">
        <v>667</v>
      </c>
      <c r="M112" s="1634"/>
      <c r="N112" s="1634"/>
      <c r="O112" s="1641"/>
    </row>
    <row r="113" spans="1:15" s="643" customFormat="1" ht="42.75" customHeight="1">
      <c r="A113" s="1581"/>
      <c r="B113" s="1592"/>
      <c r="C113" s="1595"/>
      <c r="D113" s="1595"/>
      <c r="E113" s="1575"/>
      <c r="F113" s="1575"/>
      <c r="G113" s="1595"/>
      <c r="H113" s="1575"/>
      <c r="I113" s="1575"/>
      <c r="J113" s="1575"/>
      <c r="K113" s="1698"/>
      <c r="L113" s="1568" t="s">
        <v>668</v>
      </c>
      <c r="M113" s="1568"/>
      <c r="N113" s="1568"/>
      <c r="O113" s="1598"/>
    </row>
    <row r="114" spans="1:15" s="643" customFormat="1" ht="18.75" customHeight="1" thickBot="1">
      <c r="A114" s="1582"/>
      <c r="B114" s="1593"/>
      <c r="C114" s="1596"/>
      <c r="D114" s="1596"/>
      <c r="E114" s="1576"/>
      <c r="F114" s="1576"/>
      <c r="G114" s="1596"/>
      <c r="H114" s="1576"/>
      <c r="I114" s="1576"/>
      <c r="J114" s="1576"/>
      <c r="K114" s="1699"/>
      <c r="L114" s="1086" t="s">
        <v>669</v>
      </c>
      <c r="M114" s="1086" t="s">
        <v>670</v>
      </c>
      <c r="N114" s="1086" t="s">
        <v>671</v>
      </c>
      <c r="O114" s="1087" t="s">
        <v>17</v>
      </c>
    </row>
    <row r="115" spans="1:16" s="643" customFormat="1" ht="18">
      <c r="A115" s="621" t="s">
        <v>27</v>
      </c>
      <c r="B115" s="536" t="s">
        <v>1178</v>
      </c>
      <c r="C115" s="536" t="s">
        <v>692</v>
      </c>
      <c r="D115" s="536" t="s">
        <v>755</v>
      </c>
      <c r="E115" s="710">
        <v>2</v>
      </c>
      <c r="F115" s="536" t="s">
        <v>693</v>
      </c>
      <c r="G115" s="536" t="s">
        <v>692</v>
      </c>
      <c r="H115" s="710">
        <v>8342581</v>
      </c>
      <c r="I115" s="729" t="s">
        <v>1318</v>
      </c>
      <c r="J115" s="1093" t="s">
        <v>747</v>
      </c>
      <c r="K115" s="711">
        <v>6</v>
      </c>
      <c r="L115" s="537">
        <f>126205-109640</f>
        <v>16565</v>
      </c>
      <c r="M115" s="538"/>
      <c r="N115" s="538"/>
      <c r="O115" s="537">
        <f aca="true" t="shared" si="2" ref="O115:O121">L115</f>
        <v>16565</v>
      </c>
      <c r="P115" s="1"/>
    </row>
    <row r="116" spans="1:16" s="27" customFormat="1" ht="18">
      <c r="A116" s="593" t="s">
        <v>27</v>
      </c>
      <c r="B116" s="639" t="s">
        <v>1178</v>
      </c>
      <c r="C116" s="639" t="s">
        <v>692</v>
      </c>
      <c r="D116" s="639" t="s">
        <v>1038</v>
      </c>
      <c r="E116" s="221">
        <v>8</v>
      </c>
      <c r="F116" s="639" t="s">
        <v>693</v>
      </c>
      <c r="G116" s="639" t="s">
        <v>692</v>
      </c>
      <c r="H116" s="221">
        <v>70917103</v>
      </c>
      <c r="I116" s="730" t="s">
        <v>1311</v>
      </c>
      <c r="J116" s="1094" t="s">
        <v>747</v>
      </c>
      <c r="K116" s="640">
        <v>7</v>
      </c>
      <c r="L116" s="641">
        <f>45017-37555</f>
        <v>7462</v>
      </c>
      <c r="M116" s="632"/>
      <c r="N116" s="632"/>
      <c r="O116" s="641">
        <f t="shared" si="2"/>
        <v>7462</v>
      </c>
      <c r="P116" s="1"/>
    </row>
    <row r="117" spans="1:16" s="27" customFormat="1" ht="18">
      <c r="A117" s="593" t="s">
        <v>27</v>
      </c>
      <c r="B117" s="639" t="s">
        <v>1179</v>
      </c>
      <c r="C117" s="639" t="s">
        <v>692</v>
      </c>
      <c r="D117" s="639" t="s">
        <v>1038</v>
      </c>
      <c r="E117" s="221">
        <v>15</v>
      </c>
      <c r="F117" s="639" t="s">
        <v>693</v>
      </c>
      <c r="G117" s="639" t="s">
        <v>692</v>
      </c>
      <c r="H117" s="221">
        <v>11559521</v>
      </c>
      <c r="I117" s="730" t="s">
        <v>1312</v>
      </c>
      <c r="J117" s="1094" t="s">
        <v>747</v>
      </c>
      <c r="K117" s="640">
        <v>7</v>
      </c>
      <c r="L117" s="641">
        <f>1538-694</f>
        <v>844</v>
      </c>
      <c r="M117" s="632"/>
      <c r="N117" s="632"/>
      <c r="O117" s="641">
        <f t="shared" si="2"/>
        <v>844</v>
      </c>
      <c r="P117" s="1"/>
    </row>
    <row r="118" spans="1:16" s="27" customFormat="1" ht="28.5">
      <c r="A118" s="593" t="s">
        <v>27</v>
      </c>
      <c r="B118" s="639" t="s">
        <v>1180</v>
      </c>
      <c r="C118" s="639" t="s">
        <v>692</v>
      </c>
      <c r="D118" s="639" t="s">
        <v>700</v>
      </c>
      <c r="E118" s="221">
        <v>4</v>
      </c>
      <c r="F118" s="639" t="s">
        <v>693</v>
      </c>
      <c r="G118" s="639" t="s">
        <v>692</v>
      </c>
      <c r="H118" s="221">
        <v>35242</v>
      </c>
      <c r="I118" s="730" t="s">
        <v>1313</v>
      </c>
      <c r="J118" s="1094" t="s">
        <v>747</v>
      </c>
      <c r="K118" s="640">
        <v>3</v>
      </c>
      <c r="L118" s="641">
        <f>1966-1816</f>
        <v>150</v>
      </c>
      <c r="M118" s="632"/>
      <c r="N118" s="632"/>
      <c r="O118" s="641">
        <f t="shared" si="2"/>
        <v>150</v>
      </c>
      <c r="P118" s="1"/>
    </row>
    <row r="119" spans="1:16" s="27" customFormat="1" ht="28.5">
      <c r="A119" s="593" t="s">
        <v>27</v>
      </c>
      <c r="B119" s="639" t="s">
        <v>1180</v>
      </c>
      <c r="C119" s="639" t="s">
        <v>692</v>
      </c>
      <c r="D119" s="639" t="s">
        <v>55</v>
      </c>
      <c r="E119" s="221">
        <v>11</v>
      </c>
      <c r="F119" s="639" t="s">
        <v>693</v>
      </c>
      <c r="G119" s="639" t="s">
        <v>692</v>
      </c>
      <c r="H119" s="221">
        <v>22298879</v>
      </c>
      <c r="I119" s="730" t="s">
        <v>1314</v>
      </c>
      <c r="J119" s="1094" t="s">
        <v>747</v>
      </c>
      <c r="K119" s="640">
        <v>3</v>
      </c>
      <c r="L119" s="641">
        <f>2425-2148</f>
        <v>277</v>
      </c>
      <c r="M119" s="632"/>
      <c r="N119" s="632"/>
      <c r="O119" s="641">
        <f t="shared" si="2"/>
        <v>277</v>
      </c>
      <c r="P119" s="1"/>
    </row>
    <row r="120" spans="1:16" s="27" customFormat="1" ht="42.75">
      <c r="A120" s="593" t="s">
        <v>27</v>
      </c>
      <c r="B120" s="639" t="s">
        <v>725</v>
      </c>
      <c r="C120" s="639" t="s">
        <v>692</v>
      </c>
      <c r="D120" s="639" t="s">
        <v>215</v>
      </c>
      <c r="E120" s="221">
        <v>8</v>
      </c>
      <c r="F120" s="639" t="s">
        <v>693</v>
      </c>
      <c r="G120" s="639" t="s">
        <v>692</v>
      </c>
      <c r="H120" s="221">
        <v>11787984</v>
      </c>
      <c r="I120" s="730" t="s">
        <v>1315</v>
      </c>
      <c r="J120" s="1094" t="s">
        <v>747</v>
      </c>
      <c r="K120" s="640">
        <v>3</v>
      </c>
      <c r="L120" s="641">
        <f>940-852</f>
        <v>88</v>
      </c>
      <c r="M120" s="632"/>
      <c r="N120" s="632"/>
      <c r="O120" s="641">
        <f t="shared" si="2"/>
        <v>88</v>
      </c>
      <c r="P120" s="1"/>
    </row>
    <row r="121" spans="1:16" s="27" customFormat="1" ht="43.5" thickBot="1">
      <c r="A121" s="593" t="s">
        <v>27</v>
      </c>
      <c r="B121" s="648" t="s">
        <v>725</v>
      </c>
      <c r="C121" s="648" t="s">
        <v>692</v>
      </c>
      <c r="D121" s="648" t="s">
        <v>1037</v>
      </c>
      <c r="E121" s="221">
        <v>20</v>
      </c>
      <c r="F121" s="639" t="s">
        <v>693</v>
      </c>
      <c r="G121" s="639" t="s">
        <v>692</v>
      </c>
      <c r="H121" s="651">
        <v>27972924</v>
      </c>
      <c r="I121" s="1319" t="s">
        <v>1317</v>
      </c>
      <c r="J121" s="1320" t="s">
        <v>29</v>
      </c>
      <c r="K121" s="640">
        <v>2</v>
      </c>
      <c r="L121" s="641">
        <f>16047-15434</f>
        <v>613</v>
      </c>
      <c r="M121" s="632"/>
      <c r="N121" s="632"/>
      <c r="O121" s="641">
        <f t="shared" si="2"/>
        <v>613</v>
      </c>
      <c r="P121" s="1"/>
    </row>
    <row r="122" spans="1:21" s="27" customFormat="1" ht="18">
      <c r="A122" s="638"/>
      <c r="B122" s="721" t="s">
        <v>23</v>
      </c>
      <c r="C122" s="125" t="s">
        <v>1177</v>
      </c>
      <c r="D122" s="12"/>
      <c r="E122" s="1321"/>
      <c r="F122" s="1321"/>
      <c r="G122" s="1321"/>
      <c r="H122" s="1294" t="s">
        <v>1719</v>
      </c>
      <c r="I122" s="1322" t="s">
        <v>725</v>
      </c>
      <c r="J122" s="1323"/>
      <c r="K122" s="636"/>
      <c r="L122" s="465"/>
      <c r="M122" s="465"/>
      <c r="N122" s="275" t="s">
        <v>24</v>
      </c>
      <c r="O122" s="585">
        <f>SUM(O115:O121)</f>
        <v>25999</v>
      </c>
      <c r="P122" s="465"/>
      <c r="Q122" s="465"/>
      <c r="R122" s="465"/>
      <c r="T122" s="461"/>
      <c r="U122" s="461"/>
    </row>
    <row r="123" spans="1:21" s="27" customFormat="1" ht="18">
      <c r="A123" s="638"/>
      <c r="B123" s="571"/>
      <c r="C123" s="45" t="s">
        <v>713</v>
      </c>
      <c r="D123" s="15"/>
      <c r="E123" s="1321"/>
      <c r="F123" s="1321"/>
      <c r="G123" s="1321"/>
      <c r="H123" s="1324"/>
      <c r="I123" s="1325" t="s">
        <v>1181</v>
      </c>
      <c r="J123" s="1326"/>
      <c r="K123" s="636"/>
      <c r="L123" s="465"/>
      <c r="M123" s="465"/>
      <c r="N123" s="465"/>
      <c r="O123" s="465"/>
      <c r="P123" s="465"/>
      <c r="Q123" s="465"/>
      <c r="R123" s="465"/>
      <c r="S123" s="465"/>
      <c r="T123" s="461"/>
      <c r="U123" s="461"/>
    </row>
    <row r="124" spans="1:21" s="27" customFormat="1" ht="18.75" thickBot="1">
      <c r="A124" s="638"/>
      <c r="B124" s="571"/>
      <c r="C124" s="45" t="s">
        <v>696</v>
      </c>
      <c r="D124" s="15"/>
      <c r="E124" s="1321"/>
      <c r="F124" s="1321"/>
      <c r="G124" s="1321"/>
      <c r="H124" s="1316"/>
      <c r="I124" s="726" t="s">
        <v>696</v>
      </c>
      <c r="J124" s="1327"/>
      <c r="K124" s="636"/>
      <c r="L124" s="465"/>
      <c r="M124" s="465"/>
      <c r="N124" s="465"/>
      <c r="O124" s="465"/>
      <c r="P124" s="465"/>
      <c r="Q124" s="465"/>
      <c r="R124" s="465"/>
      <c r="S124" s="465"/>
      <c r="T124" s="461"/>
      <c r="U124" s="461"/>
    </row>
    <row r="125" spans="1:21" s="27" customFormat="1" ht="18">
      <c r="A125" s="638"/>
      <c r="B125" s="571" t="s">
        <v>169</v>
      </c>
      <c r="C125" s="45" t="s">
        <v>1803</v>
      </c>
      <c r="D125" s="15"/>
      <c r="E125" s="1321"/>
      <c r="F125" s="1321"/>
      <c r="G125" s="1321"/>
      <c r="H125" s="1321"/>
      <c r="I125" s="1321"/>
      <c r="J125" s="1321"/>
      <c r="K125" s="636"/>
      <c r="Q125" s="465"/>
      <c r="R125" s="465"/>
      <c r="S125" s="465"/>
      <c r="T125" s="461"/>
      <c r="U125" s="461"/>
    </row>
    <row r="126" spans="1:21" s="27" customFormat="1" ht="18.75" thickBot="1">
      <c r="A126" s="638"/>
      <c r="B126" s="1317" t="s">
        <v>1112</v>
      </c>
      <c r="C126" s="1328" t="s">
        <v>1575</v>
      </c>
      <c r="D126" s="1327"/>
      <c r="E126" s="1321"/>
      <c r="F126" s="1321"/>
      <c r="G126" s="1321"/>
      <c r="H126" s="1321"/>
      <c r="I126" s="1321"/>
      <c r="J126" s="1321"/>
      <c r="K126" s="636"/>
      <c r="Q126" s="465"/>
      <c r="R126" s="465"/>
      <c r="S126" s="465"/>
      <c r="T126" s="461"/>
      <c r="U126" s="461"/>
    </row>
    <row r="127" spans="1:21" s="27" customFormat="1" ht="18.75" thickBot="1">
      <c r="A127" s="638"/>
      <c r="B127" s="1318"/>
      <c r="C127" s="652"/>
      <c r="D127" s="461"/>
      <c r="E127" s="461"/>
      <c r="F127" s="461"/>
      <c r="G127" s="461"/>
      <c r="H127" s="461"/>
      <c r="I127" s="461"/>
      <c r="J127" s="461"/>
      <c r="K127" s="636"/>
      <c r="Q127" s="465"/>
      <c r="R127" s="465"/>
      <c r="S127" s="465"/>
      <c r="T127" s="461"/>
      <c r="U127" s="461"/>
    </row>
    <row r="128" spans="1:21" s="27" customFormat="1" ht="41.25" customHeight="1">
      <c r="A128" s="1580" t="s">
        <v>7</v>
      </c>
      <c r="B128" s="1574" t="s">
        <v>8</v>
      </c>
      <c r="C128" s="1574" t="s">
        <v>9</v>
      </c>
      <c r="D128" s="1574" t="s">
        <v>10</v>
      </c>
      <c r="E128" s="1574" t="s">
        <v>919</v>
      </c>
      <c r="F128" s="1574" t="s">
        <v>12</v>
      </c>
      <c r="G128" s="1574" t="s">
        <v>13</v>
      </c>
      <c r="H128" s="1574" t="s">
        <v>15</v>
      </c>
      <c r="I128" s="1574" t="s">
        <v>282</v>
      </c>
      <c r="J128" s="1574" t="s">
        <v>60</v>
      </c>
      <c r="K128" s="1634" t="s">
        <v>16</v>
      </c>
      <c r="L128" s="1570" t="s">
        <v>672</v>
      </c>
      <c r="M128" s="1570"/>
      <c r="N128" s="1570"/>
      <c r="O128" s="1570"/>
      <c r="P128" s="1570" t="s">
        <v>673</v>
      </c>
      <c r="Q128" s="1570"/>
      <c r="R128" s="1570"/>
      <c r="S128" s="1570"/>
      <c r="T128" s="1574" t="s">
        <v>1232</v>
      </c>
      <c r="U128" s="1645" t="s">
        <v>1184</v>
      </c>
    </row>
    <row r="129" spans="1:21" s="27" customFormat="1" ht="41.25" customHeight="1">
      <c r="A129" s="1581"/>
      <c r="B129" s="1575"/>
      <c r="C129" s="1575"/>
      <c r="D129" s="1575"/>
      <c r="E129" s="1575"/>
      <c r="F129" s="1575"/>
      <c r="G129" s="1575"/>
      <c r="H129" s="1575"/>
      <c r="I129" s="1575"/>
      <c r="J129" s="1575"/>
      <c r="K129" s="1635"/>
      <c r="L129" s="1568" t="s">
        <v>669</v>
      </c>
      <c r="M129" s="1568" t="s">
        <v>670</v>
      </c>
      <c r="N129" s="1568" t="s">
        <v>671</v>
      </c>
      <c r="O129" s="1568" t="s">
        <v>674</v>
      </c>
      <c r="P129" s="1568" t="s">
        <v>669</v>
      </c>
      <c r="Q129" s="1568" t="s">
        <v>670</v>
      </c>
      <c r="R129" s="1568" t="s">
        <v>671</v>
      </c>
      <c r="S129" s="1568" t="s">
        <v>674</v>
      </c>
      <c r="T129" s="1575"/>
      <c r="U129" s="1646"/>
    </row>
    <row r="130" spans="1:21" s="27" customFormat="1" ht="41.25" customHeight="1" thickBot="1">
      <c r="A130" s="1582"/>
      <c r="B130" s="1576"/>
      <c r="C130" s="1576"/>
      <c r="D130" s="1576"/>
      <c r="E130" s="1576"/>
      <c r="F130" s="1576"/>
      <c r="G130" s="1576"/>
      <c r="H130" s="1576"/>
      <c r="I130" s="1576"/>
      <c r="J130" s="1576"/>
      <c r="K130" s="1636"/>
      <c r="L130" s="1569"/>
      <c r="M130" s="1569"/>
      <c r="N130" s="1569"/>
      <c r="O130" s="1569"/>
      <c r="P130" s="1569"/>
      <c r="Q130" s="1569"/>
      <c r="R130" s="1569"/>
      <c r="S130" s="1569"/>
      <c r="T130" s="1576"/>
      <c r="U130" s="1647"/>
    </row>
    <row r="131" spans="1:21" s="27" customFormat="1" ht="47.25" customHeight="1">
      <c r="A131" s="621" t="s">
        <v>18</v>
      </c>
      <c r="B131" s="1091" t="s">
        <v>1576</v>
      </c>
      <c r="C131" s="552" t="s">
        <v>1577</v>
      </c>
      <c r="D131" s="273"/>
      <c r="E131" s="187" t="s">
        <v>1578</v>
      </c>
      <c r="F131" s="536" t="s">
        <v>693</v>
      </c>
      <c r="G131" s="536" t="s">
        <v>692</v>
      </c>
      <c r="H131" s="759">
        <v>53718149</v>
      </c>
      <c r="I131" s="187">
        <v>83246653</v>
      </c>
      <c r="J131" s="1093" t="s">
        <v>67</v>
      </c>
      <c r="K131" s="1090">
        <v>1</v>
      </c>
      <c r="L131" s="276"/>
      <c r="M131" s="448">
        <f>6*12</f>
        <v>72</v>
      </c>
      <c r="N131" s="448">
        <f>24*12</f>
        <v>288</v>
      </c>
      <c r="O131" s="448">
        <f>SUM(M131:N131)</f>
        <v>360</v>
      </c>
      <c r="P131" s="276"/>
      <c r="Q131" s="448">
        <f>6*12</f>
        <v>72</v>
      </c>
      <c r="R131" s="448">
        <f>24*12</f>
        <v>288</v>
      </c>
      <c r="S131" s="448">
        <f>SUM(Q131:R131)</f>
        <v>360</v>
      </c>
      <c r="T131" s="273" t="s">
        <v>1536</v>
      </c>
      <c r="U131" s="535" t="s">
        <v>1546</v>
      </c>
    </row>
    <row r="132" spans="1:21" s="27" customFormat="1" ht="47.25" customHeight="1" thickBot="1">
      <c r="A132" s="593" t="s">
        <v>18</v>
      </c>
      <c r="B132" s="1092" t="s">
        <v>1576</v>
      </c>
      <c r="C132" s="505" t="s">
        <v>692</v>
      </c>
      <c r="D132" s="3" t="s">
        <v>1038</v>
      </c>
      <c r="E132" s="4">
        <v>13</v>
      </c>
      <c r="F132" s="639" t="s">
        <v>693</v>
      </c>
      <c r="G132" s="639" t="s">
        <v>692</v>
      </c>
      <c r="H132" s="750">
        <v>54000069</v>
      </c>
      <c r="I132" s="4">
        <v>4137386</v>
      </c>
      <c r="J132" s="782" t="s">
        <v>29</v>
      </c>
      <c r="K132" s="880">
        <v>22</v>
      </c>
      <c r="L132" s="815">
        <f>953*10</f>
        <v>9530</v>
      </c>
      <c r="M132" s="35"/>
      <c r="N132" s="35"/>
      <c r="O132" s="36">
        <f>L132</f>
        <v>9530</v>
      </c>
      <c r="P132" s="815">
        <f>953*10</f>
        <v>9530</v>
      </c>
      <c r="Q132" s="35"/>
      <c r="R132" s="35"/>
      <c r="S132" s="36">
        <f>P132</f>
        <v>9530</v>
      </c>
      <c r="T132" s="273" t="s">
        <v>1718</v>
      </c>
      <c r="U132" s="637"/>
    </row>
    <row r="133" spans="1:21" s="27" customFormat="1" ht="17.25" customHeight="1">
      <c r="A133" s="595"/>
      <c r="B133" s="721" t="s">
        <v>23</v>
      </c>
      <c r="C133" s="633" t="s">
        <v>1177</v>
      </c>
      <c r="D133" s="28"/>
      <c r="E133" s="1"/>
      <c r="F133" s="1"/>
      <c r="G133" s="1"/>
      <c r="H133" s="1294" t="s">
        <v>1719</v>
      </c>
      <c r="I133" s="12" t="s">
        <v>712</v>
      </c>
      <c r="J133" s="1"/>
      <c r="K133" s="1"/>
      <c r="L133" s="1"/>
      <c r="M133" s="1070"/>
      <c r="N133" s="356"/>
      <c r="O133" s="1"/>
      <c r="P133" s="1"/>
      <c r="Q133" s="1"/>
      <c r="R133" s="275" t="s">
        <v>24</v>
      </c>
      <c r="S133" s="585">
        <f>SUM(S131:S132)</f>
        <v>9890</v>
      </c>
      <c r="T133" s="1"/>
      <c r="U133" s="1"/>
    </row>
    <row r="134" spans="1:21" s="27" customFormat="1" ht="15">
      <c r="A134" s="595"/>
      <c r="B134" s="571"/>
      <c r="C134" s="59" t="s">
        <v>713</v>
      </c>
      <c r="D134" s="29"/>
      <c r="E134" s="1"/>
      <c r="F134" s="1"/>
      <c r="G134" s="1"/>
      <c r="H134" s="54"/>
      <c r="I134" s="15" t="s">
        <v>713</v>
      </c>
      <c r="J134" s="1"/>
      <c r="K134" s="1"/>
      <c r="L134" s="1"/>
      <c r="M134" s="1070"/>
      <c r="N134" s="356"/>
      <c r="O134" s="1"/>
      <c r="P134" s="1"/>
      <c r="Q134" s="1"/>
      <c r="R134" s="1"/>
      <c r="S134" s="1"/>
      <c r="T134" s="1"/>
      <c r="U134" s="1"/>
    </row>
    <row r="135" spans="1:21" s="27" customFormat="1" ht="15.75" thickBot="1">
      <c r="A135" s="595"/>
      <c r="B135" s="571"/>
      <c r="C135" s="59" t="s">
        <v>696</v>
      </c>
      <c r="D135" s="29"/>
      <c r="E135" s="1"/>
      <c r="F135" s="1"/>
      <c r="G135" s="1"/>
      <c r="H135" s="86"/>
      <c r="I135" s="18" t="s">
        <v>696</v>
      </c>
      <c r="J135" s="1"/>
      <c r="K135" s="1"/>
      <c r="L135" s="1"/>
      <c r="M135" s="1070"/>
      <c r="N135" s="356"/>
      <c r="O135" s="1"/>
      <c r="P135" s="1"/>
      <c r="Q135" s="1"/>
      <c r="R135" s="1"/>
      <c r="S135" s="1"/>
      <c r="T135" s="1"/>
      <c r="U135" s="1"/>
    </row>
    <row r="136" spans="1:21" s="27" customFormat="1" ht="15.75" thickBot="1">
      <c r="A136" s="595"/>
      <c r="B136" s="447" t="s">
        <v>169</v>
      </c>
      <c r="C136" s="634" t="s">
        <v>1803</v>
      </c>
      <c r="D136" s="30"/>
      <c r="E136" s="1"/>
      <c r="F136" s="1"/>
      <c r="G136" s="1"/>
      <c r="H136" s="2"/>
      <c r="I136" s="1"/>
      <c r="J136" s="1"/>
      <c r="K136" s="1"/>
      <c r="L136" s="1"/>
      <c r="M136" s="1070"/>
      <c r="N136" s="356"/>
      <c r="O136" s="1"/>
      <c r="P136" s="1"/>
      <c r="Q136" s="1"/>
      <c r="R136" s="1"/>
      <c r="S136" s="1"/>
      <c r="T136" s="1"/>
      <c r="U136" s="1"/>
    </row>
    <row r="137" spans="1:21" s="27" customFormat="1" ht="18">
      <c r="A137" s="638"/>
      <c r="B137" s="461"/>
      <c r="C137" s="59"/>
      <c r="D137" s="461"/>
      <c r="E137" s="461"/>
      <c r="F137" s="461"/>
      <c r="G137" s="461"/>
      <c r="H137" s="461"/>
      <c r="I137" s="461"/>
      <c r="J137" s="461"/>
      <c r="K137" s="636"/>
      <c r="Q137" s="465"/>
      <c r="R137" s="465"/>
      <c r="S137" s="465"/>
      <c r="T137" s="461"/>
      <c r="U137" s="461"/>
    </row>
    <row r="138" spans="2:15" s="1" customFormat="1" ht="21" customHeight="1">
      <c r="B138" s="614"/>
      <c r="C138" s="56"/>
      <c r="D138" s="56"/>
      <c r="E138" s="56"/>
      <c r="F138" s="56"/>
      <c r="G138" s="56"/>
      <c r="K138" s="465"/>
      <c r="L138" s="465" t="s">
        <v>63</v>
      </c>
      <c r="M138" s="646">
        <f>O19+O42+O52+O65+O75+O95+O106+O122+S133</f>
        <v>519060.9700000001</v>
      </c>
      <c r="N138" s="465"/>
      <c r="O138" s="465"/>
    </row>
    <row r="139" spans="2:15" ht="15" thickBot="1">
      <c r="B139" s="56"/>
      <c r="C139" s="345"/>
      <c r="D139" s="56"/>
      <c r="E139" s="56"/>
      <c r="K139" s="1"/>
      <c r="L139" s="1"/>
      <c r="M139" s="1"/>
      <c r="N139" s="1"/>
      <c r="O139" s="1"/>
    </row>
    <row r="140" spans="11:15" ht="52.5" customHeight="1">
      <c r="K140" s="1621" t="s">
        <v>60</v>
      </c>
      <c r="L140" s="1623" t="s">
        <v>675</v>
      </c>
      <c r="M140" s="1624"/>
      <c r="N140" s="1625"/>
      <c r="O140" s="1694" t="s">
        <v>61</v>
      </c>
    </row>
    <row r="141" spans="11:15" s="1" customFormat="1" ht="27" customHeight="1" thickBot="1">
      <c r="K141" s="1622"/>
      <c r="L141" s="282" t="s">
        <v>62</v>
      </c>
      <c r="M141" s="282" t="s">
        <v>670</v>
      </c>
      <c r="N141" s="282" t="s">
        <v>671</v>
      </c>
      <c r="O141" s="1695"/>
    </row>
    <row r="142" spans="11:15" ht="27" customHeight="1">
      <c r="K142" s="418" t="s">
        <v>747</v>
      </c>
      <c r="L142" s="1105">
        <f>O41+O115+O116+O117+O118+O119+O120</f>
        <v>26922</v>
      </c>
      <c r="M142" s="712"/>
      <c r="N142" s="712"/>
      <c r="O142" s="388">
        <v>7</v>
      </c>
    </row>
    <row r="143" spans="11:15" ht="27" customHeight="1">
      <c r="K143" s="1020" t="s">
        <v>29</v>
      </c>
      <c r="L143" s="1106">
        <f>O18+O28+O29+O30+O31+O32+O34+O35+O36+O37+O38+O39+O40+O62+O63+O64+O74+O85+O86+O87+O88+O89+O90+O94+O104+O121+S132</f>
        <v>260690.27</v>
      </c>
      <c r="M143" s="332"/>
      <c r="N143" s="332"/>
      <c r="O143" s="213">
        <v>27</v>
      </c>
    </row>
    <row r="144" spans="11:15" ht="27" customHeight="1">
      <c r="K144" s="1020" t="s">
        <v>22</v>
      </c>
      <c r="L144" s="1106">
        <f>O92+O93+O105</f>
        <v>217994.70000000007</v>
      </c>
      <c r="M144" s="332"/>
      <c r="N144" s="332"/>
      <c r="O144" s="213">
        <v>3</v>
      </c>
    </row>
    <row r="145" spans="11:15" ht="27" customHeight="1" thickBot="1">
      <c r="K145" s="823" t="s">
        <v>67</v>
      </c>
      <c r="L145" s="1107"/>
      <c r="M145" s="118">
        <f>M33+M51+M91+Q131</f>
        <v>3754</v>
      </c>
      <c r="N145" s="118">
        <f>N33+N51+N91+R131</f>
        <v>9700</v>
      </c>
      <c r="O145" s="118">
        <v>4</v>
      </c>
    </row>
    <row r="146" spans="11:15" ht="27" customHeight="1" thickBot="1">
      <c r="K146" s="557" t="s">
        <v>63</v>
      </c>
      <c r="L146" s="293">
        <f>SUM(L142:L145)</f>
        <v>505606.9700000001</v>
      </c>
      <c r="M146" s="119">
        <f>SUM(M142:M145)</f>
        <v>3754</v>
      </c>
      <c r="N146" s="126">
        <f>SUM(N142:N145)</f>
        <v>9700</v>
      </c>
      <c r="O146" s="688">
        <f>SUM(O142:O145)</f>
        <v>41</v>
      </c>
    </row>
    <row r="147" spans="11:15" ht="27" customHeight="1" thickBot="1">
      <c r="K147" s="1"/>
      <c r="L147" s="127" t="s">
        <v>64</v>
      </c>
      <c r="M147" s="681">
        <f>SUM(L146:N146)</f>
        <v>519060.9700000001</v>
      </c>
      <c r="N147" s="33"/>
      <c r="O147" s="33"/>
    </row>
  </sheetData>
  <sheetProtection/>
  <mergeCells count="133">
    <mergeCell ref="S129:S130"/>
    <mergeCell ref="P128:S128"/>
    <mergeCell ref="T128:T130"/>
    <mergeCell ref="U128:U130"/>
    <mergeCell ref="L129:L130"/>
    <mergeCell ref="M129:M130"/>
    <mergeCell ref="N129:N130"/>
    <mergeCell ref="O129:O130"/>
    <mergeCell ref="P129:P130"/>
    <mergeCell ref="Q129:Q130"/>
    <mergeCell ref="R129:R130"/>
    <mergeCell ref="L140:N140"/>
    <mergeCell ref="K140:K141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J128:J130"/>
    <mergeCell ref="K128:K130"/>
    <mergeCell ref="L128:O128"/>
    <mergeCell ref="L113:O113"/>
    <mergeCell ref="G112:G114"/>
    <mergeCell ref="H112:H114"/>
    <mergeCell ref="I112:I114"/>
    <mergeCell ref="J112:J114"/>
    <mergeCell ref="K112:K114"/>
    <mergeCell ref="L112:O112"/>
    <mergeCell ref="A112:A114"/>
    <mergeCell ref="B112:B114"/>
    <mergeCell ref="C112:C114"/>
    <mergeCell ref="D112:D114"/>
    <mergeCell ref="E112:E114"/>
    <mergeCell ref="F112:F114"/>
    <mergeCell ref="G101:G103"/>
    <mergeCell ref="H101:H103"/>
    <mergeCell ref="I101:I103"/>
    <mergeCell ref="J101:J103"/>
    <mergeCell ref="K101:K103"/>
    <mergeCell ref="L101:O101"/>
    <mergeCell ref="L102:O102"/>
    <mergeCell ref="B3:K3"/>
    <mergeCell ref="A15:A17"/>
    <mergeCell ref="B15:B17"/>
    <mergeCell ref="C15:C17"/>
    <mergeCell ref="D15:D17"/>
    <mergeCell ref="E15:E17"/>
    <mergeCell ref="F15:F17"/>
    <mergeCell ref="B5:K5"/>
    <mergeCell ref="K15:K17"/>
    <mergeCell ref="G15:G17"/>
    <mergeCell ref="H71:H73"/>
    <mergeCell ref="H15:H17"/>
    <mergeCell ref="I15:I17"/>
    <mergeCell ref="J15:J17"/>
    <mergeCell ref="H48:H50"/>
    <mergeCell ref="I48:I50"/>
    <mergeCell ref="J48:J50"/>
    <mergeCell ref="H59:H61"/>
    <mergeCell ref="L15:O15"/>
    <mergeCell ref="O140:O141"/>
    <mergeCell ref="I59:I61"/>
    <mergeCell ref="J59:J61"/>
    <mergeCell ref="I71:I73"/>
    <mergeCell ref="J71:J73"/>
    <mergeCell ref="L16:O16"/>
    <mergeCell ref="L71:O71"/>
    <mergeCell ref="L72:O72"/>
    <mergeCell ref="I25:I27"/>
    <mergeCell ref="A25:A27"/>
    <mergeCell ref="B25:B27"/>
    <mergeCell ref="C25:C27"/>
    <mergeCell ref="D25:D27"/>
    <mergeCell ref="E25:E27"/>
    <mergeCell ref="F25:F27"/>
    <mergeCell ref="G25:G27"/>
    <mergeCell ref="H25:H27"/>
    <mergeCell ref="J25:J27"/>
    <mergeCell ref="K25:K27"/>
    <mergeCell ref="L25:O25"/>
    <mergeCell ref="L26:O26"/>
    <mergeCell ref="A48:A50"/>
    <mergeCell ref="B48:B50"/>
    <mergeCell ref="C48:C50"/>
    <mergeCell ref="D48:D50"/>
    <mergeCell ref="E48:E50"/>
    <mergeCell ref="F48:F50"/>
    <mergeCell ref="G48:G50"/>
    <mergeCell ref="K48:K50"/>
    <mergeCell ref="L48:O48"/>
    <mergeCell ref="L49:O49"/>
    <mergeCell ref="A101:A103"/>
    <mergeCell ref="B101:B103"/>
    <mergeCell ref="C101:C103"/>
    <mergeCell ref="D101:D103"/>
    <mergeCell ref="E101:E103"/>
    <mergeCell ref="F101:F103"/>
    <mergeCell ref="A59:A61"/>
    <mergeCell ref="B59:B61"/>
    <mergeCell ref="C59:C61"/>
    <mergeCell ref="D59:D61"/>
    <mergeCell ref="E59:E61"/>
    <mergeCell ref="F59:F61"/>
    <mergeCell ref="G59:G61"/>
    <mergeCell ref="K59:K61"/>
    <mergeCell ref="L59:O59"/>
    <mergeCell ref="L60:O60"/>
    <mergeCell ref="A71:A73"/>
    <mergeCell ref="B71:B73"/>
    <mergeCell ref="C71:C73"/>
    <mergeCell ref="D71:D73"/>
    <mergeCell ref="E71:E73"/>
    <mergeCell ref="K71:K73"/>
    <mergeCell ref="A82:A84"/>
    <mergeCell ref="B82:B84"/>
    <mergeCell ref="C82:C84"/>
    <mergeCell ref="D82:D84"/>
    <mergeCell ref="E82:E84"/>
    <mergeCell ref="F82:F84"/>
    <mergeCell ref="B1:I1"/>
    <mergeCell ref="L82:O82"/>
    <mergeCell ref="L83:O83"/>
    <mergeCell ref="G82:G84"/>
    <mergeCell ref="H82:H84"/>
    <mergeCell ref="I82:I84"/>
    <mergeCell ref="J82:J84"/>
    <mergeCell ref="K82:K84"/>
    <mergeCell ref="G71:G73"/>
    <mergeCell ref="F71:F73"/>
  </mergeCells>
  <printOptions/>
  <pageMargins left="0.7" right="0.7" top="0.75" bottom="0.75" header="0.3" footer="0.3"/>
  <pageSetup orientation="portrait" paperSize="9" r:id="rId1"/>
  <ignoredErrors>
    <ignoredError sqref="O33 O9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U98"/>
  <sheetViews>
    <sheetView zoomScale="78" zoomScaleNormal="78" zoomScalePageLayoutView="0" workbookViewId="0" topLeftCell="A35">
      <selection activeCell="B38" sqref="B38:H42"/>
    </sheetView>
  </sheetViews>
  <sheetFormatPr defaultColWidth="8.796875" defaultRowHeight="14.25"/>
  <cols>
    <col min="1" max="1" width="14.3984375" style="316" customWidth="1"/>
    <col min="2" max="2" width="17.09765625" style="316" customWidth="1"/>
    <col min="3" max="3" width="18.69921875" style="316" customWidth="1"/>
    <col min="4" max="4" width="15" style="316" customWidth="1"/>
    <col min="5" max="5" width="12.59765625" style="316" customWidth="1"/>
    <col min="6" max="6" width="9.09765625" style="316" customWidth="1"/>
    <col min="7" max="7" width="16.19921875" style="316" customWidth="1"/>
    <col min="8" max="8" width="25.19921875" style="316" customWidth="1"/>
    <col min="9" max="9" width="27.3984375" style="316" customWidth="1"/>
    <col min="10" max="10" width="16" style="316" customWidth="1"/>
    <col min="11" max="11" width="15.59765625" style="316" customWidth="1"/>
    <col min="12" max="12" width="14.8984375" style="316" customWidth="1"/>
    <col min="13" max="13" width="15.59765625" style="316" customWidth="1"/>
    <col min="14" max="14" width="15.69921875" style="316" customWidth="1"/>
    <col min="15" max="15" width="17.69921875" style="316" customWidth="1"/>
    <col min="16" max="16" width="16.5" style="316" customWidth="1"/>
    <col min="17" max="17" width="12.09765625" style="316" customWidth="1"/>
    <col min="18" max="18" width="14.8984375" style="316" customWidth="1"/>
    <col min="19" max="19" width="16.3984375" style="316" customWidth="1"/>
    <col min="20" max="20" width="22.09765625" style="316" customWidth="1"/>
    <col min="21" max="21" width="21.09765625" style="316" customWidth="1"/>
    <col min="22" max="16384" width="9" style="316" customWidth="1"/>
  </cols>
  <sheetData>
    <row r="1" spans="2:9" ht="18">
      <c r="B1" s="1609" t="s">
        <v>1231</v>
      </c>
      <c r="C1" s="1609"/>
      <c r="D1" s="1609"/>
      <c r="E1" s="1609"/>
      <c r="F1" s="1609"/>
      <c r="G1" s="1609"/>
      <c r="H1" s="1609"/>
      <c r="I1" s="1609"/>
    </row>
    <row r="3" spans="2:10" ht="29.25" customHeight="1">
      <c r="B3" s="1642" t="s">
        <v>762</v>
      </c>
      <c r="C3" s="1643"/>
      <c r="D3" s="1643"/>
      <c r="E3" s="1643"/>
      <c r="F3" s="1643"/>
      <c r="G3" s="1643"/>
      <c r="H3" s="1643"/>
      <c r="I3" s="1643"/>
      <c r="J3" s="1644"/>
    </row>
    <row r="4" spans="1:16" ht="15">
      <c r="A4" s="1"/>
      <c r="B4" s="884"/>
      <c r="C4" s="884"/>
      <c r="D4" s="884"/>
      <c r="E4" s="884"/>
      <c r="F4" s="884"/>
      <c r="G4" s="884"/>
      <c r="H4" s="884"/>
      <c r="I4" s="884"/>
      <c r="J4" s="884"/>
      <c r="L4" s="1"/>
      <c r="M4" s="1"/>
      <c r="N4" s="1"/>
      <c r="O4" s="1"/>
      <c r="P4" s="1"/>
    </row>
    <row r="5" spans="1:16" ht="22.5" customHeight="1">
      <c r="A5" s="1"/>
      <c r="B5" s="1675" t="s">
        <v>1103</v>
      </c>
      <c r="C5" s="1676"/>
      <c r="D5" s="1676"/>
      <c r="E5" s="1676"/>
      <c r="F5" s="1676"/>
      <c r="G5" s="1676"/>
      <c r="H5" s="1676"/>
      <c r="I5" s="1676"/>
      <c r="J5" s="1677"/>
      <c r="L5" s="1"/>
      <c r="M5" s="1"/>
      <c r="N5" s="1"/>
      <c r="O5" s="1"/>
      <c r="P5" s="1"/>
    </row>
    <row r="6" spans="1:16" ht="15">
      <c r="A6" s="1"/>
      <c r="B6" s="487"/>
      <c r="C6" s="487"/>
      <c r="D6" s="487"/>
      <c r="E6" s="487"/>
      <c r="F6" s="487"/>
      <c r="G6" s="487"/>
      <c r="H6" s="487"/>
      <c r="I6" s="490"/>
      <c r="J6" s="489"/>
      <c r="L6" s="1"/>
      <c r="M6" s="1"/>
      <c r="N6" s="1"/>
      <c r="O6" s="1"/>
      <c r="P6" s="1"/>
    </row>
    <row r="7" spans="1:16" ht="15.75">
      <c r="A7" s="1"/>
      <c r="B7" s="488" t="s">
        <v>1</v>
      </c>
      <c r="C7" s="487"/>
      <c r="D7" s="487"/>
      <c r="E7" s="487"/>
      <c r="F7" s="489"/>
      <c r="G7" s="487"/>
      <c r="H7" s="487"/>
      <c r="I7" s="490"/>
      <c r="J7" s="489"/>
      <c r="L7" s="1"/>
      <c r="M7" s="1"/>
      <c r="N7" s="1"/>
      <c r="O7" s="1"/>
      <c r="P7" s="1"/>
    </row>
    <row r="8" spans="1:16" ht="20.25">
      <c r="A8" s="1"/>
      <c r="B8" s="1389" t="s">
        <v>1833</v>
      </c>
      <c r="C8" s="487"/>
      <c r="D8" s="487"/>
      <c r="E8" s="487"/>
      <c r="F8" s="489"/>
      <c r="G8" s="487"/>
      <c r="H8" s="487"/>
      <c r="I8" s="490"/>
      <c r="J8" s="489"/>
      <c r="K8" s="278"/>
      <c r="L8" s="1"/>
      <c r="M8" s="1"/>
      <c r="N8" s="1"/>
      <c r="O8" s="1"/>
      <c r="P8" s="1"/>
    </row>
    <row r="9" spans="1:16" ht="15.75">
      <c r="A9" s="1"/>
      <c r="B9" s="491" t="s">
        <v>1396</v>
      </c>
      <c r="C9" s="489"/>
      <c r="D9" s="492"/>
      <c r="E9" s="487"/>
      <c r="F9" s="487"/>
      <c r="G9" s="489"/>
      <c r="H9" s="489"/>
      <c r="I9" s="490"/>
      <c r="J9" s="489"/>
      <c r="K9" s="1"/>
      <c r="L9" s="1"/>
      <c r="M9" s="1"/>
      <c r="N9" s="1"/>
      <c r="O9" s="1"/>
      <c r="P9" s="1"/>
    </row>
    <row r="10" spans="1:16" ht="15.75">
      <c r="A10" s="1"/>
      <c r="B10" s="491" t="s">
        <v>1096</v>
      </c>
      <c r="C10" s="489"/>
      <c r="D10" s="492"/>
      <c r="E10" s="487"/>
      <c r="F10" s="487"/>
      <c r="G10" s="489"/>
      <c r="H10" s="489"/>
      <c r="I10" s="490"/>
      <c r="J10" s="489"/>
      <c r="K10" s="1"/>
      <c r="L10" s="1"/>
      <c r="M10" s="1"/>
      <c r="N10" s="1"/>
      <c r="O10" s="1"/>
      <c r="P10" s="1"/>
    </row>
    <row r="11" spans="1:16" ht="15">
      <c r="A11" s="1"/>
      <c r="B11" s="489" t="s">
        <v>727</v>
      </c>
      <c r="C11" s="489"/>
      <c r="D11" s="489"/>
      <c r="E11" s="489"/>
      <c r="F11" s="489"/>
      <c r="G11" s="489"/>
      <c r="H11" s="489"/>
      <c r="I11" s="490"/>
      <c r="J11" s="489"/>
      <c r="K11" s="1"/>
      <c r="L11" s="1"/>
      <c r="M11" s="1"/>
      <c r="N11" s="1"/>
      <c r="O11" s="1"/>
      <c r="P11" s="1"/>
    </row>
    <row r="12" spans="1:16" ht="18">
      <c r="A12" s="1"/>
      <c r="B12" s="493" t="s">
        <v>3</v>
      </c>
      <c r="C12" s="494" t="s">
        <v>4</v>
      </c>
      <c r="D12" s="492"/>
      <c r="E12" s="495"/>
      <c r="F12" s="489"/>
      <c r="G12" s="489"/>
      <c r="H12" s="489"/>
      <c r="I12" s="489"/>
      <c r="J12" s="489"/>
      <c r="K12" s="63"/>
      <c r="L12" s="1"/>
      <c r="M12" s="1"/>
      <c r="N12" s="1"/>
      <c r="O12" s="1"/>
      <c r="P12" s="1"/>
    </row>
    <row r="13" spans="1:16" ht="15.75">
      <c r="A13" s="1"/>
      <c r="B13" s="493" t="s">
        <v>5</v>
      </c>
      <c r="C13" s="488" t="s">
        <v>6</v>
      </c>
      <c r="D13" s="492"/>
      <c r="E13" s="495"/>
      <c r="F13" s="489"/>
      <c r="G13" s="489"/>
      <c r="H13" s="489"/>
      <c r="I13" s="489"/>
      <c r="J13" s="489"/>
      <c r="K13" s="1"/>
      <c r="L13" s="1"/>
      <c r="M13" s="1"/>
      <c r="N13" s="1"/>
      <c r="O13" s="1"/>
      <c r="P13" s="1"/>
    </row>
    <row r="14" spans="1:16" ht="1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5" ht="44.25" customHeight="1">
      <c r="A15" s="1580" t="s">
        <v>7</v>
      </c>
      <c r="B15" s="1591" t="s">
        <v>664</v>
      </c>
      <c r="C15" s="1594" t="s">
        <v>9</v>
      </c>
      <c r="D15" s="1594" t="s">
        <v>10</v>
      </c>
      <c r="E15" s="1574" t="s">
        <v>665</v>
      </c>
      <c r="F15" s="1574" t="s">
        <v>12</v>
      </c>
      <c r="G15" s="1594" t="s">
        <v>13</v>
      </c>
      <c r="H15" s="1574" t="s">
        <v>14</v>
      </c>
      <c r="I15" s="1571" t="s">
        <v>282</v>
      </c>
      <c r="J15" s="1574" t="s">
        <v>60</v>
      </c>
      <c r="K15" s="1628" t="s">
        <v>666</v>
      </c>
      <c r="L15" s="1640" t="s">
        <v>760</v>
      </c>
      <c r="M15" s="1634"/>
      <c r="N15" s="1634"/>
      <c r="O15" s="1641"/>
    </row>
    <row r="16" spans="1:15" ht="50.25" customHeight="1">
      <c r="A16" s="1581"/>
      <c r="B16" s="1592"/>
      <c r="C16" s="1595"/>
      <c r="D16" s="1595"/>
      <c r="E16" s="1575"/>
      <c r="F16" s="1575"/>
      <c r="G16" s="1595"/>
      <c r="H16" s="1575"/>
      <c r="I16" s="1706"/>
      <c r="J16" s="1575"/>
      <c r="K16" s="1629"/>
      <c r="L16" s="1597" t="s">
        <v>668</v>
      </c>
      <c r="M16" s="1568"/>
      <c r="N16" s="1568"/>
      <c r="O16" s="1598"/>
    </row>
    <row r="17" spans="1:15" ht="41.25" customHeight="1" thickBot="1">
      <c r="A17" s="1582"/>
      <c r="B17" s="1593"/>
      <c r="C17" s="1596"/>
      <c r="D17" s="1596"/>
      <c r="E17" s="1576"/>
      <c r="F17" s="1576"/>
      <c r="G17" s="1596"/>
      <c r="H17" s="1576"/>
      <c r="I17" s="1707"/>
      <c r="J17" s="1576"/>
      <c r="K17" s="1630"/>
      <c r="L17" s="379" t="s">
        <v>669</v>
      </c>
      <c r="M17" s="375" t="s">
        <v>670</v>
      </c>
      <c r="N17" s="375" t="s">
        <v>671</v>
      </c>
      <c r="O17" s="376" t="s">
        <v>17</v>
      </c>
    </row>
    <row r="18" spans="1:15" ht="18">
      <c r="A18" s="593" t="s">
        <v>27</v>
      </c>
      <c r="B18" s="377" t="s">
        <v>239</v>
      </c>
      <c r="C18" s="377" t="s">
        <v>742</v>
      </c>
      <c r="D18" s="377" t="s">
        <v>194</v>
      </c>
      <c r="E18" s="377">
        <v>32</v>
      </c>
      <c r="F18" s="377" t="s">
        <v>741</v>
      </c>
      <c r="G18" s="377" t="s">
        <v>742</v>
      </c>
      <c r="H18" s="739" t="s">
        <v>901</v>
      </c>
      <c r="I18" s="386">
        <v>108664</v>
      </c>
      <c r="J18" s="740" t="s">
        <v>67</v>
      </c>
      <c r="K18" s="454">
        <v>2</v>
      </c>
      <c r="L18" s="886"/>
      <c r="M18" s="887">
        <f>5278-3832</f>
        <v>1446</v>
      </c>
      <c r="N18" s="887">
        <f>9812-7189</f>
        <v>2623</v>
      </c>
      <c r="O18" s="888">
        <f>M18+N18</f>
        <v>4069</v>
      </c>
    </row>
    <row r="19" spans="1:15" ht="18">
      <c r="A19" s="593" t="s">
        <v>27</v>
      </c>
      <c r="B19" s="377" t="s">
        <v>239</v>
      </c>
      <c r="C19" s="377" t="s">
        <v>742</v>
      </c>
      <c r="D19" s="377" t="s">
        <v>194</v>
      </c>
      <c r="E19" s="377">
        <v>32</v>
      </c>
      <c r="F19" s="377" t="s">
        <v>741</v>
      </c>
      <c r="G19" s="377" t="s">
        <v>742</v>
      </c>
      <c r="H19" s="739" t="s">
        <v>902</v>
      </c>
      <c r="I19" s="386">
        <v>70958246</v>
      </c>
      <c r="J19" s="740" t="s">
        <v>67</v>
      </c>
      <c r="K19" s="454">
        <v>6</v>
      </c>
      <c r="L19" s="380"/>
      <c r="M19" s="378">
        <f>32407-24237</f>
        <v>8170</v>
      </c>
      <c r="N19" s="378">
        <f>84128-61496</f>
        <v>22632</v>
      </c>
      <c r="O19" s="381">
        <f>M19+N19</f>
        <v>30802</v>
      </c>
    </row>
    <row r="20" spans="1:15" ht="18">
      <c r="A20" s="593" t="s">
        <v>27</v>
      </c>
      <c r="B20" s="377" t="s">
        <v>649</v>
      </c>
      <c r="C20" s="377" t="s">
        <v>742</v>
      </c>
      <c r="D20" s="304"/>
      <c r="E20" s="377"/>
      <c r="F20" s="377" t="s">
        <v>741</v>
      </c>
      <c r="G20" s="377" t="s">
        <v>742</v>
      </c>
      <c r="H20" s="1071" t="s">
        <v>917</v>
      </c>
      <c r="I20" s="386">
        <v>907871</v>
      </c>
      <c r="J20" s="741" t="s">
        <v>29</v>
      </c>
      <c r="K20" s="454">
        <v>5</v>
      </c>
      <c r="L20" s="387">
        <f>1642-1267</f>
        <v>375</v>
      </c>
      <c r="M20" s="330"/>
      <c r="N20" s="330"/>
      <c r="O20" s="381">
        <f>L20</f>
        <v>375</v>
      </c>
    </row>
    <row r="21" spans="1:15" ht="29.25">
      <c r="A21" s="593" t="s">
        <v>27</v>
      </c>
      <c r="B21" s="377" t="s">
        <v>744</v>
      </c>
      <c r="C21" s="377" t="s">
        <v>742</v>
      </c>
      <c r="D21" s="377" t="s">
        <v>172</v>
      </c>
      <c r="E21" s="377">
        <v>6</v>
      </c>
      <c r="F21" s="377" t="s">
        <v>741</v>
      </c>
      <c r="G21" s="377" t="s">
        <v>742</v>
      </c>
      <c r="H21" s="1071" t="s">
        <v>907</v>
      </c>
      <c r="I21" s="386">
        <v>70509504</v>
      </c>
      <c r="J21" s="740" t="s">
        <v>67</v>
      </c>
      <c r="K21" s="454">
        <v>4</v>
      </c>
      <c r="L21" s="380"/>
      <c r="M21" s="378">
        <f>81277-61606</f>
        <v>19671</v>
      </c>
      <c r="N21" s="378">
        <f>211866-163366</f>
        <v>48500</v>
      </c>
      <c r="O21" s="381">
        <f>M21+N21</f>
        <v>68171</v>
      </c>
    </row>
    <row r="22" spans="1:15" ht="18">
      <c r="A22" s="593" t="s">
        <v>27</v>
      </c>
      <c r="B22" s="377" t="s">
        <v>182</v>
      </c>
      <c r="C22" s="377" t="s">
        <v>745</v>
      </c>
      <c r="D22" s="304"/>
      <c r="E22" s="377" t="s">
        <v>1806</v>
      </c>
      <c r="F22" s="377" t="s">
        <v>741</v>
      </c>
      <c r="G22" s="377" t="s">
        <v>742</v>
      </c>
      <c r="H22" s="739" t="s">
        <v>898</v>
      </c>
      <c r="I22" s="386">
        <v>70958867</v>
      </c>
      <c r="J22" s="740" t="s">
        <v>67</v>
      </c>
      <c r="K22" s="454">
        <v>6</v>
      </c>
      <c r="L22" s="380"/>
      <c r="M22" s="378">
        <f>743-504</f>
        <v>239</v>
      </c>
      <c r="N22" s="378">
        <f>1414-795</f>
        <v>619</v>
      </c>
      <c r="O22" s="381">
        <f>M22+N22</f>
        <v>858</v>
      </c>
    </row>
    <row r="23" spans="1:15" ht="18">
      <c r="A23" s="593" t="s">
        <v>27</v>
      </c>
      <c r="B23" s="377" t="s">
        <v>689</v>
      </c>
      <c r="C23" s="377" t="s">
        <v>742</v>
      </c>
      <c r="D23" s="377" t="s">
        <v>746</v>
      </c>
      <c r="E23" s="377">
        <v>5</v>
      </c>
      <c r="F23" s="377" t="s">
        <v>741</v>
      </c>
      <c r="G23" s="377" t="s">
        <v>742</v>
      </c>
      <c r="H23" s="739" t="s">
        <v>904</v>
      </c>
      <c r="I23" s="386">
        <v>110527</v>
      </c>
      <c r="J23" s="740" t="s">
        <v>67</v>
      </c>
      <c r="K23" s="454">
        <v>1</v>
      </c>
      <c r="L23" s="380"/>
      <c r="M23" s="378">
        <f>137-113</f>
        <v>24</v>
      </c>
      <c r="N23" s="378">
        <f>274-228</f>
        <v>46</v>
      </c>
      <c r="O23" s="381">
        <f>M23+N23</f>
        <v>70</v>
      </c>
    </row>
    <row r="24" spans="1:15" ht="18">
      <c r="A24" s="593" t="s">
        <v>27</v>
      </c>
      <c r="B24" s="377" t="s">
        <v>689</v>
      </c>
      <c r="C24" s="377" t="s">
        <v>742</v>
      </c>
      <c r="D24" s="377" t="s">
        <v>746</v>
      </c>
      <c r="E24" s="377">
        <v>5</v>
      </c>
      <c r="F24" s="377" t="s">
        <v>741</v>
      </c>
      <c r="G24" s="377" t="s">
        <v>742</v>
      </c>
      <c r="H24" s="1071" t="s">
        <v>903</v>
      </c>
      <c r="I24" s="386">
        <v>17076135</v>
      </c>
      <c r="J24" s="741" t="s">
        <v>747</v>
      </c>
      <c r="K24" s="454"/>
      <c r="L24" s="383">
        <f>233-205</f>
        <v>28</v>
      </c>
      <c r="M24" s="330"/>
      <c r="N24" s="330"/>
      <c r="O24" s="384">
        <f>L24</f>
        <v>28</v>
      </c>
    </row>
    <row r="25" spans="1:15" ht="18">
      <c r="A25" s="593" t="s">
        <v>27</v>
      </c>
      <c r="B25" s="377" t="s">
        <v>689</v>
      </c>
      <c r="C25" s="377" t="s">
        <v>742</v>
      </c>
      <c r="D25" s="377" t="s">
        <v>748</v>
      </c>
      <c r="E25" s="377">
        <v>4</v>
      </c>
      <c r="F25" s="377" t="s">
        <v>741</v>
      </c>
      <c r="G25" s="377" t="s">
        <v>742</v>
      </c>
      <c r="H25" s="739" t="s">
        <v>900</v>
      </c>
      <c r="I25" s="386">
        <v>70958876</v>
      </c>
      <c r="J25" s="740" t="s">
        <v>67</v>
      </c>
      <c r="K25" s="454">
        <v>3</v>
      </c>
      <c r="L25" s="380"/>
      <c r="M25" s="378">
        <f>728-595</f>
        <v>133</v>
      </c>
      <c r="N25" s="378">
        <f>1636-1324</f>
        <v>312</v>
      </c>
      <c r="O25" s="382">
        <f>M25+N25</f>
        <v>445</v>
      </c>
    </row>
    <row r="26" spans="1:15" ht="35.25" customHeight="1">
      <c r="A26" s="593" t="s">
        <v>27</v>
      </c>
      <c r="B26" s="377" t="s">
        <v>1807</v>
      </c>
      <c r="C26" s="377" t="s">
        <v>751</v>
      </c>
      <c r="D26" s="304"/>
      <c r="E26" s="377">
        <v>4</v>
      </c>
      <c r="F26" s="377" t="s">
        <v>741</v>
      </c>
      <c r="G26" s="377" t="s">
        <v>742</v>
      </c>
      <c r="H26" s="739" t="s">
        <v>912</v>
      </c>
      <c r="I26" s="386">
        <v>329553</v>
      </c>
      <c r="J26" s="740" t="s">
        <v>67</v>
      </c>
      <c r="K26" s="454">
        <v>6.6</v>
      </c>
      <c r="L26" s="380"/>
      <c r="M26" s="378">
        <f>5415-3111</f>
        <v>2304</v>
      </c>
      <c r="N26" s="378">
        <f>22284-12062</f>
        <v>10222</v>
      </c>
      <c r="O26" s="382">
        <f aca="true" t="shared" si="0" ref="O26:O31">M26+N26</f>
        <v>12526</v>
      </c>
    </row>
    <row r="27" spans="1:15" ht="35.25" customHeight="1">
      <c r="A27" s="593" t="s">
        <v>27</v>
      </c>
      <c r="B27" s="377" t="s">
        <v>905</v>
      </c>
      <c r="C27" s="377" t="s">
        <v>742</v>
      </c>
      <c r="D27" s="377" t="s">
        <v>753</v>
      </c>
      <c r="E27" s="377" t="s">
        <v>754</v>
      </c>
      <c r="F27" s="377" t="s">
        <v>741</v>
      </c>
      <c r="G27" s="377" t="s">
        <v>742</v>
      </c>
      <c r="H27" s="739" t="s">
        <v>906</v>
      </c>
      <c r="I27" s="386">
        <v>70958885</v>
      </c>
      <c r="J27" s="740" t="s">
        <v>67</v>
      </c>
      <c r="K27" s="454">
        <v>7</v>
      </c>
      <c r="L27" s="380"/>
      <c r="M27" s="378">
        <f>2956-2175</f>
        <v>781</v>
      </c>
      <c r="N27" s="378">
        <f>7619-5556</f>
        <v>2063</v>
      </c>
      <c r="O27" s="382">
        <f t="shared" si="0"/>
        <v>2844</v>
      </c>
    </row>
    <row r="28" spans="1:15" ht="35.25" customHeight="1">
      <c r="A28" s="593" t="s">
        <v>27</v>
      </c>
      <c r="B28" s="377" t="s">
        <v>908</v>
      </c>
      <c r="C28" s="377" t="s">
        <v>742</v>
      </c>
      <c r="D28" s="377" t="s">
        <v>755</v>
      </c>
      <c r="E28" s="377" t="s">
        <v>756</v>
      </c>
      <c r="F28" s="377" t="s">
        <v>741</v>
      </c>
      <c r="G28" s="377" t="s">
        <v>742</v>
      </c>
      <c r="H28" s="739" t="s">
        <v>909</v>
      </c>
      <c r="I28" s="386">
        <v>70510973</v>
      </c>
      <c r="J28" s="740" t="s">
        <v>67</v>
      </c>
      <c r="K28" s="454">
        <v>7</v>
      </c>
      <c r="L28" s="380"/>
      <c r="M28" s="378">
        <f>5922-4474</f>
        <v>1448</v>
      </c>
      <c r="N28" s="378">
        <f>13511-9773</f>
        <v>3738</v>
      </c>
      <c r="O28" s="382">
        <f t="shared" si="0"/>
        <v>5186</v>
      </c>
    </row>
    <row r="29" spans="1:15" ht="35.25" customHeight="1">
      <c r="A29" s="593" t="s">
        <v>27</v>
      </c>
      <c r="B29" s="377" t="s">
        <v>910</v>
      </c>
      <c r="C29" s="377" t="s">
        <v>757</v>
      </c>
      <c r="D29" s="304"/>
      <c r="E29" s="377" t="s">
        <v>758</v>
      </c>
      <c r="F29" s="377" t="s">
        <v>741</v>
      </c>
      <c r="G29" s="377" t="s">
        <v>742</v>
      </c>
      <c r="H29" s="1071" t="s">
        <v>911</v>
      </c>
      <c r="I29" s="386">
        <v>70958873</v>
      </c>
      <c r="J29" s="740" t="s">
        <v>67</v>
      </c>
      <c r="K29" s="454">
        <v>11</v>
      </c>
      <c r="L29" s="380"/>
      <c r="M29" s="378">
        <f>4071-3026</f>
        <v>1045</v>
      </c>
      <c r="N29" s="378">
        <f>11723-8642</f>
        <v>3081</v>
      </c>
      <c r="O29" s="382">
        <f t="shared" si="0"/>
        <v>4126</v>
      </c>
    </row>
    <row r="30" spans="1:15" ht="29.25">
      <c r="A30" s="593" t="s">
        <v>27</v>
      </c>
      <c r="B30" s="377" t="s">
        <v>294</v>
      </c>
      <c r="C30" s="377" t="s">
        <v>743</v>
      </c>
      <c r="D30" s="304"/>
      <c r="E30" s="377" t="s">
        <v>1808</v>
      </c>
      <c r="F30" s="377" t="s">
        <v>741</v>
      </c>
      <c r="G30" s="377" t="s">
        <v>742</v>
      </c>
      <c r="H30" s="739" t="s">
        <v>899</v>
      </c>
      <c r="I30" s="386">
        <v>70850858</v>
      </c>
      <c r="J30" s="740" t="s">
        <v>67</v>
      </c>
      <c r="K30" s="454">
        <v>7</v>
      </c>
      <c r="L30" s="380"/>
      <c r="M30" s="378">
        <f>4673-3283</f>
        <v>1390</v>
      </c>
      <c r="N30" s="378">
        <f>15925-11545</f>
        <v>4380</v>
      </c>
      <c r="O30" s="382">
        <f t="shared" si="0"/>
        <v>5770</v>
      </c>
    </row>
    <row r="31" spans="1:15" ht="29.25">
      <c r="A31" s="593" t="s">
        <v>27</v>
      </c>
      <c r="B31" s="377" t="s">
        <v>643</v>
      </c>
      <c r="C31" s="377" t="s">
        <v>759</v>
      </c>
      <c r="D31" s="304"/>
      <c r="E31" s="377" t="s">
        <v>1809</v>
      </c>
      <c r="F31" s="377" t="s">
        <v>741</v>
      </c>
      <c r="G31" s="377" t="s">
        <v>742</v>
      </c>
      <c r="H31" s="739" t="s">
        <v>916</v>
      </c>
      <c r="I31" s="386">
        <v>4143429</v>
      </c>
      <c r="J31" s="742" t="s">
        <v>72</v>
      </c>
      <c r="K31" s="454">
        <v>34</v>
      </c>
      <c r="L31" s="380"/>
      <c r="M31" s="378">
        <f>(4187.32-2918.63)*30</f>
        <v>38060.69999999999</v>
      </c>
      <c r="N31" s="378">
        <f>(9630.09-6613.43)*30</f>
        <v>90499.79999999999</v>
      </c>
      <c r="O31" s="382">
        <f t="shared" si="0"/>
        <v>128560.49999999997</v>
      </c>
    </row>
    <row r="32" spans="1:15" ht="29.25">
      <c r="A32" s="593" t="s">
        <v>27</v>
      </c>
      <c r="B32" s="377" t="s">
        <v>294</v>
      </c>
      <c r="C32" s="377" t="s">
        <v>749</v>
      </c>
      <c r="D32" s="304"/>
      <c r="E32" s="377"/>
      <c r="F32" s="377" t="s">
        <v>741</v>
      </c>
      <c r="G32" s="377" t="s">
        <v>742</v>
      </c>
      <c r="H32" s="1072" t="s">
        <v>1242</v>
      </c>
      <c r="I32" s="386">
        <v>96069598</v>
      </c>
      <c r="J32" s="743" t="s">
        <v>750</v>
      </c>
      <c r="K32" s="454">
        <v>42</v>
      </c>
      <c r="L32" s="387">
        <f>776824-650323</f>
        <v>126501</v>
      </c>
      <c r="M32" s="330"/>
      <c r="N32" s="330"/>
      <c r="O32" s="382">
        <f>L32</f>
        <v>126501</v>
      </c>
    </row>
    <row r="33" spans="1:15" ht="30" customHeight="1">
      <c r="A33" s="623" t="s">
        <v>27</v>
      </c>
      <c r="B33" s="481" t="s">
        <v>691</v>
      </c>
      <c r="C33" s="115" t="s">
        <v>1186</v>
      </c>
      <c r="D33" s="188"/>
      <c r="E33" s="453"/>
      <c r="F33" s="377" t="s">
        <v>741</v>
      </c>
      <c r="G33" s="377" t="s">
        <v>742</v>
      </c>
      <c r="H33" s="739" t="s">
        <v>1266</v>
      </c>
      <c r="I33" s="453">
        <v>7233926</v>
      </c>
      <c r="J33" s="672" t="s">
        <v>29</v>
      </c>
      <c r="K33" s="885">
        <v>7</v>
      </c>
      <c r="L33" s="1331">
        <f>4473-4009</f>
        <v>464</v>
      </c>
      <c r="M33" s="658"/>
      <c r="N33" s="306"/>
      <c r="O33" s="307">
        <f>L33</f>
        <v>464</v>
      </c>
    </row>
    <row r="34" spans="1:15" ht="30" customHeight="1">
      <c r="A34" s="623" t="s">
        <v>27</v>
      </c>
      <c r="B34" s="748" t="s">
        <v>691</v>
      </c>
      <c r="C34" s="115" t="s">
        <v>1185</v>
      </c>
      <c r="D34" s="188"/>
      <c r="E34" s="749">
        <v>16</v>
      </c>
      <c r="F34" s="377" t="s">
        <v>741</v>
      </c>
      <c r="G34" s="377" t="s">
        <v>742</v>
      </c>
      <c r="H34" s="739" t="s">
        <v>1267</v>
      </c>
      <c r="I34" s="453">
        <v>218085</v>
      </c>
      <c r="J34" s="672" t="s">
        <v>29</v>
      </c>
      <c r="K34" s="885">
        <v>6.6</v>
      </c>
      <c r="L34" s="1331">
        <f>1642-751</f>
        <v>891</v>
      </c>
      <c r="M34" s="658"/>
      <c r="N34" s="306"/>
      <c r="O34" s="307">
        <f>L34</f>
        <v>891</v>
      </c>
    </row>
    <row r="35" spans="1:15" ht="30" customHeight="1">
      <c r="A35" s="623" t="s">
        <v>27</v>
      </c>
      <c r="B35" s="748" t="s">
        <v>691</v>
      </c>
      <c r="C35" s="234" t="s">
        <v>740</v>
      </c>
      <c r="D35" s="188"/>
      <c r="E35" s="453"/>
      <c r="F35" s="377" t="s">
        <v>741</v>
      </c>
      <c r="G35" s="377" t="s">
        <v>742</v>
      </c>
      <c r="H35" s="739" t="s">
        <v>1268</v>
      </c>
      <c r="I35" s="453">
        <v>218082</v>
      </c>
      <c r="J35" s="672" t="s">
        <v>29</v>
      </c>
      <c r="K35" s="885">
        <v>10</v>
      </c>
      <c r="L35" s="1331">
        <f>674-229</f>
        <v>445</v>
      </c>
      <c r="M35" s="658"/>
      <c r="N35" s="306"/>
      <c r="O35" s="307">
        <f>L35</f>
        <v>445</v>
      </c>
    </row>
    <row r="36" spans="1:15" ht="30" customHeight="1">
      <c r="A36" s="623" t="s">
        <v>27</v>
      </c>
      <c r="B36" s="748" t="s">
        <v>691</v>
      </c>
      <c r="C36" s="748" t="s">
        <v>752</v>
      </c>
      <c r="D36" s="1339" t="s">
        <v>1239</v>
      </c>
      <c r="E36" s="748">
        <v>12</v>
      </c>
      <c r="F36" s="748" t="s">
        <v>741</v>
      </c>
      <c r="G36" s="748" t="s">
        <v>742</v>
      </c>
      <c r="H36" s="739" t="s">
        <v>1243</v>
      </c>
      <c r="I36" s="386">
        <v>218084</v>
      </c>
      <c r="J36" s="744" t="s">
        <v>29</v>
      </c>
      <c r="K36" s="454">
        <v>6.6</v>
      </c>
      <c r="L36" s="868">
        <f>20362-11217</f>
        <v>9145</v>
      </c>
      <c r="M36" s="330"/>
      <c r="N36" s="330"/>
      <c r="O36" s="242">
        <f>L36</f>
        <v>9145</v>
      </c>
    </row>
    <row r="37" spans="1:15" ht="30" customHeight="1" thickBot="1">
      <c r="A37" s="593" t="s">
        <v>27</v>
      </c>
      <c r="B37" s="1340" t="s">
        <v>1807</v>
      </c>
      <c r="C37" s="1341" t="s">
        <v>1818</v>
      </c>
      <c r="D37" s="1342"/>
      <c r="E37" s="1343" t="s">
        <v>1819</v>
      </c>
      <c r="F37" s="1340" t="s">
        <v>741</v>
      </c>
      <c r="G37" s="1340" t="s">
        <v>742</v>
      </c>
      <c r="H37" s="1334"/>
      <c r="I37" s="1337">
        <v>194251</v>
      </c>
      <c r="J37" s="1338" t="s">
        <v>67</v>
      </c>
      <c r="K37" s="1335"/>
      <c r="L37" s="658"/>
      <c r="M37" s="1336">
        <v>250</v>
      </c>
      <c r="N37" s="331">
        <v>500</v>
      </c>
      <c r="O37" s="331">
        <f>SUM(M37:N37)</f>
        <v>750</v>
      </c>
    </row>
    <row r="38" spans="2:15" ht="22.5" customHeight="1" thickBot="1">
      <c r="B38" s="1348" t="s">
        <v>23</v>
      </c>
      <c r="C38" s="1349" t="s">
        <v>739</v>
      </c>
      <c r="D38" s="1350"/>
      <c r="E38" s="373"/>
      <c r="F38" s="373"/>
      <c r="G38" s="1294" t="s">
        <v>1719</v>
      </c>
      <c r="H38" s="1356" t="s">
        <v>739</v>
      </c>
      <c r="I38" s="373"/>
      <c r="J38" s="373"/>
      <c r="K38" s="373"/>
      <c r="L38" s="373"/>
      <c r="M38" s="373"/>
      <c r="N38" s="385" t="s">
        <v>63</v>
      </c>
      <c r="O38" s="1098">
        <f>SUM(O18:O37)</f>
        <v>402026.5</v>
      </c>
    </row>
    <row r="39" spans="2:16" ht="15">
      <c r="B39" s="624"/>
      <c r="C39" s="1351" t="s">
        <v>1108</v>
      </c>
      <c r="D39" s="1350"/>
      <c r="E39" s="373"/>
      <c r="F39" s="373"/>
      <c r="G39" s="251"/>
      <c r="H39" s="1365" t="s">
        <v>1108</v>
      </c>
      <c r="I39" s="373"/>
      <c r="J39" s="373"/>
      <c r="K39" s="373"/>
      <c r="L39" s="373"/>
      <c r="M39" s="373"/>
      <c r="P39" s="443"/>
    </row>
    <row r="40" spans="2:16" ht="15.75" thickBot="1">
      <c r="B40" s="624"/>
      <c r="C40" s="1351" t="s">
        <v>1109</v>
      </c>
      <c r="D40" s="1350"/>
      <c r="E40" s="373"/>
      <c r="F40" s="373"/>
      <c r="G40" s="255"/>
      <c r="H40" s="1360" t="s">
        <v>1109</v>
      </c>
      <c r="I40" s="373"/>
      <c r="J40" s="373"/>
      <c r="K40" s="373"/>
      <c r="L40" s="373"/>
      <c r="M40" s="373"/>
      <c r="P40" s="443"/>
    </row>
    <row r="41" spans="2:16" ht="15">
      <c r="B41" s="1348" t="s">
        <v>169</v>
      </c>
      <c r="C41" s="1351">
        <v>8222147156</v>
      </c>
      <c r="D41" s="1350"/>
      <c r="E41" s="373"/>
      <c r="F41" s="373"/>
      <c r="G41" s="373"/>
      <c r="H41" s="373"/>
      <c r="I41" s="373"/>
      <c r="J41" s="373"/>
      <c r="K41" s="373"/>
      <c r="L41" s="373"/>
      <c r="M41" s="373"/>
      <c r="P41" s="443"/>
    </row>
    <row r="42" spans="2:16" ht="15.75" thickBot="1">
      <c r="B42" s="1352" t="s">
        <v>1112</v>
      </c>
      <c r="C42" s="1353" t="s">
        <v>1183</v>
      </c>
      <c r="D42" s="1354"/>
      <c r="E42" s="373"/>
      <c r="F42" s="373"/>
      <c r="G42" s="373"/>
      <c r="H42" s="373"/>
      <c r="I42" s="373"/>
      <c r="J42" s="373"/>
      <c r="K42" s="373"/>
      <c r="L42" s="373"/>
      <c r="M42" s="373"/>
      <c r="P42" s="443"/>
    </row>
    <row r="43" spans="2:16" ht="15">
      <c r="B43" s="1073"/>
      <c r="C43" s="345"/>
      <c r="D43" s="654"/>
      <c r="E43" s="373"/>
      <c r="F43" s="373"/>
      <c r="G43" s="373"/>
      <c r="H43" s="373"/>
      <c r="I43" s="373"/>
      <c r="J43" s="373"/>
      <c r="K43" s="373"/>
      <c r="L43" s="373"/>
      <c r="M43" s="373"/>
      <c r="P43" s="443"/>
    </row>
    <row r="44" spans="2:16" ht="15">
      <c r="B44" s="1073"/>
      <c r="C44" s="345"/>
      <c r="D44" s="654"/>
      <c r="E44" s="373"/>
      <c r="F44" s="373"/>
      <c r="G44" s="373"/>
      <c r="H44" s="373"/>
      <c r="I44" s="373"/>
      <c r="J44" s="373"/>
      <c r="K44" s="373"/>
      <c r="L44" s="373"/>
      <c r="M44" s="373"/>
      <c r="P44" s="443"/>
    </row>
    <row r="45" spans="2:16" ht="15.75" thickBot="1">
      <c r="B45" s="1073"/>
      <c r="C45" s="345"/>
      <c r="D45" s="654"/>
      <c r="E45" s="373"/>
      <c r="F45" s="373"/>
      <c r="G45" s="373"/>
      <c r="H45" s="373"/>
      <c r="I45" s="373"/>
      <c r="J45" s="373"/>
      <c r="K45" s="373"/>
      <c r="L45" s="373"/>
      <c r="M45" s="373"/>
      <c r="P45" s="443"/>
    </row>
    <row r="46" spans="1:16" ht="35.25" customHeight="1">
      <c r="A46" s="1580" t="s">
        <v>7</v>
      </c>
      <c r="B46" s="1591" t="s">
        <v>664</v>
      </c>
      <c r="C46" s="1594" t="s">
        <v>9</v>
      </c>
      <c r="D46" s="1594" t="s">
        <v>10</v>
      </c>
      <c r="E46" s="1574" t="s">
        <v>665</v>
      </c>
      <c r="F46" s="1574" t="s">
        <v>12</v>
      </c>
      <c r="G46" s="1594" t="s">
        <v>13</v>
      </c>
      <c r="H46" s="1574" t="s">
        <v>14</v>
      </c>
      <c r="I46" s="1571" t="s">
        <v>282</v>
      </c>
      <c r="J46" s="1574" t="s">
        <v>60</v>
      </c>
      <c r="K46" s="1628" t="s">
        <v>666</v>
      </c>
      <c r="L46" s="1640" t="s">
        <v>760</v>
      </c>
      <c r="M46" s="1634"/>
      <c r="N46" s="1634"/>
      <c r="O46" s="1641"/>
      <c r="P46" s="443"/>
    </row>
    <row r="47" spans="1:16" ht="35.25" customHeight="1">
      <c r="A47" s="1581"/>
      <c r="B47" s="1592"/>
      <c r="C47" s="1595"/>
      <c r="D47" s="1595"/>
      <c r="E47" s="1575"/>
      <c r="F47" s="1575"/>
      <c r="G47" s="1595"/>
      <c r="H47" s="1575"/>
      <c r="I47" s="1706"/>
      <c r="J47" s="1575"/>
      <c r="K47" s="1629"/>
      <c r="L47" s="1597" t="s">
        <v>668</v>
      </c>
      <c r="M47" s="1568"/>
      <c r="N47" s="1568"/>
      <c r="O47" s="1598"/>
      <c r="P47" s="443"/>
    </row>
    <row r="48" spans="1:16" ht="35.25" customHeight="1" thickBot="1">
      <c r="A48" s="1582"/>
      <c r="B48" s="1593"/>
      <c r="C48" s="1596"/>
      <c r="D48" s="1596"/>
      <c r="E48" s="1576"/>
      <c r="F48" s="1576"/>
      <c r="G48" s="1596"/>
      <c r="H48" s="1576"/>
      <c r="I48" s="1707"/>
      <c r="J48" s="1576"/>
      <c r="K48" s="1630"/>
      <c r="L48" s="589" t="s">
        <v>669</v>
      </c>
      <c r="M48" s="1215" t="s">
        <v>670</v>
      </c>
      <c r="N48" s="1215" t="s">
        <v>671</v>
      </c>
      <c r="O48" s="1216" t="s">
        <v>17</v>
      </c>
      <c r="P48" s="443"/>
    </row>
    <row r="49" spans="1:16" ht="36.75" customHeight="1">
      <c r="A49" s="621" t="s">
        <v>27</v>
      </c>
      <c r="B49" s="1075" t="s">
        <v>914</v>
      </c>
      <c r="C49" s="1075" t="s">
        <v>742</v>
      </c>
      <c r="D49" s="1075" t="s">
        <v>172</v>
      </c>
      <c r="E49" s="1075">
        <v>4</v>
      </c>
      <c r="F49" s="1075" t="s">
        <v>741</v>
      </c>
      <c r="G49" s="1075" t="s">
        <v>742</v>
      </c>
      <c r="H49" s="1071" t="s">
        <v>915</v>
      </c>
      <c r="I49" s="1077">
        <v>4143428</v>
      </c>
      <c r="J49" s="499" t="s">
        <v>72</v>
      </c>
      <c r="K49" s="1344">
        <v>80</v>
      </c>
      <c r="L49" s="1333"/>
      <c r="M49" s="259">
        <f>(8189.25-7097.07)*40</f>
        <v>43687.20000000001</v>
      </c>
      <c r="N49" s="259">
        <f>(16116.95-14122.12)*40</f>
        <v>79793.2</v>
      </c>
      <c r="O49" s="1345">
        <f>M49+N49</f>
        <v>123480.40000000001</v>
      </c>
      <c r="P49" s="443"/>
    </row>
    <row r="50" spans="2:16" ht="23.25" customHeight="1" thickBot="1">
      <c r="B50" s="1348" t="s">
        <v>23</v>
      </c>
      <c r="C50" s="1349" t="s">
        <v>739</v>
      </c>
      <c r="D50" s="1350"/>
      <c r="E50" s="656"/>
      <c r="G50" s="1364" t="s">
        <v>1719</v>
      </c>
      <c r="H50" s="1349" t="s">
        <v>1817</v>
      </c>
      <c r="I50" s="1362"/>
      <c r="J50" s="373"/>
      <c r="K50" s="373"/>
      <c r="L50" s="373"/>
      <c r="M50" s="373"/>
      <c r="N50" s="385" t="s">
        <v>63</v>
      </c>
      <c r="O50" s="1098">
        <f>O49</f>
        <v>123480.40000000001</v>
      </c>
      <c r="P50" s="443"/>
    </row>
    <row r="51" spans="2:16" ht="15">
      <c r="B51" s="624"/>
      <c r="C51" s="1351" t="s">
        <v>1108</v>
      </c>
      <c r="D51" s="1350"/>
      <c r="E51" s="656"/>
      <c r="G51" s="1357"/>
      <c r="H51" s="1332" t="s">
        <v>1813</v>
      </c>
      <c r="I51" s="1362"/>
      <c r="J51" s="373"/>
      <c r="K51" s="373"/>
      <c r="L51" s="373"/>
      <c r="M51" s="373"/>
      <c r="P51" s="443"/>
    </row>
    <row r="52" spans="2:16" ht="15.75" thickBot="1">
      <c r="B52" s="624"/>
      <c r="C52" s="1351" t="s">
        <v>1109</v>
      </c>
      <c r="D52" s="1350"/>
      <c r="E52" s="1166"/>
      <c r="G52" s="1359"/>
      <c r="H52" s="1353" t="s">
        <v>1814</v>
      </c>
      <c r="I52" s="1363"/>
      <c r="J52" s="373"/>
      <c r="K52" s="373"/>
      <c r="L52" s="373"/>
      <c r="M52" s="373"/>
      <c r="P52" s="443"/>
    </row>
    <row r="53" spans="2:16" ht="15">
      <c r="B53" s="1348" t="s">
        <v>169</v>
      </c>
      <c r="C53" s="1351">
        <v>8222147156</v>
      </c>
      <c r="D53" s="1350"/>
      <c r="H53" s="373"/>
      <c r="I53" s="373"/>
      <c r="J53" s="373"/>
      <c r="K53" s="373"/>
      <c r="L53" s="373"/>
      <c r="M53" s="373"/>
      <c r="P53" s="443"/>
    </row>
    <row r="54" spans="2:16" ht="15.75" thickBot="1">
      <c r="B54" s="1352" t="s">
        <v>1112</v>
      </c>
      <c r="C54" s="1353" t="s">
        <v>1183</v>
      </c>
      <c r="D54" s="1354"/>
      <c r="H54" s="373"/>
      <c r="I54" s="373"/>
      <c r="J54" s="373"/>
      <c r="K54" s="373"/>
      <c r="L54" s="373"/>
      <c r="M54" s="373"/>
      <c r="P54" s="443"/>
    </row>
    <row r="55" spans="2:16" ht="15">
      <c r="B55" s="1073"/>
      <c r="C55" s="345"/>
      <c r="D55" s="654"/>
      <c r="H55" s="373"/>
      <c r="I55" s="373"/>
      <c r="J55" s="373"/>
      <c r="K55" s="373"/>
      <c r="L55" s="373"/>
      <c r="M55" s="373"/>
      <c r="P55" s="443"/>
    </row>
    <row r="56" spans="2:16" ht="15.75" thickBot="1">
      <c r="B56" s="1073"/>
      <c r="C56" s="345"/>
      <c r="D56" s="654"/>
      <c r="E56" s="373"/>
      <c r="F56" s="373"/>
      <c r="G56" s="373"/>
      <c r="H56" s="373"/>
      <c r="I56" s="373"/>
      <c r="J56" s="373"/>
      <c r="K56" s="373"/>
      <c r="L56" s="373"/>
      <c r="M56" s="373"/>
      <c r="P56" s="443"/>
    </row>
    <row r="57" spans="1:16" ht="37.5" customHeight="1">
      <c r="A57" s="1580" t="s">
        <v>7</v>
      </c>
      <c r="B57" s="1591" t="s">
        <v>664</v>
      </c>
      <c r="C57" s="1594" t="s">
        <v>9</v>
      </c>
      <c r="D57" s="1594" t="s">
        <v>10</v>
      </c>
      <c r="E57" s="1574" t="s">
        <v>665</v>
      </c>
      <c r="F57" s="1574" t="s">
        <v>12</v>
      </c>
      <c r="G57" s="1594" t="s">
        <v>13</v>
      </c>
      <c r="H57" s="1574" t="s">
        <v>14</v>
      </c>
      <c r="I57" s="1571" t="s">
        <v>282</v>
      </c>
      <c r="J57" s="1574" t="s">
        <v>60</v>
      </c>
      <c r="K57" s="1628" t="s">
        <v>666</v>
      </c>
      <c r="L57" s="1640" t="s">
        <v>760</v>
      </c>
      <c r="M57" s="1634"/>
      <c r="N57" s="1634"/>
      <c r="O57" s="1641"/>
      <c r="P57" s="443"/>
    </row>
    <row r="58" spans="1:16" ht="37.5" customHeight="1">
      <c r="A58" s="1581"/>
      <c r="B58" s="1592"/>
      <c r="C58" s="1595"/>
      <c r="D58" s="1595"/>
      <c r="E58" s="1575"/>
      <c r="F58" s="1575"/>
      <c r="G58" s="1595"/>
      <c r="H58" s="1575"/>
      <c r="I58" s="1706"/>
      <c r="J58" s="1575"/>
      <c r="K58" s="1629"/>
      <c r="L58" s="1597" t="s">
        <v>668</v>
      </c>
      <c r="M58" s="1568"/>
      <c r="N58" s="1568"/>
      <c r="O58" s="1598"/>
      <c r="P58" s="443"/>
    </row>
    <row r="59" spans="1:16" ht="37.5" customHeight="1" thickBot="1">
      <c r="A59" s="1582"/>
      <c r="B59" s="1593"/>
      <c r="C59" s="1596"/>
      <c r="D59" s="1596"/>
      <c r="E59" s="1576"/>
      <c r="F59" s="1576"/>
      <c r="G59" s="1596"/>
      <c r="H59" s="1576"/>
      <c r="I59" s="1707"/>
      <c r="J59" s="1576"/>
      <c r="K59" s="1630"/>
      <c r="L59" s="589" t="s">
        <v>669</v>
      </c>
      <c r="M59" s="1215" t="s">
        <v>670</v>
      </c>
      <c r="N59" s="1215" t="s">
        <v>671</v>
      </c>
      <c r="O59" s="1216" t="s">
        <v>17</v>
      </c>
      <c r="P59" s="443"/>
    </row>
    <row r="60" spans="1:16" ht="33" customHeight="1" thickBot="1">
      <c r="A60" s="621" t="s">
        <v>27</v>
      </c>
      <c r="B60" s="1075" t="s">
        <v>1810</v>
      </c>
      <c r="C60" s="1075" t="s">
        <v>743</v>
      </c>
      <c r="D60" s="385" t="s">
        <v>172</v>
      </c>
      <c r="E60" s="1075">
        <v>16</v>
      </c>
      <c r="F60" s="1075" t="s">
        <v>741</v>
      </c>
      <c r="G60" s="1078" t="s">
        <v>742</v>
      </c>
      <c r="H60" s="1165" t="s">
        <v>913</v>
      </c>
      <c r="I60" s="1077">
        <v>440061</v>
      </c>
      <c r="J60" s="499" t="s">
        <v>72</v>
      </c>
      <c r="K60" s="1344">
        <v>65</v>
      </c>
      <c r="L60" s="1333"/>
      <c r="M60" s="259">
        <f>(7732.65-6888.77)*30</f>
        <v>25316.399999999976</v>
      </c>
      <c r="N60" s="259">
        <f>(12533.55-11068.92)*30</f>
        <v>43938.89999999998</v>
      </c>
      <c r="O60" s="1345">
        <f>M60+N60</f>
        <v>69255.29999999996</v>
      </c>
      <c r="P60" s="443"/>
    </row>
    <row r="61" spans="2:16" ht="22.5" customHeight="1" thickBot="1">
      <c r="B61" s="1348" t="s">
        <v>23</v>
      </c>
      <c r="C61" s="1349" t="s">
        <v>739</v>
      </c>
      <c r="D61" s="1350"/>
      <c r="G61" s="1355" t="s">
        <v>1719</v>
      </c>
      <c r="H61" s="1356" t="s">
        <v>1815</v>
      </c>
      <c r="I61" s="373"/>
      <c r="J61" s="373"/>
      <c r="K61" s="373"/>
      <c r="L61" s="373"/>
      <c r="M61" s="373"/>
      <c r="N61" s="385" t="s">
        <v>63</v>
      </c>
      <c r="O61" s="1098">
        <f>O60</f>
        <v>69255.29999999996</v>
      </c>
      <c r="P61" s="443"/>
    </row>
    <row r="62" spans="2:16" ht="15">
      <c r="B62" s="624"/>
      <c r="C62" s="1351" t="s">
        <v>1108</v>
      </c>
      <c r="D62" s="1350"/>
      <c r="G62" s="1357"/>
      <c r="H62" s="1358" t="s">
        <v>1816</v>
      </c>
      <c r="I62" s="373"/>
      <c r="J62" s="373"/>
      <c r="K62" s="373"/>
      <c r="L62" s="373"/>
      <c r="M62" s="373"/>
      <c r="P62" s="443"/>
    </row>
    <row r="63" spans="2:16" ht="15.75" thickBot="1">
      <c r="B63" s="624"/>
      <c r="C63" s="1351" t="s">
        <v>1109</v>
      </c>
      <c r="D63" s="1350"/>
      <c r="G63" s="1359"/>
      <c r="H63" s="1360" t="s">
        <v>1814</v>
      </c>
      <c r="I63" s="373"/>
      <c r="J63" s="373"/>
      <c r="K63" s="373"/>
      <c r="L63" s="373"/>
      <c r="M63" s="373"/>
      <c r="P63" s="443"/>
    </row>
    <row r="64" spans="2:16" ht="15">
      <c r="B64" s="1348" t="s">
        <v>169</v>
      </c>
      <c r="C64" s="1351">
        <v>8222147156</v>
      </c>
      <c r="D64" s="1350"/>
      <c r="H64" s="373"/>
      <c r="I64" s="373"/>
      <c r="J64" s="373"/>
      <c r="K64" s="373"/>
      <c r="L64" s="373"/>
      <c r="M64" s="373"/>
      <c r="P64" s="443"/>
    </row>
    <row r="65" spans="2:16" ht="15.75" thickBot="1">
      <c r="B65" s="1352" t="s">
        <v>1112</v>
      </c>
      <c r="C65" s="1353" t="s">
        <v>1183</v>
      </c>
      <c r="D65" s="1354"/>
      <c r="H65" s="373"/>
      <c r="I65" s="373"/>
      <c r="J65" s="373"/>
      <c r="K65" s="373"/>
      <c r="L65" s="373"/>
      <c r="M65" s="373"/>
      <c r="P65" s="443"/>
    </row>
    <row r="66" spans="2:16" ht="15">
      <c r="B66" s="1073"/>
      <c r="C66" s="345"/>
      <c r="D66" s="654"/>
      <c r="H66" s="373"/>
      <c r="I66" s="373"/>
      <c r="J66" s="373"/>
      <c r="K66" s="373"/>
      <c r="L66" s="373"/>
      <c r="M66" s="373"/>
      <c r="P66" s="443"/>
    </row>
    <row r="67" spans="2:16" ht="15.75" thickBot="1">
      <c r="B67" s="1073"/>
      <c r="C67" s="345"/>
      <c r="D67" s="654"/>
      <c r="E67" s="373"/>
      <c r="F67" s="373"/>
      <c r="G67" s="373"/>
      <c r="H67" s="373"/>
      <c r="I67" s="373"/>
      <c r="J67" s="373"/>
      <c r="K67" s="373"/>
      <c r="L67" s="373"/>
      <c r="M67" s="373"/>
      <c r="P67" s="443"/>
    </row>
    <row r="68" spans="1:16" ht="36.75" customHeight="1">
      <c r="A68" s="1580" t="s">
        <v>7</v>
      </c>
      <c r="B68" s="1591" t="s">
        <v>664</v>
      </c>
      <c r="C68" s="1594" t="s">
        <v>9</v>
      </c>
      <c r="D68" s="1594" t="s">
        <v>10</v>
      </c>
      <c r="E68" s="1574" t="s">
        <v>665</v>
      </c>
      <c r="F68" s="1574" t="s">
        <v>12</v>
      </c>
      <c r="G68" s="1594" t="s">
        <v>13</v>
      </c>
      <c r="H68" s="1574" t="s">
        <v>14</v>
      </c>
      <c r="I68" s="1571" t="s">
        <v>282</v>
      </c>
      <c r="J68" s="1574" t="s">
        <v>60</v>
      </c>
      <c r="K68" s="1628" t="s">
        <v>666</v>
      </c>
      <c r="L68" s="1640" t="s">
        <v>760</v>
      </c>
      <c r="M68" s="1634"/>
      <c r="N68" s="1634"/>
      <c r="O68" s="1641"/>
      <c r="P68" s="443"/>
    </row>
    <row r="69" spans="1:16" ht="36.75" customHeight="1">
      <c r="A69" s="1581"/>
      <c r="B69" s="1592"/>
      <c r="C69" s="1595"/>
      <c r="D69" s="1595"/>
      <c r="E69" s="1575"/>
      <c r="F69" s="1575"/>
      <c r="G69" s="1595"/>
      <c r="H69" s="1575"/>
      <c r="I69" s="1706"/>
      <c r="J69" s="1575"/>
      <c r="K69" s="1629"/>
      <c r="L69" s="1597" t="s">
        <v>668</v>
      </c>
      <c r="M69" s="1568"/>
      <c r="N69" s="1568"/>
      <c r="O69" s="1598"/>
      <c r="P69" s="443"/>
    </row>
    <row r="70" spans="1:16" ht="36.75" customHeight="1" thickBot="1">
      <c r="A70" s="1582"/>
      <c r="B70" s="1593"/>
      <c r="C70" s="1596"/>
      <c r="D70" s="1596"/>
      <c r="E70" s="1576"/>
      <c r="F70" s="1576"/>
      <c r="G70" s="1596"/>
      <c r="H70" s="1576"/>
      <c r="I70" s="1707"/>
      <c r="J70" s="1576"/>
      <c r="K70" s="1630"/>
      <c r="L70" s="589" t="s">
        <v>669</v>
      </c>
      <c r="M70" s="1215" t="s">
        <v>670</v>
      </c>
      <c r="N70" s="1215" t="s">
        <v>671</v>
      </c>
      <c r="O70" s="1216" t="s">
        <v>17</v>
      </c>
      <c r="P70" s="443"/>
    </row>
    <row r="71" spans="1:16" ht="36" customHeight="1" thickBot="1">
      <c r="A71" s="621" t="s">
        <v>27</v>
      </c>
      <c r="B71" s="1075" t="s">
        <v>914</v>
      </c>
      <c r="C71" s="1075" t="s">
        <v>752</v>
      </c>
      <c r="D71" s="385" t="s">
        <v>172</v>
      </c>
      <c r="E71" s="1075">
        <v>4</v>
      </c>
      <c r="F71" s="1075" t="s">
        <v>741</v>
      </c>
      <c r="G71" s="1078" t="s">
        <v>742</v>
      </c>
      <c r="H71" s="1165" t="s">
        <v>1811</v>
      </c>
      <c r="I71" s="1346">
        <v>907874</v>
      </c>
      <c r="J71" s="1347" t="s">
        <v>67</v>
      </c>
      <c r="K71" s="1344">
        <v>6.6</v>
      </c>
      <c r="L71" s="1333"/>
      <c r="M71" s="1345">
        <v>5498</v>
      </c>
      <c r="N71" s="1345">
        <v>12475</v>
      </c>
      <c r="O71" s="1345">
        <f>SUM(M71:N71)</f>
        <v>17973</v>
      </c>
      <c r="P71" s="443"/>
    </row>
    <row r="72" spans="2:16" ht="21.75" customHeight="1" thickBot="1">
      <c r="B72" s="1348" t="s">
        <v>23</v>
      </c>
      <c r="C72" s="1349" t="s">
        <v>739</v>
      </c>
      <c r="D72" s="1350"/>
      <c r="G72" s="1355" t="s">
        <v>1719</v>
      </c>
      <c r="H72" s="1356" t="s">
        <v>1812</v>
      </c>
      <c r="I72" s="373"/>
      <c r="J72" s="373"/>
      <c r="K72" s="373"/>
      <c r="L72" s="373"/>
      <c r="M72" s="373"/>
      <c r="N72" s="385" t="s">
        <v>63</v>
      </c>
      <c r="O72" s="1098">
        <f>O71</f>
        <v>17973</v>
      </c>
      <c r="P72" s="443"/>
    </row>
    <row r="73" spans="2:16" ht="15">
      <c r="B73" s="624"/>
      <c r="C73" s="1351" t="s">
        <v>1108</v>
      </c>
      <c r="D73" s="1350"/>
      <c r="G73" s="1357"/>
      <c r="H73" s="1358" t="s">
        <v>1813</v>
      </c>
      <c r="I73" s="373"/>
      <c r="J73" s="373"/>
      <c r="K73" s="373"/>
      <c r="L73" s="373"/>
      <c r="M73" s="373"/>
      <c r="P73" s="443"/>
    </row>
    <row r="74" spans="2:16" ht="15.75" thickBot="1">
      <c r="B74" s="624"/>
      <c r="C74" s="1351" t="s">
        <v>1109</v>
      </c>
      <c r="D74" s="1350"/>
      <c r="G74" s="1359"/>
      <c r="H74" s="1360" t="s">
        <v>1814</v>
      </c>
      <c r="I74" s="373"/>
      <c r="J74" s="373"/>
      <c r="K74" s="373"/>
      <c r="L74" s="373"/>
      <c r="M74" s="373"/>
      <c r="P74" s="443"/>
    </row>
    <row r="75" spans="2:16" ht="15">
      <c r="B75" s="1348" t="s">
        <v>169</v>
      </c>
      <c r="C75" s="1351">
        <v>8222147156</v>
      </c>
      <c r="D75" s="1350"/>
      <c r="H75" s="373"/>
      <c r="I75" s="373"/>
      <c r="J75" s="373"/>
      <c r="K75" s="373"/>
      <c r="L75" s="373"/>
      <c r="M75" s="373"/>
      <c r="P75" s="443"/>
    </row>
    <row r="76" spans="2:16" ht="15.75" thickBot="1">
      <c r="B76" s="1352" t="s">
        <v>1112</v>
      </c>
      <c r="C76" s="1353" t="s">
        <v>1183</v>
      </c>
      <c r="D76" s="1354"/>
      <c r="H76" s="373"/>
      <c r="I76" s="373"/>
      <c r="J76" s="373"/>
      <c r="K76" s="373"/>
      <c r="L76" s="373"/>
      <c r="M76" s="373"/>
      <c r="P76" s="443"/>
    </row>
    <row r="77" spans="2:16" ht="15">
      <c r="B77" s="1073"/>
      <c r="C77" s="345"/>
      <c r="D77" s="654"/>
      <c r="E77" s="373"/>
      <c r="F77" s="373"/>
      <c r="G77" s="373"/>
      <c r="H77" s="373"/>
      <c r="I77" s="373"/>
      <c r="J77" s="373"/>
      <c r="K77" s="373"/>
      <c r="L77" s="373"/>
      <c r="M77" s="373"/>
      <c r="P77" s="443"/>
    </row>
    <row r="78" spans="2:16" ht="15.75" thickBot="1">
      <c r="B78" s="1073"/>
      <c r="C78" s="345"/>
      <c r="D78" s="654"/>
      <c r="E78" s="373"/>
      <c r="F78" s="373"/>
      <c r="G78" s="373"/>
      <c r="H78" s="373"/>
      <c r="I78" s="373"/>
      <c r="J78" s="373"/>
      <c r="K78" s="373"/>
      <c r="L78" s="373"/>
      <c r="M78" s="373"/>
      <c r="P78" s="443"/>
    </row>
    <row r="79" spans="1:21" ht="48" customHeight="1">
      <c r="A79" s="1580" t="s">
        <v>7</v>
      </c>
      <c r="B79" s="1574" t="s">
        <v>8</v>
      </c>
      <c r="C79" s="1574" t="s">
        <v>9</v>
      </c>
      <c r="D79" s="1574" t="s">
        <v>10</v>
      </c>
      <c r="E79" s="1574" t="s">
        <v>11</v>
      </c>
      <c r="F79" s="1574" t="s">
        <v>12</v>
      </c>
      <c r="G79" s="1574" t="s">
        <v>13</v>
      </c>
      <c r="H79" s="1571" t="s">
        <v>15</v>
      </c>
      <c r="I79" s="1571" t="s">
        <v>282</v>
      </c>
      <c r="J79" s="1571" t="s">
        <v>60</v>
      </c>
      <c r="K79" s="1650" t="s">
        <v>16</v>
      </c>
      <c r="L79" s="1615" t="s">
        <v>672</v>
      </c>
      <c r="M79" s="1616"/>
      <c r="N79" s="1616"/>
      <c r="O79" s="1617"/>
      <c r="P79" s="1615" t="s">
        <v>673</v>
      </c>
      <c r="Q79" s="1616"/>
      <c r="R79" s="1616"/>
      <c r="S79" s="1617"/>
      <c r="T79" s="1708" t="s">
        <v>1573</v>
      </c>
      <c r="U79" s="1657" t="s">
        <v>1184</v>
      </c>
    </row>
    <row r="80" spans="1:21" ht="48" customHeight="1">
      <c r="A80" s="1581"/>
      <c r="B80" s="1575"/>
      <c r="C80" s="1575"/>
      <c r="D80" s="1575"/>
      <c r="E80" s="1575"/>
      <c r="F80" s="1575"/>
      <c r="G80" s="1575"/>
      <c r="H80" s="1572"/>
      <c r="I80" s="1572"/>
      <c r="J80" s="1572"/>
      <c r="K80" s="1651"/>
      <c r="L80" s="1703" t="s">
        <v>669</v>
      </c>
      <c r="M80" s="1652" t="s">
        <v>670</v>
      </c>
      <c r="N80" s="1652" t="s">
        <v>671</v>
      </c>
      <c r="O80" s="1653" t="s">
        <v>674</v>
      </c>
      <c r="P80" s="1703" t="s">
        <v>669</v>
      </c>
      <c r="Q80" s="1652" t="s">
        <v>670</v>
      </c>
      <c r="R80" s="1652" t="s">
        <v>671</v>
      </c>
      <c r="S80" s="1653" t="s">
        <v>674</v>
      </c>
      <c r="T80" s="1709"/>
      <c r="U80" s="1658"/>
    </row>
    <row r="81" spans="1:21" ht="15" thickBot="1">
      <c r="A81" s="1582"/>
      <c r="B81" s="1576"/>
      <c r="C81" s="1576"/>
      <c r="D81" s="1576"/>
      <c r="E81" s="1576"/>
      <c r="F81" s="1576"/>
      <c r="G81" s="1576"/>
      <c r="H81" s="1573"/>
      <c r="I81" s="1573"/>
      <c r="J81" s="1573"/>
      <c r="K81" s="1662"/>
      <c r="L81" s="1704"/>
      <c r="M81" s="1654"/>
      <c r="N81" s="1654"/>
      <c r="O81" s="1705"/>
      <c r="P81" s="1704"/>
      <c r="Q81" s="1654"/>
      <c r="R81" s="1654"/>
      <c r="S81" s="1705"/>
      <c r="T81" s="1710"/>
      <c r="U81" s="1659"/>
    </row>
    <row r="82" spans="1:21" ht="52.5" customHeight="1" thickBot="1">
      <c r="A82" s="621" t="s">
        <v>18</v>
      </c>
      <c r="B82" s="1096" t="s">
        <v>1574</v>
      </c>
      <c r="C82" s="1097" t="s">
        <v>743</v>
      </c>
      <c r="D82" s="1097" t="s">
        <v>55</v>
      </c>
      <c r="E82" s="536"/>
      <c r="F82" s="536" t="s">
        <v>741</v>
      </c>
      <c r="G82" s="536" t="s">
        <v>742</v>
      </c>
      <c r="H82" s="1095">
        <v>53334015</v>
      </c>
      <c r="I82" s="536">
        <v>90599966</v>
      </c>
      <c r="J82" s="1093" t="s">
        <v>67</v>
      </c>
      <c r="K82" s="711">
        <v>20</v>
      </c>
      <c r="L82" s="1080"/>
      <c r="M82" s="537">
        <f>(2636-905)*2</f>
        <v>3462</v>
      </c>
      <c r="N82" s="537">
        <f>(5836-2078)*2</f>
        <v>7516</v>
      </c>
      <c r="O82" s="537">
        <f>M82+N82</f>
        <v>10978</v>
      </c>
      <c r="P82" s="1080"/>
      <c r="Q82" s="537">
        <f>M82</f>
        <v>3462</v>
      </c>
      <c r="R82" s="537">
        <f>N82</f>
        <v>7516</v>
      </c>
      <c r="S82" s="537">
        <f>Q82+R82</f>
        <v>10978</v>
      </c>
      <c r="T82" s="273" t="s">
        <v>1536</v>
      </c>
      <c r="U82" s="535" t="s">
        <v>1546</v>
      </c>
    </row>
    <row r="83" spans="1:21" ht="18.75" thickBot="1">
      <c r="A83" s="296"/>
      <c r="B83" s="1367" t="s">
        <v>23</v>
      </c>
      <c r="C83" s="1361" t="s">
        <v>739</v>
      </c>
      <c r="D83" s="1368"/>
      <c r="E83" s="461"/>
      <c r="F83" s="461"/>
      <c r="G83" s="1294" t="s">
        <v>1719</v>
      </c>
      <c r="H83" s="1356" t="s">
        <v>739</v>
      </c>
      <c r="I83" s="461"/>
      <c r="J83" s="461"/>
      <c r="K83" s="636"/>
      <c r="L83" s="61"/>
      <c r="M83" s="465"/>
      <c r="N83" s="465"/>
      <c r="O83" s="465"/>
      <c r="P83" s="61"/>
      <c r="Q83" s="465"/>
      <c r="R83" s="385" t="s">
        <v>63</v>
      </c>
      <c r="S83" s="1098">
        <f>S82</f>
        <v>10978</v>
      </c>
      <c r="T83" s="55"/>
      <c r="U83" s="461"/>
    </row>
    <row r="84" spans="1:21" ht="18">
      <c r="A84" s="296"/>
      <c r="B84" s="624"/>
      <c r="C84" s="1351" t="s">
        <v>1108</v>
      </c>
      <c r="D84" s="1350"/>
      <c r="E84" s="461"/>
      <c r="F84" s="461"/>
      <c r="G84" s="1366"/>
      <c r="H84" s="1365" t="s">
        <v>1108</v>
      </c>
      <c r="I84" s="461"/>
      <c r="J84" s="461"/>
      <c r="K84" s="636"/>
      <c r="L84" s="61"/>
      <c r="M84" s="465"/>
      <c r="N84" s="465"/>
      <c r="O84" s="465"/>
      <c r="P84" s="61"/>
      <c r="Q84" s="465"/>
      <c r="R84" s="465"/>
      <c r="S84" s="465"/>
      <c r="T84" s="55"/>
      <c r="U84" s="461"/>
    </row>
    <row r="85" spans="2:16" ht="15.75" thickBot="1">
      <c r="B85" s="624"/>
      <c r="C85" s="1351" t="s">
        <v>1109</v>
      </c>
      <c r="D85" s="1350"/>
      <c r="E85" s="373"/>
      <c r="F85" s="373"/>
      <c r="G85" s="255"/>
      <c r="H85" s="1360" t="s">
        <v>1109</v>
      </c>
      <c r="I85" s="373"/>
      <c r="J85" s="373"/>
      <c r="K85" s="373"/>
      <c r="L85" s="373"/>
      <c r="M85" s="373"/>
      <c r="P85" s="443"/>
    </row>
    <row r="86" spans="2:16" ht="15.75" thickBot="1">
      <c r="B86" s="1352" t="s">
        <v>169</v>
      </c>
      <c r="C86" s="1353">
        <v>8222147156</v>
      </c>
      <c r="D86" s="1354"/>
      <c r="P86" s="443"/>
    </row>
    <row r="87" spans="2:16" ht="15">
      <c r="B87" s="1085"/>
      <c r="C87" s="345"/>
      <c r="D87" s="654"/>
      <c r="L87" s="465" t="s">
        <v>63</v>
      </c>
      <c r="M87" s="646">
        <f>O38+O50+O61+O72+S83</f>
        <v>623713.2</v>
      </c>
      <c r="P87" s="443"/>
    </row>
    <row r="88" spans="2:16" ht="15.75" thickBot="1">
      <c r="B88" s="1085"/>
      <c r="C88" s="345"/>
      <c r="D88" s="654"/>
      <c r="P88" s="443"/>
    </row>
    <row r="89" spans="2:15" ht="46.5" customHeight="1">
      <c r="B89" s="374"/>
      <c r="C89" s="374"/>
      <c r="D89" s="654"/>
      <c r="K89" s="1621" t="s">
        <v>60</v>
      </c>
      <c r="L89" s="1623" t="s">
        <v>675</v>
      </c>
      <c r="M89" s="1624"/>
      <c r="N89" s="1625"/>
      <c r="O89" s="1626" t="s">
        <v>61</v>
      </c>
    </row>
    <row r="90" spans="2:15" ht="24.75" customHeight="1" thickBot="1">
      <c r="B90" s="374"/>
      <c r="C90" s="374"/>
      <c r="D90" s="705"/>
      <c r="K90" s="1622"/>
      <c r="L90" s="282" t="s">
        <v>62</v>
      </c>
      <c r="M90" s="282" t="s">
        <v>670</v>
      </c>
      <c r="N90" s="282" t="s">
        <v>671</v>
      </c>
      <c r="O90" s="1627"/>
    </row>
    <row r="91" spans="11:15" ht="23.25" customHeight="1">
      <c r="K91" s="298" t="s">
        <v>747</v>
      </c>
      <c r="L91" s="703">
        <f>O24</f>
        <v>28</v>
      </c>
      <c r="M91" s="704"/>
      <c r="N91" s="704"/>
      <c r="O91" s="388">
        <v>1</v>
      </c>
    </row>
    <row r="92" spans="11:15" ht="23.25" customHeight="1">
      <c r="K92" s="183" t="s">
        <v>750</v>
      </c>
      <c r="L92" s="213">
        <f>O32</f>
        <v>126501</v>
      </c>
      <c r="M92" s="176"/>
      <c r="N92" s="176"/>
      <c r="O92" s="213">
        <v>1</v>
      </c>
    </row>
    <row r="93" spans="11:15" ht="23.25" customHeight="1">
      <c r="K93" s="183" t="s">
        <v>29</v>
      </c>
      <c r="L93" s="213">
        <f>O20+O33+O34+O35+O36</f>
        <v>11320</v>
      </c>
      <c r="M93" s="176"/>
      <c r="N93" s="176"/>
      <c r="O93" s="213">
        <v>5</v>
      </c>
    </row>
    <row r="94" spans="11:15" ht="23.25" customHeight="1">
      <c r="K94" s="234" t="s">
        <v>67</v>
      </c>
      <c r="L94" s="176"/>
      <c r="M94" s="213">
        <f>M18+M19+M21+M22+M23+M25+M26+M27+M28+M29+M30+M37+M71+Q82</f>
        <v>45861</v>
      </c>
      <c r="N94" s="213">
        <f>N18+N19+N21+N22+N23+N25+N26+N27+N28+N29+N30+N37+N71+R82</f>
        <v>118707</v>
      </c>
      <c r="O94" s="213">
        <v>14</v>
      </c>
    </row>
    <row r="95" spans="11:15" ht="23.25" customHeight="1" thickBot="1">
      <c r="K95" s="234" t="s">
        <v>72</v>
      </c>
      <c r="L95" s="174"/>
      <c r="M95" s="208">
        <f>M31+M49+M60</f>
        <v>107064.29999999997</v>
      </c>
      <c r="N95" s="208">
        <f>N31+N49+N60</f>
        <v>214231.89999999997</v>
      </c>
      <c r="O95" s="208">
        <v>3</v>
      </c>
    </row>
    <row r="96" spans="11:15" ht="23.25" customHeight="1" thickBot="1">
      <c r="K96" s="353" t="s">
        <v>63</v>
      </c>
      <c r="L96" s="299">
        <f>SUM(L91:L95)</f>
        <v>137849</v>
      </c>
      <c r="M96" s="300">
        <f>SUM(M91:M95)</f>
        <v>152925.3</v>
      </c>
      <c r="N96" s="177">
        <f>SUM(N91:N95)</f>
        <v>332938.89999999997</v>
      </c>
      <c r="O96" s="689">
        <f>SUM(O91:O95)</f>
        <v>24</v>
      </c>
    </row>
    <row r="97" spans="11:15" ht="23.25" customHeight="1" thickBot="1">
      <c r="K97" s="1"/>
      <c r="L97" s="127" t="s">
        <v>64</v>
      </c>
      <c r="M97" s="681">
        <f>SUM(L96:N96)</f>
        <v>623713.2</v>
      </c>
      <c r="N97" s="33"/>
      <c r="O97" s="33"/>
    </row>
    <row r="98" spans="12:16" ht="18">
      <c r="L98" s="1"/>
      <c r="M98" s="127"/>
      <c r="N98" s="706"/>
      <c r="O98" s="33"/>
      <c r="P98" s="33"/>
    </row>
  </sheetData>
  <sheetProtection/>
  <mergeCells count="81">
    <mergeCell ref="A15:A17"/>
    <mergeCell ref="C15:C17"/>
    <mergeCell ref="D15:D17"/>
    <mergeCell ref="O89:O90"/>
    <mergeCell ref="G15:G17"/>
    <mergeCell ref="H15:H17"/>
    <mergeCell ref="L16:O16"/>
    <mergeCell ref="E15:E17"/>
    <mergeCell ref="F15:F17"/>
    <mergeCell ref="J15:J17"/>
    <mergeCell ref="K89:K90"/>
    <mergeCell ref="I15:I17"/>
    <mergeCell ref="L15:O15"/>
    <mergeCell ref="K15:K17"/>
    <mergeCell ref="B1:I1"/>
    <mergeCell ref="B5:J5"/>
    <mergeCell ref="B3:J3"/>
    <mergeCell ref="B15:B17"/>
    <mergeCell ref="L89:N89"/>
    <mergeCell ref="G79:G81"/>
    <mergeCell ref="A79:A81"/>
    <mergeCell ref="B79:B81"/>
    <mergeCell ref="C79:C81"/>
    <mergeCell ref="D79:D81"/>
    <mergeCell ref="E79:E81"/>
    <mergeCell ref="F79:F81"/>
    <mergeCell ref="H79:H81"/>
    <mergeCell ref="I79:I81"/>
    <mergeCell ref="J79:J81"/>
    <mergeCell ref="K79:K81"/>
    <mergeCell ref="L79:O79"/>
    <mergeCell ref="P79:S79"/>
    <mergeCell ref="T79:T81"/>
    <mergeCell ref="U79:U81"/>
    <mergeCell ref="L80:L81"/>
    <mergeCell ref="M80:M81"/>
    <mergeCell ref="N80:N81"/>
    <mergeCell ref="O80:O81"/>
    <mergeCell ref="P80:P81"/>
    <mergeCell ref="Q80:Q81"/>
    <mergeCell ref="R80:R81"/>
    <mergeCell ref="S80:S81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O46"/>
    <mergeCell ref="L47:O47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O57"/>
    <mergeCell ref="L58:O58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O68"/>
    <mergeCell ref="L69:O69"/>
  </mergeCells>
  <printOptions/>
  <pageMargins left="0.7" right="0.7" top="0.75" bottom="0.75" header="0.3" footer="0.3"/>
  <pageSetup orientation="portrait" paperSize="9" r:id="rId1"/>
  <ignoredErrors>
    <ignoredError sqref="O20 O24 O3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6"/>
  <sheetViews>
    <sheetView zoomScale="70" zoomScaleNormal="70" zoomScalePageLayoutView="0" workbookViewId="0" topLeftCell="A1">
      <selection activeCell="M77" sqref="M77"/>
    </sheetView>
  </sheetViews>
  <sheetFormatPr defaultColWidth="8.796875" defaultRowHeight="14.25"/>
  <cols>
    <col min="1" max="1" width="14.3984375" style="316" customWidth="1"/>
    <col min="2" max="2" width="17.09765625" style="316" customWidth="1"/>
    <col min="3" max="3" width="18.69921875" style="316" customWidth="1"/>
    <col min="4" max="4" width="15" style="316" customWidth="1"/>
    <col min="5" max="5" width="12.59765625" style="316" customWidth="1"/>
    <col min="6" max="6" width="9.09765625" style="316" customWidth="1"/>
    <col min="7" max="7" width="16.19921875" style="316" customWidth="1"/>
    <col min="8" max="8" width="25.19921875" style="316" customWidth="1"/>
    <col min="9" max="9" width="27.3984375" style="316" customWidth="1"/>
    <col min="10" max="10" width="16" style="316" customWidth="1"/>
    <col min="11" max="11" width="15.59765625" style="316" customWidth="1"/>
    <col min="12" max="12" width="14.8984375" style="316" customWidth="1"/>
    <col min="13" max="13" width="16.3984375" style="316" customWidth="1"/>
    <col min="14" max="14" width="17" style="316" customWidth="1"/>
    <col min="15" max="15" width="15.8984375" style="316" customWidth="1"/>
    <col min="16" max="16" width="16.5" style="316" customWidth="1"/>
    <col min="17" max="17" width="12.09765625" style="316" customWidth="1"/>
    <col min="18" max="18" width="14.8984375" style="316" customWidth="1"/>
    <col min="19" max="19" width="16.3984375" style="316" customWidth="1"/>
    <col min="20" max="20" width="22.09765625" style="316" customWidth="1"/>
    <col min="21" max="21" width="21.09765625" style="316" customWidth="1"/>
    <col min="22" max="16384" width="9" style="316" customWidth="1"/>
  </cols>
  <sheetData>
    <row r="1" spans="2:9" ht="18">
      <c r="B1" s="1609" t="s">
        <v>1231</v>
      </c>
      <c r="C1" s="1609"/>
      <c r="D1" s="1609"/>
      <c r="E1" s="1609"/>
      <c r="F1" s="1609"/>
      <c r="G1" s="1609"/>
      <c r="H1" s="1609"/>
      <c r="I1" s="1609"/>
    </row>
    <row r="3" spans="2:10" ht="29.25" customHeight="1">
      <c r="B3" s="1642" t="s">
        <v>1579</v>
      </c>
      <c r="C3" s="1643"/>
      <c r="D3" s="1643"/>
      <c r="E3" s="1643"/>
      <c r="F3" s="1643"/>
      <c r="G3" s="1643"/>
      <c r="H3" s="1643"/>
      <c r="I3" s="1643"/>
      <c r="J3" s="1644"/>
    </row>
    <row r="4" spans="1:16" ht="15">
      <c r="A4" s="1"/>
      <c r="B4" s="884"/>
      <c r="C4" s="884"/>
      <c r="D4" s="884"/>
      <c r="E4" s="884"/>
      <c r="F4" s="884"/>
      <c r="G4" s="884"/>
      <c r="H4" s="884"/>
      <c r="I4" s="884"/>
      <c r="J4" s="884"/>
      <c r="L4" s="1"/>
      <c r="M4" s="1"/>
      <c r="N4" s="1"/>
      <c r="O4" s="1"/>
      <c r="P4" s="1"/>
    </row>
    <row r="5" spans="1:16" ht="22.5" customHeight="1">
      <c r="A5" s="1"/>
      <c r="B5" s="1675" t="s">
        <v>1103</v>
      </c>
      <c r="C5" s="1676"/>
      <c r="D5" s="1676"/>
      <c r="E5" s="1676"/>
      <c r="F5" s="1676"/>
      <c r="G5" s="1676"/>
      <c r="H5" s="1676"/>
      <c r="I5" s="1676"/>
      <c r="J5" s="1677"/>
      <c r="L5" s="1"/>
      <c r="M5" s="1"/>
      <c r="N5" s="1"/>
      <c r="O5" s="1"/>
      <c r="P5" s="1"/>
    </row>
    <row r="6" spans="1:16" ht="15">
      <c r="A6" s="1"/>
      <c r="B6" s="487"/>
      <c r="C6" s="487"/>
      <c r="D6" s="487"/>
      <c r="E6" s="487"/>
      <c r="F6" s="487"/>
      <c r="G6" s="487"/>
      <c r="H6" s="487"/>
      <c r="I6" s="490"/>
      <c r="J6" s="489"/>
      <c r="L6" s="1"/>
      <c r="M6" s="1"/>
      <c r="N6" s="1"/>
      <c r="O6" s="1"/>
      <c r="P6" s="1"/>
    </row>
    <row r="7" spans="1:16" ht="15.75">
      <c r="A7" s="1"/>
      <c r="B7" s="488" t="s">
        <v>1</v>
      </c>
      <c r="C7" s="487"/>
      <c r="D7" s="487"/>
      <c r="E7" s="487"/>
      <c r="F7" s="489"/>
      <c r="G7" s="487"/>
      <c r="H7" s="487"/>
      <c r="I7" s="490"/>
      <c r="J7" s="489"/>
      <c r="L7" s="1"/>
      <c r="M7" s="1"/>
      <c r="N7" s="1"/>
      <c r="O7" s="1"/>
      <c r="P7" s="1"/>
    </row>
    <row r="8" spans="1:16" ht="20.25">
      <c r="A8" s="1"/>
      <c r="B8" s="1389" t="s">
        <v>1833</v>
      </c>
      <c r="C8" s="487"/>
      <c r="D8" s="487"/>
      <c r="E8" s="487"/>
      <c r="F8" s="489"/>
      <c r="G8" s="487"/>
      <c r="H8" s="487"/>
      <c r="I8" s="490"/>
      <c r="J8" s="489"/>
      <c r="K8" s="278"/>
      <c r="L8" s="1"/>
      <c r="M8" s="1"/>
      <c r="N8" s="1"/>
      <c r="O8" s="1"/>
      <c r="P8" s="1"/>
    </row>
    <row r="9" spans="1:16" ht="15.75">
      <c r="A9" s="1"/>
      <c r="B9" s="491" t="s">
        <v>1396</v>
      </c>
      <c r="C9" s="489"/>
      <c r="D9" s="492"/>
      <c r="E9" s="487"/>
      <c r="F9" s="487"/>
      <c r="G9" s="489"/>
      <c r="H9" s="489"/>
      <c r="I9" s="490"/>
      <c r="J9" s="489"/>
      <c r="K9" s="1"/>
      <c r="L9" s="1"/>
      <c r="M9" s="1"/>
      <c r="N9" s="1"/>
      <c r="O9" s="1"/>
      <c r="P9" s="1"/>
    </row>
    <row r="10" spans="1:16" ht="15.75">
      <c r="A10" s="1"/>
      <c r="B10" s="491" t="s">
        <v>1096</v>
      </c>
      <c r="C10" s="489"/>
      <c r="D10" s="492"/>
      <c r="E10" s="487"/>
      <c r="F10" s="487"/>
      <c r="G10" s="489"/>
      <c r="H10" s="489"/>
      <c r="I10" s="490"/>
      <c r="J10" s="489"/>
      <c r="K10" s="1"/>
      <c r="L10" s="1"/>
      <c r="M10" s="1"/>
      <c r="N10" s="1"/>
      <c r="O10" s="1"/>
      <c r="P10" s="1"/>
    </row>
    <row r="11" spans="1:16" ht="15">
      <c r="A11" s="1"/>
      <c r="B11" s="489" t="s">
        <v>727</v>
      </c>
      <c r="C11" s="489"/>
      <c r="D11" s="489"/>
      <c r="E11" s="489"/>
      <c r="F11" s="489"/>
      <c r="G11" s="489"/>
      <c r="H11" s="489"/>
      <c r="I11" s="490"/>
      <c r="J11" s="489"/>
      <c r="K11" s="1"/>
      <c r="L11" s="1"/>
      <c r="M11" s="1"/>
      <c r="N11" s="1"/>
      <c r="O11" s="1"/>
      <c r="P11" s="1"/>
    </row>
    <row r="12" spans="1:16" ht="18">
      <c r="A12" s="1"/>
      <c r="B12" s="493" t="s">
        <v>3</v>
      </c>
      <c r="C12" s="494" t="s">
        <v>4</v>
      </c>
      <c r="D12" s="492"/>
      <c r="E12" s="495"/>
      <c r="F12" s="489"/>
      <c r="G12" s="489"/>
      <c r="H12" s="489"/>
      <c r="I12" s="489"/>
      <c r="J12" s="489"/>
      <c r="K12" s="63"/>
      <c r="L12" s="1"/>
      <c r="M12" s="1"/>
      <c r="N12" s="1"/>
      <c r="O12" s="1"/>
      <c r="P12" s="1"/>
    </row>
    <row r="13" spans="1:16" ht="18.75" thickBot="1">
      <c r="A13" s="1"/>
      <c r="B13" s="493"/>
      <c r="C13" s="494"/>
      <c r="D13" s="492"/>
      <c r="E13" s="495"/>
      <c r="F13" s="489"/>
      <c r="G13" s="489"/>
      <c r="H13" s="489"/>
      <c r="I13" s="489"/>
      <c r="J13" s="489"/>
      <c r="K13" s="63"/>
      <c r="L13" s="1"/>
      <c r="M13" s="1"/>
      <c r="N13" s="1"/>
      <c r="O13" s="1"/>
      <c r="P13" s="1"/>
    </row>
    <row r="14" spans="1:16" ht="48.75" customHeight="1">
      <c r="A14" s="1726" t="s">
        <v>7</v>
      </c>
      <c r="B14" s="1711" t="s">
        <v>664</v>
      </c>
      <c r="C14" s="1711" t="s">
        <v>9</v>
      </c>
      <c r="D14" s="1711" t="s">
        <v>10</v>
      </c>
      <c r="E14" s="1729" t="s">
        <v>665</v>
      </c>
      <c r="F14" s="1729" t="s">
        <v>12</v>
      </c>
      <c r="G14" s="1711" t="s">
        <v>13</v>
      </c>
      <c r="H14" s="1714" t="s">
        <v>14</v>
      </c>
      <c r="I14" s="1714" t="s">
        <v>282</v>
      </c>
      <c r="J14" s="1714" t="s">
        <v>60</v>
      </c>
      <c r="K14" s="1717" t="s">
        <v>666</v>
      </c>
      <c r="L14" s="1720" t="s">
        <v>667</v>
      </c>
      <c r="M14" s="1721"/>
      <c r="N14" s="1721"/>
      <c r="O14" s="1722"/>
      <c r="P14" s="1"/>
    </row>
    <row r="15" spans="1:16" ht="34.5" customHeight="1">
      <c r="A15" s="1727"/>
      <c r="B15" s="1712"/>
      <c r="C15" s="1712"/>
      <c r="D15" s="1712"/>
      <c r="E15" s="1730"/>
      <c r="F15" s="1730"/>
      <c r="G15" s="1712"/>
      <c r="H15" s="1715"/>
      <c r="I15" s="1715"/>
      <c r="J15" s="1715"/>
      <c r="K15" s="1718"/>
      <c r="L15" s="1723" t="s">
        <v>668</v>
      </c>
      <c r="M15" s="1724"/>
      <c r="N15" s="1724"/>
      <c r="O15" s="1725"/>
      <c r="P15" s="1"/>
    </row>
    <row r="16" spans="1:16" ht="34.5" customHeight="1" thickBot="1">
      <c r="A16" s="1728"/>
      <c r="B16" s="1713"/>
      <c r="C16" s="1713"/>
      <c r="D16" s="1713"/>
      <c r="E16" s="1731"/>
      <c r="F16" s="1731"/>
      <c r="G16" s="1713"/>
      <c r="H16" s="1716"/>
      <c r="I16" s="1716"/>
      <c r="J16" s="1716"/>
      <c r="K16" s="1719"/>
      <c r="L16" s="1082" t="s">
        <v>669</v>
      </c>
      <c r="M16" s="1083" t="s">
        <v>670</v>
      </c>
      <c r="N16" s="1083" t="s">
        <v>671</v>
      </c>
      <c r="O16" s="1084" t="s">
        <v>17</v>
      </c>
      <c r="P16" s="1"/>
    </row>
    <row r="17" spans="1:16" ht="30" customHeight="1">
      <c r="A17" s="1074" t="s">
        <v>27</v>
      </c>
      <c r="B17" s="1075" t="s">
        <v>241</v>
      </c>
      <c r="C17" s="1075" t="s">
        <v>508</v>
      </c>
      <c r="D17" s="1076"/>
      <c r="E17" s="1075"/>
      <c r="F17" s="1075" t="s">
        <v>1580</v>
      </c>
      <c r="G17" s="1075" t="s">
        <v>1581</v>
      </c>
      <c r="H17" s="1071" t="s">
        <v>1607</v>
      </c>
      <c r="I17" s="1077">
        <v>11507495</v>
      </c>
      <c r="J17" s="552" t="s">
        <v>29</v>
      </c>
      <c r="K17" s="425">
        <v>6</v>
      </c>
      <c r="L17" s="275">
        <f>461-368</f>
        <v>93</v>
      </c>
      <c r="M17" s="1080"/>
      <c r="N17" s="1080"/>
      <c r="O17" s="1081">
        <f>L17</f>
        <v>93</v>
      </c>
      <c r="P17" s="1"/>
    </row>
    <row r="18" spans="1:16" ht="30" customHeight="1">
      <c r="A18" s="1074" t="s">
        <v>27</v>
      </c>
      <c r="B18" s="1075"/>
      <c r="C18" s="377" t="s">
        <v>1582</v>
      </c>
      <c r="D18" s="453"/>
      <c r="E18" s="377" t="s">
        <v>894</v>
      </c>
      <c r="F18" s="1075" t="s">
        <v>1580</v>
      </c>
      <c r="G18" s="1075" t="s">
        <v>1581</v>
      </c>
      <c r="H18" s="1071" t="s">
        <v>1608</v>
      </c>
      <c r="I18" s="386">
        <v>15170170</v>
      </c>
      <c r="J18" s="505" t="s">
        <v>29</v>
      </c>
      <c r="K18" s="92">
        <v>1</v>
      </c>
      <c r="L18" s="34">
        <f>28397-27009</f>
        <v>1388</v>
      </c>
      <c r="M18" s="176"/>
      <c r="N18" s="176"/>
      <c r="O18" s="213">
        <f aca="true" t="shared" si="0" ref="O18:O72">L18</f>
        <v>1388</v>
      </c>
      <c r="P18" s="1"/>
    </row>
    <row r="19" spans="1:16" ht="30" customHeight="1">
      <c r="A19" s="1074" t="s">
        <v>27</v>
      </c>
      <c r="B19" s="1075"/>
      <c r="C19" s="377" t="s">
        <v>1583</v>
      </c>
      <c r="D19" s="453"/>
      <c r="E19" s="377"/>
      <c r="F19" s="1075" t="s">
        <v>1580</v>
      </c>
      <c r="G19" s="1075" t="s">
        <v>1581</v>
      </c>
      <c r="H19" s="1071" t="s">
        <v>1609</v>
      </c>
      <c r="I19" s="386">
        <v>7541524</v>
      </c>
      <c r="J19" s="505" t="s">
        <v>29</v>
      </c>
      <c r="K19" s="92">
        <v>6</v>
      </c>
      <c r="L19" s="34">
        <f>30-9</f>
        <v>21</v>
      </c>
      <c r="M19" s="176"/>
      <c r="N19" s="176"/>
      <c r="O19" s="213">
        <f t="shared" si="0"/>
        <v>21</v>
      </c>
      <c r="P19" s="1"/>
    </row>
    <row r="20" spans="1:16" ht="30" customHeight="1">
      <c r="A20" s="1074" t="s">
        <v>27</v>
      </c>
      <c r="B20" s="1075" t="s">
        <v>197</v>
      </c>
      <c r="C20" s="377" t="s">
        <v>1584</v>
      </c>
      <c r="D20" s="453"/>
      <c r="E20" s="377"/>
      <c r="F20" s="1075" t="s">
        <v>1580</v>
      </c>
      <c r="G20" s="1075" t="s">
        <v>1581</v>
      </c>
      <c r="H20" s="1071" t="s">
        <v>1610</v>
      </c>
      <c r="I20" s="386">
        <v>90265692</v>
      </c>
      <c r="J20" s="505" t="s">
        <v>29</v>
      </c>
      <c r="K20" s="92">
        <v>13</v>
      </c>
      <c r="L20" s="34">
        <f>146*12</f>
        <v>1752</v>
      </c>
      <c r="M20" s="176"/>
      <c r="N20" s="176"/>
      <c r="O20" s="213">
        <f t="shared" si="0"/>
        <v>1752</v>
      </c>
      <c r="P20" s="1"/>
    </row>
    <row r="21" spans="1:16" ht="30" customHeight="1">
      <c r="A21" s="1074" t="s">
        <v>27</v>
      </c>
      <c r="B21" s="1075" t="s">
        <v>241</v>
      </c>
      <c r="C21" s="377" t="s">
        <v>1585</v>
      </c>
      <c r="D21" s="453"/>
      <c r="E21" s="377"/>
      <c r="F21" s="1075" t="s">
        <v>1580</v>
      </c>
      <c r="G21" s="1075" t="s">
        <v>1581</v>
      </c>
      <c r="H21" s="1071" t="s">
        <v>1611</v>
      </c>
      <c r="I21" s="386">
        <v>11684311</v>
      </c>
      <c r="J21" s="505" t="s">
        <v>29</v>
      </c>
      <c r="K21" s="92">
        <v>10.5</v>
      </c>
      <c r="L21" s="34">
        <f>29120-17763</f>
        <v>11357</v>
      </c>
      <c r="M21" s="176"/>
      <c r="N21" s="176"/>
      <c r="O21" s="213">
        <f t="shared" si="0"/>
        <v>11357</v>
      </c>
      <c r="P21" s="1"/>
    </row>
    <row r="22" spans="1:16" ht="30" customHeight="1">
      <c r="A22" s="1074" t="s">
        <v>27</v>
      </c>
      <c r="B22" s="1075" t="s">
        <v>197</v>
      </c>
      <c r="C22" s="377" t="s">
        <v>1581</v>
      </c>
      <c r="D22" s="453" t="s">
        <v>1586</v>
      </c>
      <c r="E22" s="377"/>
      <c r="F22" s="1075" t="s">
        <v>1580</v>
      </c>
      <c r="G22" s="1075" t="s">
        <v>1581</v>
      </c>
      <c r="H22" s="1071" t="s">
        <v>1612</v>
      </c>
      <c r="I22" s="386">
        <v>119163</v>
      </c>
      <c r="J22" s="505" t="s">
        <v>29</v>
      </c>
      <c r="K22" s="92">
        <v>25</v>
      </c>
      <c r="L22" s="34">
        <f>54026-31251</f>
        <v>22775</v>
      </c>
      <c r="M22" s="176"/>
      <c r="N22" s="176"/>
      <c r="O22" s="213">
        <f t="shared" si="0"/>
        <v>22775</v>
      </c>
      <c r="P22" s="1"/>
    </row>
    <row r="23" spans="1:16" ht="30" customHeight="1">
      <c r="A23" s="1074" t="s">
        <v>27</v>
      </c>
      <c r="B23" s="1075"/>
      <c r="C23" s="377" t="s">
        <v>1581</v>
      </c>
      <c r="D23" s="453" t="s">
        <v>1613</v>
      </c>
      <c r="E23" s="377"/>
      <c r="F23" s="1075" t="s">
        <v>1580</v>
      </c>
      <c r="G23" s="1075" t="s">
        <v>1581</v>
      </c>
      <c r="H23" s="1071" t="s">
        <v>1614</v>
      </c>
      <c r="I23" s="386">
        <v>11211777</v>
      </c>
      <c r="J23" s="505" t="s">
        <v>29</v>
      </c>
      <c r="K23" s="92">
        <v>1.1</v>
      </c>
      <c r="L23" s="34">
        <f>395-360</f>
        <v>35</v>
      </c>
      <c r="M23" s="176"/>
      <c r="N23" s="176"/>
      <c r="O23" s="213">
        <f t="shared" si="0"/>
        <v>35</v>
      </c>
      <c r="P23" s="1"/>
    </row>
    <row r="24" spans="1:16" ht="30" customHeight="1">
      <c r="A24" s="1074" t="s">
        <v>27</v>
      </c>
      <c r="B24" s="1075" t="s">
        <v>1820</v>
      </c>
      <c r="C24" s="377" t="s">
        <v>1581</v>
      </c>
      <c r="D24" s="453" t="s">
        <v>1378</v>
      </c>
      <c r="E24" s="377" t="s">
        <v>1615</v>
      </c>
      <c r="F24" s="1075" t="s">
        <v>1580</v>
      </c>
      <c r="G24" s="1075" t="s">
        <v>1581</v>
      </c>
      <c r="H24" s="1071" t="s">
        <v>1616</v>
      </c>
      <c r="I24" s="386">
        <v>97993</v>
      </c>
      <c r="J24" s="505" t="s">
        <v>29</v>
      </c>
      <c r="K24" s="92">
        <v>16</v>
      </c>
      <c r="L24" s="34">
        <f>3650-3412</f>
        <v>238</v>
      </c>
      <c r="M24" s="176"/>
      <c r="N24" s="176"/>
      <c r="O24" s="213">
        <f t="shared" si="0"/>
        <v>238</v>
      </c>
      <c r="P24" s="1"/>
    </row>
    <row r="25" spans="1:16" ht="30" customHeight="1">
      <c r="A25" s="1074" t="s">
        <v>27</v>
      </c>
      <c r="B25" s="1075" t="s">
        <v>241</v>
      </c>
      <c r="C25" s="377" t="s">
        <v>1587</v>
      </c>
      <c r="D25" s="453"/>
      <c r="E25" s="377"/>
      <c r="F25" s="1075" t="s">
        <v>1580</v>
      </c>
      <c r="G25" s="1075" t="s">
        <v>1581</v>
      </c>
      <c r="H25" s="1071" t="s">
        <v>1617</v>
      </c>
      <c r="I25" s="386">
        <v>8436006</v>
      </c>
      <c r="J25" s="505" t="s">
        <v>29</v>
      </c>
      <c r="K25" s="92">
        <v>4.5</v>
      </c>
      <c r="L25" s="34">
        <f>19737-18445</f>
        <v>1292</v>
      </c>
      <c r="M25" s="176"/>
      <c r="N25" s="176"/>
      <c r="O25" s="213">
        <f t="shared" si="0"/>
        <v>1292</v>
      </c>
      <c r="P25" s="1"/>
    </row>
    <row r="26" spans="1:16" ht="30" customHeight="1">
      <c r="A26" s="1074" t="s">
        <v>27</v>
      </c>
      <c r="B26" s="1075" t="s">
        <v>1821</v>
      </c>
      <c r="C26" s="377" t="s">
        <v>1588</v>
      </c>
      <c r="D26" s="453"/>
      <c r="E26" s="377" t="s">
        <v>1455</v>
      </c>
      <c r="F26" s="1075" t="s">
        <v>1580</v>
      </c>
      <c r="G26" s="1075" t="s">
        <v>1581</v>
      </c>
      <c r="H26" s="1071" t="s">
        <v>1618</v>
      </c>
      <c r="I26" s="386">
        <v>34414</v>
      </c>
      <c r="J26" s="31" t="s">
        <v>747</v>
      </c>
      <c r="K26" s="92"/>
      <c r="L26" s="34">
        <f>5500-5500</f>
        <v>0</v>
      </c>
      <c r="M26" s="176"/>
      <c r="N26" s="176"/>
      <c r="O26" s="213">
        <f t="shared" si="0"/>
        <v>0</v>
      </c>
      <c r="P26" s="1"/>
    </row>
    <row r="27" spans="1:16" ht="30" customHeight="1">
      <c r="A27" s="1074" t="s">
        <v>27</v>
      </c>
      <c r="B27" s="1075" t="s">
        <v>241</v>
      </c>
      <c r="C27" s="377" t="s">
        <v>1619</v>
      </c>
      <c r="D27" s="453"/>
      <c r="E27" s="377"/>
      <c r="F27" s="1075" t="s">
        <v>1580</v>
      </c>
      <c r="G27" s="1075" t="s">
        <v>1581</v>
      </c>
      <c r="H27" s="1071" t="s">
        <v>1620</v>
      </c>
      <c r="I27" s="386">
        <v>9409759</v>
      </c>
      <c r="J27" s="505" t="s">
        <v>29</v>
      </c>
      <c r="K27" s="92">
        <v>4</v>
      </c>
      <c r="L27" s="34">
        <f>21420-16386</f>
        <v>5034</v>
      </c>
      <c r="M27" s="176"/>
      <c r="N27" s="176"/>
      <c r="O27" s="213">
        <f t="shared" si="0"/>
        <v>5034</v>
      </c>
      <c r="P27" s="1"/>
    </row>
    <row r="28" spans="1:16" ht="30" customHeight="1">
      <c r="A28" s="1074" t="s">
        <v>27</v>
      </c>
      <c r="B28" s="1075"/>
      <c r="C28" s="377" t="s">
        <v>1619</v>
      </c>
      <c r="D28" s="453"/>
      <c r="E28" s="377"/>
      <c r="F28" s="1075" t="s">
        <v>1580</v>
      </c>
      <c r="G28" s="1075" t="s">
        <v>1581</v>
      </c>
      <c r="H28" s="1071" t="s">
        <v>1621</v>
      </c>
      <c r="I28" s="386">
        <v>78240915</v>
      </c>
      <c r="J28" s="505" t="s">
        <v>29</v>
      </c>
      <c r="K28" s="92">
        <v>1.5</v>
      </c>
      <c r="L28" s="34">
        <f>95450-86850</f>
        <v>8600</v>
      </c>
      <c r="M28" s="176"/>
      <c r="N28" s="176"/>
      <c r="O28" s="213">
        <f t="shared" si="0"/>
        <v>8600</v>
      </c>
      <c r="P28" s="1"/>
    </row>
    <row r="29" spans="1:16" ht="30" customHeight="1">
      <c r="A29" s="1074" t="s">
        <v>27</v>
      </c>
      <c r="B29" s="1075" t="s">
        <v>241</v>
      </c>
      <c r="C29" s="377" t="s">
        <v>1588</v>
      </c>
      <c r="D29" s="453"/>
      <c r="E29" s="377"/>
      <c r="F29" s="1075" t="s">
        <v>1580</v>
      </c>
      <c r="G29" s="1075" t="s">
        <v>1581</v>
      </c>
      <c r="H29" s="1071" t="s">
        <v>1622</v>
      </c>
      <c r="I29" s="386">
        <v>8190936</v>
      </c>
      <c r="J29" s="505" t="s">
        <v>29</v>
      </c>
      <c r="K29" s="92">
        <v>5</v>
      </c>
      <c r="L29" s="34">
        <f>38447-24068</f>
        <v>14379</v>
      </c>
      <c r="M29" s="176"/>
      <c r="N29" s="176"/>
      <c r="O29" s="213">
        <f t="shared" si="0"/>
        <v>14379</v>
      </c>
      <c r="P29" s="1"/>
    </row>
    <row r="30" spans="1:16" ht="30" customHeight="1">
      <c r="A30" s="1074" t="s">
        <v>27</v>
      </c>
      <c r="B30" s="1075" t="s">
        <v>241</v>
      </c>
      <c r="C30" s="377" t="s">
        <v>1589</v>
      </c>
      <c r="D30" s="453"/>
      <c r="E30" s="377"/>
      <c r="F30" s="1075" t="s">
        <v>1580</v>
      </c>
      <c r="G30" s="1075" t="s">
        <v>1581</v>
      </c>
      <c r="H30" s="1071" t="s">
        <v>1623</v>
      </c>
      <c r="I30" s="386">
        <v>90904653</v>
      </c>
      <c r="J30" s="505" t="s">
        <v>29</v>
      </c>
      <c r="K30" s="92">
        <v>6</v>
      </c>
      <c r="L30" s="34">
        <f>1215-1215</f>
        <v>0</v>
      </c>
      <c r="M30" s="176"/>
      <c r="N30" s="176"/>
      <c r="O30" s="213">
        <f t="shared" si="0"/>
        <v>0</v>
      </c>
      <c r="P30" s="1"/>
    </row>
    <row r="31" spans="1:16" ht="30" customHeight="1">
      <c r="A31" s="1074" t="s">
        <v>27</v>
      </c>
      <c r="B31" s="1075" t="s">
        <v>197</v>
      </c>
      <c r="C31" s="377" t="s">
        <v>1590</v>
      </c>
      <c r="D31" s="453"/>
      <c r="E31" s="377"/>
      <c r="F31" s="1075" t="s">
        <v>1580</v>
      </c>
      <c r="G31" s="1075" t="s">
        <v>1581</v>
      </c>
      <c r="H31" s="1071" t="s">
        <v>1624</v>
      </c>
      <c r="I31" s="386">
        <v>11440445</v>
      </c>
      <c r="J31" s="505" t="s">
        <v>29</v>
      </c>
      <c r="K31" s="92">
        <v>4.5</v>
      </c>
      <c r="L31" s="34">
        <v>6000</v>
      </c>
      <c r="M31" s="176"/>
      <c r="N31" s="176"/>
      <c r="O31" s="213">
        <f t="shared" si="0"/>
        <v>6000</v>
      </c>
      <c r="P31" s="1"/>
    </row>
    <row r="32" spans="1:16" ht="30" customHeight="1">
      <c r="A32" s="1074" t="s">
        <v>27</v>
      </c>
      <c r="B32" s="1075" t="s">
        <v>197</v>
      </c>
      <c r="C32" s="377" t="s">
        <v>1591</v>
      </c>
      <c r="D32" s="453"/>
      <c r="E32" s="377"/>
      <c r="F32" s="1075" t="s">
        <v>1580</v>
      </c>
      <c r="G32" s="1075" t="s">
        <v>1581</v>
      </c>
      <c r="H32" s="1071" t="s">
        <v>1625</v>
      </c>
      <c r="I32" s="386">
        <v>8371824</v>
      </c>
      <c r="J32" s="505" t="s">
        <v>29</v>
      </c>
      <c r="K32" s="92">
        <v>6</v>
      </c>
      <c r="L32" s="34">
        <f>71931-62566</f>
        <v>9365</v>
      </c>
      <c r="M32" s="176"/>
      <c r="N32" s="176"/>
      <c r="O32" s="213">
        <f t="shared" si="0"/>
        <v>9365</v>
      </c>
      <c r="P32" s="1"/>
    </row>
    <row r="33" spans="1:16" ht="30" customHeight="1">
      <c r="A33" s="1074" t="s">
        <v>27</v>
      </c>
      <c r="B33" s="1075"/>
      <c r="C33" s="377" t="s">
        <v>1591</v>
      </c>
      <c r="D33" s="453"/>
      <c r="E33" s="377">
        <v>75</v>
      </c>
      <c r="F33" s="1075" t="s">
        <v>1580</v>
      </c>
      <c r="G33" s="1075" t="s">
        <v>1581</v>
      </c>
      <c r="H33" s="1071" t="s">
        <v>1626</v>
      </c>
      <c r="I33" s="481">
        <v>242143</v>
      </c>
      <c r="J33" s="505" t="s">
        <v>29</v>
      </c>
      <c r="K33" s="92">
        <v>3</v>
      </c>
      <c r="L33" s="34">
        <f>1980-900</f>
        <v>1080</v>
      </c>
      <c r="M33" s="176"/>
      <c r="N33" s="176"/>
      <c r="O33" s="213">
        <f t="shared" si="0"/>
        <v>1080</v>
      </c>
      <c r="P33" s="1"/>
    </row>
    <row r="34" spans="1:16" ht="30" customHeight="1">
      <c r="A34" s="1074" t="s">
        <v>27</v>
      </c>
      <c r="B34" s="1075" t="s">
        <v>241</v>
      </c>
      <c r="C34" s="377" t="s">
        <v>1592</v>
      </c>
      <c r="D34" s="453"/>
      <c r="E34" s="377"/>
      <c r="F34" s="1075" t="s">
        <v>1580</v>
      </c>
      <c r="G34" s="1075" t="s">
        <v>1581</v>
      </c>
      <c r="H34" s="1071" t="s">
        <v>1627</v>
      </c>
      <c r="I34" s="386">
        <v>242877</v>
      </c>
      <c r="J34" s="505" t="s">
        <v>29</v>
      </c>
      <c r="K34" s="92">
        <v>12</v>
      </c>
      <c r="L34" s="34">
        <f>5882-2012</f>
        <v>3870</v>
      </c>
      <c r="M34" s="176"/>
      <c r="N34" s="176"/>
      <c r="O34" s="213">
        <f t="shared" si="0"/>
        <v>3870</v>
      </c>
      <c r="P34" s="1"/>
    </row>
    <row r="35" spans="1:16" ht="30" customHeight="1">
      <c r="A35" s="1074" t="s">
        <v>27</v>
      </c>
      <c r="B35" s="1075"/>
      <c r="C35" s="377" t="s">
        <v>1581</v>
      </c>
      <c r="D35" s="453"/>
      <c r="E35" s="377"/>
      <c r="F35" s="1075" t="s">
        <v>1580</v>
      </c>
      <c r="G35" s="1075" t="s">
        <v>1581</v>
      </c>
      <c r="H35" s="1071" t="s">
        <v>1628</v>
      </c>
      <c r="I35" s="386">
        <v>13038301</v>
      </c>
      <c r="J35" s="505" t="s">
        <v>29</v>
      </c>
      <c r="K35" s="92">
        <v>1.1</v>
      </c>
      <c r="L35" s="34">
        <f>11545-10650</f>
        <v>895</v>
      </c>
      <c r="M35" s="176"/>
      <c r="N35" s="176"/>
      <c r="O35" s="213">
        <f t="shared" si="0"/>
        <v>895</v>
      </c>
      <c r="P35" s="1"/>
    </row>
    <row r="36" spans="1:16" ht="30" customHeight="1">
      <c r="A36" s="1074" t="s">
        <v>27</v>
      </c>
      <c r="B36" s="1075"/>
      <c r="C36" s="377" t="s">
        <v>1593</v>
      </c>
      <c r="D36" s="453"/>
      <c r="E36" s="377"/>
      <c r="F36" s="1075" t="s">
        <v>1580</v>
      </c>
      <c r="G36" s="1075" t="s">
        <v>1581</v>
      </c>
      <c r="H36" s="1071" t="s">
        <v>1629</v>
      </c>
      <c r="I36" s="386">
        <v>1487679</v>
      </c>
      <c r="J36" s="505" t="s">
        <v>29</v>
      </c>
      <c r="K36" s="92">
        <v>1</v>
      </c>
      <c r="L36" s="34">
        <f>0-0</f>
        <v>0</v>
      </c>
      <c r="M36" s="176"/>
      <c r="N36" s="176"/>
      <c r="O36" s="213">
        <f t="shared" si="0"/>
        <v>0</v>
      </c>
      <c r="P36" s="1"/>
    </row>
    <row r="37" spans="1:16" ht="30" customHeight="1">
      <c r="A37" s="1074" t="s">
        <v>27</v>
      </c>
      <c r="B37" s="1075" t="s">
        <v>197</v>
      </c>
      <c r="C37" s="377" t="s">
        <v>1594</v>
      </c>
      <c r="D37" s="453"/>
      <c r="E37" s="377"/>
      <c r="F37" s="1075" t="s">
        <v>1580</v>
      </c>
      <c r="G37" s="1075" t="s">
        <v>1581</v>
      </c>
      <c r="H37" s="1071" t="s">
        <v>1630</v>
      </c>
      <c r="I37" s="386">
        <v>5686908</v>
      </c>
      <c r="J37" s="505" t="s">
        <v>29</v>
      </c>
      <c r="K37" s="92">
        <v>5.5</v>
      </c>
      <c r="L37" s="34">
        <f>41458-33930</f>
        <v>7528</v>
      </c>
      <c r="M37" s="176"/>
      <c r="N37" s="176"/>
      <c r="O37" s="213">
        <f t="shared" si="0"/>
        <v>7528</v>
      </c>
      <c r="P37" s="1"/>
    </row>
    <row r="38" spans="1:16" ht="30" customHeight="1">
      <c r="A38" s="1074" t="s">
        <v>27</v>
      </c>
      <c r="B38" s="1075"/>
      <c r="C38" s="377" t="s">
        <v>1581</v>
      </c>
      <c r="D38" s="453" t="s">
        <v>262</v>
      </c>
      <c r="E38" s="377"/>
      <c r="F38" s="1075" t="s">
        <v>1580</v>
      </c>
      <c r="G38" s="1075" t="s">
        <v>1581</v>
      </c>
      <c r="H38" s="1071" t="s">
        <v>1631</v>
      </c>
      <c r="I38" s="386">
        <v>12711400</v>
      </c>
      <c r="J38" s="505" t="s">
        <v>29</v>
      </c>
      <c r="K38" s="92">
        <v>1.1</v>
      </c>
      <c r="L38" s="34">
        <f>2574-2511</f>
        <v>63</v>
      </c>
      <c r="M38" s="176"/>
      <c r="N38" s="176"/>
      <c r="O38" s="213">
        <f t="shared" si="0"/>
        <v>63</v>
      </c>
      <c r="P38" s="1"/>
    </row>
    <row r="39" spans="1:16" ht="30" customHeight="1">
      <c r="A39" s="1074" t="s">
        <v>27</v>
      </c>
      <c r="B39" s="1075"/>
      <c r="C39" s="377" t="s">
        <v>1581</v>
      </c>
      <c r="D39" s="453" t="s">
        <v>1632</v>
      </c>
      <c r="E39" s="377">
        <v>1</v>
      </c>
      <c r="F39" s="1075" t="s">
        <v>1580</v>
      </c>
      <c r="G39" s="1075" t="s">
        <v>1581</v>
      </c>
      <c r="H39" s="1071" t="s">
        <v>1633</v>
      </c>
      <c r="I39" s="386">
        <v>7979576</v>
      </c>
      <c r="J39" s="505" t="s">
        <v>29</v>
      </c>
      <c r="K39" s="92">
        <v>1.1</v>
      </c>
      <c r="L39" s="34">
        <f>1275-792</f>
        <v>483</v>
      </c>
      <c r="M39" s="176"/>
      <c r="N39" s="176"/>
      <c r="O39" s="213">
        <f t="shared" si="0"/>
        <v>483</v>
      </c>
      <c r="P39" s="1"/>
    </row>
    <row r="40" spans="1:16" ht="30" customHeight="1">
      <c r="A40" s="1074" t="s">
        <v>27</v>
      </c>
      <c r="B40" s="1075" t="s">
        <v>239</v>
      </c>
      <c r="C40" s="377" t="s">
        <v>1581</v>
      </c>
      <c r="D40" s="453" t="s">
        <v>1378</v>
      </c>
      <c r="E40" s="377"/>
      <c r="F40" s="1075" t="s">
        <v>1580</v>
      </c>
      <c r="G40" s="1075" t="s">
        <v>1581</v>
      </c>
      <c r="H40" s="1071" t="s">
        <v>1634</v>
      </c>
      <c r="I40" s="386">
        <v>11601462</v>
      </c>
      <c r="J40" s="505" t="s">
        <v>29</v>
      </c>
      <c r="K40" s="92">
        <v>16</v>
      </c>
      <c r="L40" s="34">
        <f>102689-92440</f>
        <v>10249</v>
      </c>
      <c r="M40" s="176"/>
      <c r="N40" s="176"/>
      <c r="O40" s="213">
        <f t="shared" si="0"/>
        <v>10249</v>
      </c>
      <c r="P40" s="1"/>
    </row>
    <row r="41" spans="1:16" ht="30" customHeight="1">
      <c r="A41" s="1074" t="s">
        <v>27</v>
      </c>
      <c r="B41" s="1075" t="s">
        <v>1821</v>
      </c>
      <c r="C41" s="377" t="s">
        <v>1581</v>
      </c>
      <c r="D41" s="453" t="s">
        <v>1378</v>
      </c>
      <c r="E41" s="377">
        <v>9</v>
      </c>
      <c r="F41" s="1075" t="s">
        <v>1580</v>
      </c>
      <c r="G41" s="1075" t="s">
        <v>1581</v>
      </c>
      <c r="H41" s="1071" t="s">
        <v>1635</v>
      </c>
      <c r="I41" s="386">
        <v>24768</v>
      </c>
      <c r="J41" s="505" t="s">
        <v>29</v>
      </c>
      <c r="K41" s="92">
        <v>2</v>
      </c>
      <c r="L41" s="34">
        <f>23446-21845</f>
        <v>1601</v>
      </c>
      <c r="M41" s="176"/>
      <c r="N41" s="176"/>
      <c r="O41" s="213">
        <f t="shared" si="0"/>
        <v>1601</v>
      </c>
      <c r="P41" s="1"/>
    </row>
    <row r="42" spans="1:16" ht="30" customHeight="1">
      <c r="A42" s="1074" t="s">
        <v>27</v>
      </c>
      <c r="B42" s="1075" t="s">
        <v>1822</v>
      </c>
      <c r="C42" s="377" t="s">
        <v>1581</v>
      </c>
      <c r="D42" s="453" t="s">
        <v>333</v>
      </c>
      <c r="E42" s="377">
        <v>4</v>
      </c>
      <c r="F42" s="1075" t="s">
        <v>1580</v>
      </c>
      <c r="G42" s="1075" t="s">
        <v>1581</v>
      </c>
      <c r="H42" s="1071" t="s">
        <v>1636</v>
      </c>
      <c r="I42" s="386">
        <v>71896370</v>
      </c>
      <c r="J42" s="389" t="s">
        <v>67</v>
      </c>
      <c r="K42" s="92">
        <v>12.5</v>
      </c>
      <c r="L42" s="176"/>
      <c r="M42" s="317">
        <f>6498-3178</f>
        <v>3320</v>
      </c>
      <c r="N42" s="175">
        <f>17863-8362</f>
        <v>9501</v>
      </c>
      <c r="O42" s="213">
        <f>M42+N42</f>
        <v>12821</v>
      </c>
      <c r="P42" s="1"/>
    </row>
    <row r="43" spans="1:16" ht="30" customHeight="1">
      <c r="A43" s="1074" t="s">
        <v>27</v>
      </c>
      <c r="B43" s="1075" t="s">
        <v>1821</v>
      </c>
      <c r="C43" s="377" t="s">
        <v>1581</v>
      </c>
      <c r="D43" s="453" t="s">
        <v>496</v>
      </c>
      <c r="E43" s="377">
        <v>10</v>
      </c>
      <c r="F43" s="1075" t="s">
        <v>1580</v>
      </c>
      <c r="G43" s="1075" t="s">
        <v>1581</v>
      </c>
      <c r="H43" s="1071" t="s">
        <v>1637</v>
      </c>
      <c r="I43" s="386">
        <v>24852395</v>
      </c>
      <c r="J43" s="505" t="s">
        <v>29</v>
      </c>
      <c r="K43" s="92">
        <v>2</v>
      </c>
      <c r="L43" s="34">
        <f>2-2</f>
        <v>0</v>
      </c>
      <c r="M43" s="176"/>
      <c r="N43" s="176"/>
      <c r="O43" s="213">
        <f t="shared" si="0"/>
        <v>0</v>
      </c>
      <c r="P43" s="1"/>
    </row>
    <row r="44" spans="1:16" ht="30" customHeight="1">
      <c r="A44" s="1074" t="s">
        <v>27</v>
      </c>
      <c r="B44" s="1075" t="s">
        <v>239</v>
      </c>
      <c r="C44" s="377" t="s">
        <v>1581</v>
      </c>
      <c r="D44" s="617" t="s">
        <v>1378</v>
      </c>
      <c r="E44" s="377" t="s">
        <v>1638</v>
      </c>
      <c r="F44" s="1075" t="s">
        <v>1580</v>
      </c>
      <c r="G44" s="1075" t="s">
        <v>1581</v>
      </c>
      <c r="H44" s="1071" t="s">
        <v>1639</v>
      </c>
      <c r="I44" s="386">
        <v>9233710</v>
      </c>
      <c r="J44" s="505" t="s">
        <v>29</v>
      </c>
      <c r="K44" s="92">
        <v>20</v>
      </c>
      <c r="L44" s="34">
        <f>161229-132080</f>
        <v>29149</v>
      </c>
      <c r="M44" s="176"/>
      <c r="N44" s="176"/>
      <c r="O44" s="213">
        <f t="shared" si="0"/>
        <v>29149</v>
      </c>
      <c r="P44" s="1"/>
    </row>
    <row r="45" spans="1:16" ht="30" customHeight="1">
      <c r="A45" s="1074" t="s">
        <v>27</v>
      </c>
      <c r="B45" s="1075" t="s">
        <v>1821</v>
      </c>
      <c r="C45" s="377" t="s">
        <v>1581</v>
      </c>
      <c r="D45" s="453" t="s">
        <v>496</v>
      </c>
      <c r="E45" s="377">
        <v>10</v>
      </c>
      <c r="F45" s="1075" t="s">
        <v>1580</v>
      </c>
      <c r="G45" s="1075" t="s">
        <v>1581</v>
      </c>
      <c r="H45" s="1071" t="s">
        <v>1640</v>
      </c>
      <c r="I45" s="386">
        <v>12250937</v>
      </c>
      <c r="J45" s="505" t="s">
        <v>29</v>
      </c>
      <c r="K45" s="92">
        <v>4.5</v>
      </c>
      <c r="L45" s="34">
        <f>256121-245014</f>
        <v>11107</v>
      </c>
      <c r="M45" s="176"/>
      <c r="N45" s="176"/>
      <c r="O45" s="213">
        <f t="shared" si="0"/>
        <v>11107</v>
      </c>
      <c r="P45" s="1"/>
    </row>
    <row r="46" spans="1:16" ht="30" customHeight="1">
      <c r="A46" s="1074" t="s">
        <v>27</v>
      </c>
      <c r="B46" s="1075" t="s">
        <v>1821</v>
      </c>
      <c r="C46" s="377" t="s">
        <v>1581</v>
      </c>
      <c r="D46" s="453" t="s">
        <v>496</v>
      </c>
      <c r="E46" s="377">
        <v>10</v>
      </c>
      <c r="F46" s="1075" t="s">
        <v>1580</v>
      </c>
      <c r="G46" s="1075" t="s">
        <v>1581</v>
      </c>
      <c r="H46" s="1071" t="s">
        <v>1641</v>
      </c>
      <c r="I46" s="386">
        <v>19590931</v>
      </c>
      <c r="J46" s="505" t="s">
        <v>29</v>
      </c>
      <c r="K46" s="92">
        <v>2</v>
      </c>
      <c r="L46" s="34">
        <f>26956-21589</f>
        <v>5367</v>
      </c>
      <c r="M46" s="176"/>
      <c r="N46" s="176"/>
      <c r="O46" s="213">
        <f t="shared" si="0"/>
        <v>5367</v>
      </c>
      <c r="P46" s="1"/>
    </row>
    <row r="47" spans="1:16" ht="30" customHeight="1">
      <c r="A47" s="1074" t="s">
        <v>27</v>
      </c>
      <c r="B47" s="1075" t="s">
        <v>1821</v>
      </c>
      <c r="C47" s="377" t="s">
        <v>1581</v>
      </c>
      <c r="D47" s="453" t="s">
        <v>1378</v>
      </c>
      <c r="E47" s="377">
        <v>9</v>
      </c>
      <c r="F47" s="1075" t="s">
        <v>1580</v>
      </c>
      <c r="G47" s="1075" t="s">
        <v>1581</v>
      </c>
      <c r="H47" s="1071" t="s">
        <v>1642</v>
      </c>
      <c r="I47" s="386">
        <v>1481171</v>
      </c>
      <c r="J47" s="505" t="s">
        <v>29</v>
      </c>
      <c r="K47" s="92">
        <v>2</v>
      </c>
      <c r="L47" s="34">
        <f>11431-6322</f>
        <v>5109</v>
      </c>
      <c r="M47" s="176"/>
      <c r="N47" s="176"/>
      <c r="O47" s="213">
        <f t="shared" si="0"/>
        <v>5109</v>
      </c>
      <c r="P47" s="1"/>
    </row>
    <row r="48" spans="1:16" ht="30" customHeight="1">
      <c r="A48" s="1074" t="s">
        <v>27</v>
      </c>
      <c r="B48" s="1075"/>
      <c r="C48" s="377" t="s">
        <v>1581</v>
      </c>
      <c r="D48" s="453" t="s">
        <v>810</v>
      </c>
      <c r="E48" s="377"/>
      <c r="F48" s="1075" t="s">
        <v>1580</v>
      </c>
      <c r="G48" s="1075" t="s">
        <v>1581</v>
      </c>
      <c r="H48" s="1071" t="s">
        <v>1643</v>
      </c>
      <c r="I48" s="386">
        <v>12612369</v>
      </c>
      <c r="J48" s="505" t="s">
        <v>29</v>
      </c>
      <c r="K48" s="92">
        <v>1.1</v>
      </c>
      <c r="L48" s="34">
        <f>49-48</f>
        <v>1</v>
      </c>
      <c r="M48" s="176"/>
      <c r="N48" s="176"/>
      <c r="O48" s="213">
        <f t="shared" si="0"/>
        <v>1</v>
      </c>
      <c r="P48" s="1"/>
    </row>
    <row r="49" spans="1:16" ht="30" customHeight="1">
      <c r="A49" s="1074" t="s">
        <v>27</v>
      </c>
      <c r="B49" s="1075" t="s">
        <v>1821</v>
      </c>
      <c r="C49" s="377" t="s">
        <v>1581</v>
      </c>
      <c r="D49" s="453" t="s">
        <v>1595</v>
      </c>
      <c r="E49" s="377">
        <v>9</v>
      </c>
      <c r="F49" s="1075" t="s">
        <v>1580</v>
      </c>
      <c r="G49" s="1075" t="s">
        <v>1581</v>
      </c>
      <c r="H49" s="1071" t="s">
        <v>1644</v>
      </c>
      <c r="I49" s="386">
        <v>20743621</v>
      </c>
      <c r="J49" s="31" t="s">
        <v>747</v>
      </c>
      <c r="K49" s="92"/>
      <c r="L49" s="34">
        <f>52-52</f>
        <v>0</v>
      </c>
      <c r="M49" s="176"/>
      <c r="N49" s="176"/>
      <c r="O49" s="213">
        <f t="shared" si="0"/>
        <v>0</v>
      </c>
      <c r="P49" s="1"/>
    </row>
    <row r="50" spans="1:16" ht="30" customHeight="1">
      <c r="A50" s="1074" t="s">
        <v>27</v>
      </c>
      <c r="B50" s="1075" t="s">
        <v>1821</v>
      </c>
      <c r="C50" s="377" t="s">
        <v>1581</v>
      </c>
      <c r="D50" s="453" t="s">
        <v>1378</v>
      </c>
      <c r="E50" s="377" t="s">
        <v>1645</v>
      </c>
      <c r="F50" s="1075" t="s">
        <v>1580</v>
      </c>
      <c r="G50" s="1075" t="s">
        <v>1581</v>
      </c>
      <c r="H50" s="1071" t="s">
        <v>1646</v>
      </c>
      <c r="I50" s="386">
        <v>229065</v>
      </c>
      <c r="J50" s="389" t="s">
        <v>67</v>
      </c>
      <c r="K50" s="92">
        <v>7</v>
      </c>
      <c r="L50" s="176"/>
      <c r="M50" s="317">
        <f>2794-1455</f>
        <v>1339</v>
      </c>
      <c r="N50" s="175">
        <f>7184-3631</f>
        <v>3553</v>
      </c>
      <c r="O50" s="213">
        <f>M50+N50</f>
        <v>4892</v>
      </c>
      <c r="P50" s="1"/>
    </row>
    <row r="51" spans="1:16" ht="30" customHeight="1">
      <c r="A51" s="1074" t="s">
        <v>27</v>
      </c>
      <c r="B51" s="1075"/>
      <c r="C51" s="377" t="s">
        <v>1581</v>
      </c>
      <c r="D51" s="453" t="s">
        <v>810</v>
      </c>
      <c r="E51" s="377"/>
      <c r="F51" s="1075" t="s">
        <v>1580</v>
      </c>
      <c r="G51" s="1075" t="s">
        <v>1581</v>
      </c>
      <c r="H51" s="1071" t="s">
        <v>1647</v>
      </c>
      <c r="I51" s="386">
        <v>12703135</v>
      </c>
      <c r="J51" s="505" t="s">
        <v>29</v>
      </c>
      <c r="K51" s="92">
        <v>1.1</v>
      </c>
      <c r="L51" s="34">
        <f>43889-41829</f>
        <v>2060</v>
      </c>
      <c r="M51" s="176"/>
      <c r="N51" s="176"/>
      <c r="O51" s="213">
        <f t="shared" si="0"/>
        <v>2060</v>
      </c>
      <c r="P51" s="1"/>
    </row>
    <row r="52" spans="1:16" ht="30" customHeight="1">
      <c r="A52" s="1074" t="s">
        <v>27</v>
      </c>
      <c r="B52" s="1075"/>
      <c r="C52" s="377" t="s">
        <v>1581</v>
      </c>
      <c r="D52" s="377" t="s">
        <v>1595</v>
      </c>
      <c r="E52" s="377"/>
      <c r="F52" s="1075" t="s">
        <v>1580</v>
      </c>
      <c r="G52" s="1075" t="s">
        <v>1581</v>
      </c>
      <c r="H52" s="1071" t="s">
        <v>1648</v>
      </c>
      <c r="I52" s="386">
        <v>12712723</v>
      </c>
      <c r="J52" s="505" t="s">
        <v>29</v>
      </c>
      <c r="K52" s="92">
        <v>1.1</v>
      </c>
      <c r="L52" s="34">
        <f>31676-27153</f>
        <v>4523</v>
      </c>
      <c r="M52" s="176"/>
      <c r="N52" s="176"/>
      <c r="O52" s="213">
        <f t="shared" si="0"/>
        <v>4523</v>
      </c>
      <c r="P52" s="1"/>
    </row>
    <row r="53" spans="1:16" ht="30" customHeight="1">
      <c r="A53" s="1074" t="s">
        <v>27</v>
      </c>
      <c r="B53" s="1075" t="s">
        <v>241</v>
      </c>
      <c r="C53" s="377" t="s">
        <v>1649</v>
      </c>
      <c r="D53" s="377"/>
      <c r="E53" s="377"/>
      <c r="F53" s="1075" t="s">
        <v>1580</v>
      </c>
      <c r="G53" s="1075" t="s">
        <v>1581</v>
      </c>
      <c r="H53" s="1071" t="s">
        <v>1650</v>
      </c>
      <c r="I53" s="386">
        <v>19589106</v>
      </c>
      <c r="J53" s="31" t="s">
        <v>747</v>
      </c>
      <c r="K53" s="92"/>
      <c r="L53" s="34">
        <f>35264-31441</f>
        <v>3823</v>
      </c>
      <c r="M53" s="176"/>
      <c r="N53" s="176"/>
      <c r="O53" s="213">
        <f t="shared" si="0"/>
        <v>3823</v>
      </c>
      <c r="P53" s="1"/>
    </row>
    <row r="54" spans="1:16" ht="30" customHeight="1">
      <c r="A54" s="1074" t="s">
        <v>27</v>
      </c>
      <c r="B54" s="1075"/>
      <c r="C54" s="377" t="s">
        <v>1649</v>
      </c>
      <c r="D54" s="377"/>
      <c r="E54" s="377"/>
      <c r="F54" s="1075" t="s">
        <v>1580</v>
      </c>
      <c r="G54" s="1075" t="s">
        <v>1581</v>
      </c>
      <c r="H54" s="1071" t="s">
        <v>1651</v>
      </c>
      <c r="I54" s="386">
        <v>1409605</v>
      </c>
      <c r="J54" s="505" t="s">
        <v>29</v>
      </c>
      <c r="K54" s="92">
        <v>2</v>
      </c>
      <c r="L54" s="34">
        <f>6581-5297</f>
        <v>1284</v>
      </c>
      <c r="M54" s="176"/>
      <c r="N54" s="176"/>
      <c r="O54" s="213">
        <f t="shared" si="0"/>
        <v>1284</v>
      </c>
      <c r="P54" s="1"/>
    </row>
    <row r="55" spans="1:16" ht="30" customHeight="1">
      <c r="A55" s="1074" t="s">
        <v>27</v>
      </c>
      <c r="B55" s="1075" t="s">
        <v>1821</v>
      </c>
      <c r="C55" s="377" t="s">
        <v>1596</v>
      </c>
      <c r="D55" s="377"/>
      <c r="E55" s="377" t="s">
        <v>1652</v>
      </c>
      <c r="F55" s="1075" t="s">
        <v>1580</v>
      </c>
      <c r="G55" s="1075" t="s">
        <v>1581</v>
      </c>
      <c r="H55" s="1071" t="s">
        <v>1653</v>
      </c>
      <c r="I55" s="386">
        <v>23614748</v>
      </c>
      <c r="J55" s="31" t="s">
        <v>747</v>
      </c>
      <c r="K55" s="92"/>
      <c r="L55" s="34">
        <f>1158-1123</f>
        <v>35</v>
      </c>
      <c r="M55" s="176"/>
      <c r="N55" s="176"/>
      <c r="O55" s="213">
        <f t="shared" si="0"/>
        <v>35</v>
      </c>
      <c r="P55" s="1"/>
    </row>
    <row r="56" spans="1:16" ht="30" customHeight="1">
      <c r="A56" s="1074" t="s">
        <v>27</v>
      </c>
      <c r="B56" s="1075" t="s">
        <v>1821</v>
      </c>
      <c r="C56" s="377" t="s">
        <v>1596</v>
      </c>
      <c r="D56" s="377"/>
      <c r="E56" s="377" t="s">
        <v>1655</v>
      </c>
      <c r="F56" s="1075" t="s">
        <v>1580</v>
      </c>
      <c r="G56" s="1075" t="s">
        <v>1581</v>
      </c>
      <c r="H56" s="1071" t="s">
        <v>1654</v>
      </c>
      <c r="I56" s="386">
        <v>21012609</v>
      </c>
      <c r="J56" s="31" t="s">
        <v>747</v>
      </c>
      <c r="K56" s="92"/>
      <c r="L56" s="34">
        <f>3300-3300</f>
        <v>0</v>
      </c>
      <c r="M56" s="176"/>
      <c r="N56" s="176"/>
      <c r="O56" s="213">
        <f t="shared" si="0"/>
        <v>0</v>
      </c>
      <c r="P56" s="1"/>
    </row>
    <row r="57" spans="1:16" ht="30" customHeight="1">
      <c r="A57" s="1074" t="s">
        <v>27</v>
      </c>
      <c r="B57" s="1075" t="s">
        <v>1821</v>
      </c>
      <c r="C57" s="377" t="s">
        <v>1596</v>
      </c>
      <c r="D57" s="377"/>
      <c r="E57" s="377" t="s">
        <v>1656</v>
      </c>
      <c r="F57" s="1075" t="s">
        <v>1580</v>
      </c>
      <c r="G57" s="1075" t="s">
        <v>1581</v>
      </c>
      <c r="H57" s="1071" t="s">
        <v>1657</v>
      </c>
      <c r="I57" s="386">
        <v>20562176</v>
      </c>
      <c r="J57" s="31" t="s">
        <v>747</v>
      </c>
      <c r="K57" s="92"/>
      <c r="L57" s="34">
        <f>721-721</f>
        <v>0</v>
      </c>
      <c r="M57" s="176"/>
      <c r="N57" s="176"/>
      <c r="O57" s="213">
        <f t="shared" si="0"/>
        <v>0</v>
      </c>
      <c r="P57" s="1"/>
    </row>
    <row r="58" spans="1:16" ht="30" customHeight="1">
      <c r="A58" s="1074" t="s">
        <v>27</v>
      </c>
      <c r="B58" s="1075" t="s">
        <v>1821</v>
      </c>
      <c r="C58" s="377" t="s">
        <v>1596</v>
      </c>
      <c r="D58" s="377"/>
      <c r="E58" s="377" t="s">
        <v>1658</v>
      </c>
      <c r="F58" s="1075" t="s">
        <v>1580</v>
      </c>
      <c r="G58" s="1075" t="s">
        <v>1581</v>
      </c>
      <c r="H58" s="1071" t="s">
        <v>1659</v>
      </c>
      <c r="I58" s="386">
        <v>20758505</v>
      </c>
      <c r="J58" s="31" t="s">
        <v>747</v>
      </c>
      <c r="K58" s="92"/>
      <c r="L58" s="34">
        <f>3126-3126</f>
        <v>0</v>
      </c>
      <c r="M58" s="176"/>
      <c r="N58" s="176"/>
      <c r="O58" s="213">
        <f t="shared" si="0"/>
        <v>0</v>
      </c>
      <c r="P58" s="1"/>
    </row>
    <row r="59" spans="1:16" ht="30" customHeight="1">
      <c r="A59" s="1074" t="s">
        <v>27</v>
      </c>
      <c r="B59" s="1075"/>
      <c r="C59" s="377" t="s">
        <v>1596</v>
      </c>
      <c r="D59" s="377"/>
      <c r="E59" s="377">
        <v>18</v>
      </c>
      <c r="F59" s="1075" t="s">
        <v>1580</v>
      </c>
      <c r="G59" s="1075" t="s">
        <v>1581</v>
      </c>
      <c r="H59" s="1071" t="s">
        <v>1660</v>
      </c>
      <c r="I59" s="481">
        <v>1481172</v>
      </c>
      <c r="J59" s="505" t="s">
        <v>29</v>
      </c>
      <c r="K59" s="92">
        <v>2</v>
      </c>
      <c r="L59" s="34">
        <f>4484-2568</f>
        <v>1916</v>
      </c>
      <c r="M59" s="176"/>
      <c r="N59" s="176"/>
      <c r="O59" s="213">
        <f t="shared" si="0"/>
        <v>1916</v>
      </c>
      <c r="P59" s="1"/>
    </row>
    <row r="60" spans="1:16" ht="30" customHeight="1">
      <c r="A60" s="1074" t="s">
        <v>27</v>
      </c>
      <c r="B60" s="1075" t="s">
        <v>241</v>
      </c>
      <c r="C60" s="377" t="s">
        <v>1597</v>
      </c>
      <c r="D60" s="377"/>
      <c r="E60" s="377"/>
      <c r="F60" s="1075" t="s">
        <v>1580</v>
      </c>
      <c r="G60" s="1075" t="s">
        <v>1581</v>
      </c>
      <c r="H60" s="1071" t="s">
        <v>1661</v>
      </c>
      <c r="I60" s="386">
        <v>90376465</v>
      </c>
      <c r="J60" s="389" t="s">
        <v>457</v>
      </c>
      <c r="K60" s="92">
        <v>12</v>
      </c>
      <c r="L60" s="176"/>
      <c r="M60" s="317">
        <f>100</f>
        <v>100</v>
      </c>
      <c r="N60" s="175">
        <f>200</f>
        <v>200</v>
      </c>
      <c r="O60" s="213">
        <f>M60+N60</f>
        <v>300</v>
      </c>
      <c r="P60" s="1"/>
    </row>
    <row r="61" spans="1:16" ht="30" customHeight="1">
      <c r="A61" s="1074" t="s">
        <v>27</v>
      </c>
      <c r="B61" s="1075"/>
      <c r="C61" s="377" t="s">
        <v>1598</v>
      </c>
      <c r="D61" s="377"/>
      <c r="E61" s="377"/>
      <c r="F61" s="1075" t="s">
        <v>1580</v>
      </c>
      <c r="G61" s="1075" t="s">
        <v>1581</v>
      </c>
      <c r="H61" s="1071" t="s">
        <v>1662</v>
      </c>
      <c r="I61" s="386">
        <v>21008642</v>
      </c>
      <c r="J61" s="505" t="s">
        <v>29</v>
      </c>
      <c r="K61" s="92">
        <v>0.3</v>
      </c>
      <c r="L61" s="34">
        <f>12311-11459</f>
        <v>852</v>
      </c>
      <c r="M61" s="176"/>
      <c r="N61" s="176"/>
      <c r="O61" s="213">
        <f t="shared" si="0"/>
        <v>852</v>
      </c>
      <c r="P61" s="1"/>
    </row>
    <row r="62" spans="1:16" ht="30" customHeight="1">
      <c r="A62" s="1074" t="s">
        <v>27</v>
      </c>
      <c r="B62" s="1075"/>
      <c r="C62" s="377" t="s">
        <v>1663</v>
      </c>
      <c r="D62" s="377"/>
      <c r="E62" s="377" t="s">
        <v>894</v>
      </c>
      <c r="F62" s="1075" t="s">
        <v>1580</v>
      </c>
      <c r="G62" s="1075" t="s">
        <v>1581</v>
      </c>
      <c r="H62" s="1071" t="s">
        <v>1664</v>
      </c>
      <c r="I62" s="386">
        <v>25364724</v>
      </c>
      <c r="J62" s="505" t="s">
        <v>29</v>
      </c>
      <c r="K62" s="92">
        <v>1.4</v>
      </c>
      <c r="L62" s="34">
        <f>9819-6697</f>
        <v>3122</v>
      </c>
      <c r="M62" s="176"/>
      <c r="N62" s="176"/>
      <c r="O62" s="213">
        <f t="shared" si="0"/>
        <v>3122</v>
      </c>
      <c r="P62" s="1"/>
    </row>
    <row r="63" spans="1:16" ht="30" customHeight="1">
      <c r="A63" s="1074" t="s">
        <v>27</v>
      </c>
      <c r="B63" s="1075" t="s">
        <v>241</v>
      </c>
      <c r="C63" s="377" t="s">
        <v>1665</v>
      </c>
      <c r="D63" s="453"/>
      <c r="E63" s="377"/>
      <c r="F63" s="1075" t="s">
        <v>1580</v>
      </c>
      <c r="G63" s="1075" t="s">
        <v>1581</v>
      </c>
      <c r="H63" s="1071" t="s">
        <v>1666</v>
      </c>
      <c r="I63" s="481">
        <v>83427004</v>
      </c>
      <c r="J63" s="505" t="s">
        <v>29</v>
      </c>
      <c r="K63" s="92">
        <v>1</v>
      </c>
      <c r="L63" s="34">
        <v>500</v>
      </c>
      <c r="M63" s="176"/>
      <c r="N63" s="176"/>
      <c r="O63" s="213">
        <f t="shared" si="0"/>
        <v>500</v>
      </c>
      <c r="P63" s="1"/>
    </row>
    <row r="64" spans="1:16" ht="30" customHeight="1">
      <c r="A64" s="1074" t="s">
        <v>27</v>
      </c>
      <c r="B64" s="1369" t="s">
        <v>241</v>
      </c>
      <c r="C64" s="377" t="s">
        <v>1599</v>
      </c>
      <c r="D64" s="453"/>
      <c r="E64" s="377" t="s">
        <v>1667</v>
      </c>
      <c r="F64" s="1075" t="s">
        <v>1580</v>
      </c>
      <c r="G64" s="1075" t="s">
        <v>1581</v>
      </c>
      <c r="H64" s="1071" t="s">
        <v>1668</v>
      </c>
      <c r="I64" s="386">
        <v>70903237</v>
      </c>
      <c r="J64" s="505" t="s">
        <v>29</v>
      </c>
      <c r="K64" s="92">
        <v>13</v>
      </c>
      <c r="L64" s="34">
        <f>58655-45690</f>
        <v>12965</v>
      </c>
      <c r="M64" s="176"/>
      <c r="N64" s="176"/>
      <c r="O64" s="213">
        <f t="shared" si="0"/>
        <v>12965</v>
      </c>
      <c r="P64" s="1"/>
    </row>
    <row r="65" spans="1:16" ht="30" customHeight="1">
      <c r="A65" s="1074" t="s">
        <v>27</v>
      </c>
      <c r="B65" s="1369" t="s">
        <v>241</v>
      </c>
      <c r="C65" s="377" t="s">
        <v>1600</v>
      </c>
      <c r="D65" s="453"/>
      <c r="E65" s="377">
        <v>45</v>
      </c>
      <c r="F65" s="1075" t="s">
        <v>1580</v>
      </c>
      <c r="G65" s="1075" t="s">
        <v>1581</v>
      </c>
      <c r="H65" s="1071" t="s">
        <v>1669</v>
      </c>
      <c r="I65" s="386">
        <v>90379841</v>
      </c>
      <c r="J65" s="505" t="s">
        <v>29</v>
      </c>
      <c r="K65" s="92">
        <v>4</v>
      </c>
      <c r="L65" s="34">
        <f>500</f>
        <v>500</v>
      </c>
      <c r="M65" s="176"/>
      <c r="N65" s="176"/>
      <c r="O65" s="213">
        <f t="shared" si="0"/>
        <v>500</v>
      </c>
      <c r="P65" s="1"/>
    </row>
    <row r="66" spans="1:16" ht="30" customHeight="1">
      <c r="A66" s="1074" t="s">
        <v>27</v>
      </c>
      <c r="B66" s="1369" t="s">
        <v>241</v>
      </c>
      <c r="C66" s="377" t="s">
        <v>1601</v>
      </c>
      <c r="D66" s="453"/>
      <c r="E66" s="377"/>
      <c r="F66" s="1075" t="s">
        <v>1580</v>
      </c>
      <c r="G66" s="1075" t="s">
        <v>1581</v>
      </c>
      <c r="H66" s="1071" t="s">
        <v>1670</v>
      </c>
      <c r="I66" s="386">
        <v>11560190</v>
      </c>
      <c r="J66" s="505" t="s">
        <v>29</v>
      </c>
      <c r="K66" s="92">
        <v>13</v>
      </c>
      <c r="L66" s="34">
        <f>26365-15478</f>
        <v>10887</v>
      </c>
      <c r="M66" s="176"/>
      <c r="N66" s="176"/>
      <c r="O66" s="213">
        <f t="shared" si="0"/>
        <v>10887</v>
      </c>
      <c r="P66" s="1"/>
    </row>
    <row r="67" spans="1:16" ht="30" customHeight="1">
      <c r="A67" s="1074" t="s">
        <v>27</v>
      </c>
      <c r="B67" s="1075"/>
      <c r="C67" s="377" t="s">
        <v>1602</v>
      </c>
      <c r="D67" s="453"/>
      <c r="E67" s="377"/>
      <c r="F67" s="1075" t="s">
        <v>1580</v>
      </c>
      <c r="G67" s="1075" t="s">
        <v>1581</v>
      </c>
      <c r="H67" s="1071" t="s">
        <v>1671</v>
      </c>
      <c r="I67" s="386">
        <v>119162</v>
      </c>
      <c r="J67" s="505" t="s">
        <v>29</v>
      </c>
      <c r="K67" s="92">
        <v>7</v>
      </c>
      <c r="L67" s="34">
        <f>22-15</f>
        <v>7</v>
      </c>
      <c r="M67" s="176"/>
      <c r="N67" s="176"/>
      <c r="O67" s="213">
        <f t="shared" si="0"/>
        <v>7</v>
      </c>
      <c r="P67" s="1"/>
    </row>
    <row r="68" spans="1:16" ht="30" customHeight="1">
      <c r="A68" s="1074" t="s">
        <v>27</v>
      </c>
      <c r="B68" s="1075" t="s">
        <v>241</v>
      </c>
      <c r="C68" s="377" t="s">
        <v>1603</v>
      </c>
      <c r="D68" s="453" t="s">
        <v>1586</v>
      </c>
      <c r="E68" s="377"/>
      <c r="F68" s="1075" t="s">
        <v>1580</v>
      </c>
      <c r="G68" s="1075" t="s">
        <v>1581</v>
      </c>
      <c r="H68" s="1071" t="s">
        <v>1672</v>
      </c>
      <c r="I68" s="386">
        <v>78240952</v>
      </c>
      <c r="J68" s="505" t="s">
        <v>29</v>
      </c>
      <c r="K68" s="92">
        <v>14</v>
      </c>
      <c r="L68" s="34">
        <f>101520-96080</f>
        <v>5440</v>
      </c>
      <c r="M68" s="176"/>
      <c r="N68" s="176"/>
      <c r="O68" s="213">
        <f t="shared" si="0"/>
        <v>5440</v>
      </c>
      <c r="P68" s="1"/>
    </row>
    <row r="69" spans="1:16" ht="30" customHeight="1">
      <c r="A69" s="1074" t="s">
        <v>27</v>
      </c>
      <c r="B69" s="1075" t="s">
        <v>890</v>
      </c>
      <c r="C69" s="377" t="s">
        <v>1603</v>
      </c>
      <c r="D69" s="453"/>
      <c r="E69" s="377"/>
      <c r="F69" s="1075" t="s">
        <v>1580</v>
      </c>
      <c r="G69" s="1075" t="s">
        <v>1581</v>
      </c>
      <c r="H69" s="1071" t="s">
        <v>1673</v>
      </c>
      <c r="I69" s="386">
        <v>12817220</v>
      </c>
      <c r="J69" s="505" t="s">
        <v>29</v>
      </c>
      <c r="K69" s="92">
        <v>7</v>
      </c>
      <c r="L69" s="34">
        <f>136532-126710</f>
        <v>9822</v>
      </c>
      <c r="M69" s="176"/>
      <c r="N69" s="176"/>
      <c r="O69" s="213">
        <f t="shared" si="0"/>
        <v>9822</v>
      </c>
      <c r="P69" s="1"/>
    </row>
    <row r="70" spans="1:16" ht="30" customHeight="1">
      <c r="A70" s="1074" t="s">
        <v>27</v>
      </c>
      <c r="B70" s="1075"/>
      <c r="C70" s="377" t="s">
        <v>1603</v>
      </c>
      <c r="D70" s="453"/>
      <c r="E70" s="377"/>
      <c r="F70" s="1075" t="s">
        <v>1580</v>
      </c>
      <c r="G70" s="1075" t="s">
        <v>1581</v>
      </c>
      <c r="H70" s="1071" t="s">
        <v>1674</v>
      </c>
      <c r="I70" s="386">
        <v>7052841</v>
      </c>
      <c r="J70" s="505" t="s">
        <v>29</v>
      </c>
      <c r="K70" s="92">
        <v>5.5</v>
      </c>
      <c r="L70" s="34">
        <f>2164-1070</f>
        <v>1094</v>
      </c>
      <c r="M70" s="176"/>
      <c r="N70" s="176"/>
      <c r="O70" s="213">
        <f t="shared" si="0"/>
        <v>1094</v>
      </c>
      <c r="P70" s="1"/>
    </row>
    <row r="71" spans="1:16" ht="30" customHeight="1">
      <c r="A71" s="1074" t="s">
        <v>27</v>
      </c>
      <c r="B71" s="1075" t="s">
        <v>1821</v>
      </c>
      <c r="C71" s="377" t="s">
        <v>1582</v>
      </c>
      <c r="D71" s="453"/>
      <c r="E71" s="377">
        <v>36</v>
      </c>
      <c r="F71" s="1075" t="s">
        <v>1580</v>
      </c>
      <c r="G71" s="1075" t="s">
        <v>1581</v>
      </c>
      <c r="H71" s="1071" t="s">
        <v>1679</v>
      </c>
      <c r="I71" s="386">
        <v>10694526</v>
      </c>
      <c r="J71" s="505" t="s">
        <v>29</v>
      </c>
      <c r="K71" s="92">
        <v>12.6</v>
      </c>
      <c r="L71" s="34">
        <f>102405-93047</f>
        <v>9358</v>
      </c>
      <c r="M71" s="176"/>
      <c r="N71" s="176"/>
      <c r="O71" s="213">
        <f>L71</f>
        <v>9358</v>
      </c>
      <c r="P71" s="1"/>
    </row>
    <row r="72" spans="1:16" ht="30" customHeight="1">
      <c r="A72" s="1074" t="s">
        <v>27</v>
      </c>
      <c r="B72" s="1078" t="s">
        <v>1821</v>
      </c>
      <c r="C72" s="655" t="s">
        <v>1603</v>
      </c>
      <c r="D72" s="675"/>
      <c r="E72" s="655">
        <v>29</v>
      </c>
      <c r="F72" s="1078" t="s">
        <v>1580</v>
      </c>
      <c r="G72" s="1078" t="s">
        <v>1581</v>
      </c>
      <c r="H72" s="1165" t="s">
        <v>1675</v>
      </c>
      <c r="I72" s="713">
        <v>27417</v>
      </c>
      <c r="J72" s="1069" t="s">
        <v>747</v>
      </c>
      <c r="K72" s="1370"/>
      <c r="L72" s="118">
        <f>1-1</f>
        <v>0</v>
      </c>
      <c r="M72" s="174"/>
      <c r="N72" s="174"/>
      <c r="O72" s="208">
        <f t="shared" si="0"/>
        <v>0</v>
      </c>
      <c r="P72" s="1"/>
    </row>
    <row r="73" spans="1:16" ht="33.75" customHeight="1" thickBot="1">
      <c r="A73" s="1074" t="s">
        <v>27</v>
      </c>
      <c r="B73" s="377" t="s">
        <v>1821</v>
      </c>
      <c r="C73" s="377" t="s">
        <v>1593</v>
      </c>
      <c r="D73" s="453"/>
      <c r="E73" s="377">
        <v>42</v>
      </c>
      <c r="F73" s="377" t="s">
        <v>1580</v>
      </c>
      <c r="G73" s="655" t="s">
        <v>1581</v>
      </c>
      <c r="H73" s="1072" t="s">
        <v>1682</v>
      </c>
      <c r="I73" s="386">
        <v>104663</v>
      </c>
      <c r="J73" s="505" t="s">
        <v>29</v>
      </c>
      <c r="K73" s="92">
        <v>17</v>
      </c>
      <c r="L73" s="34">
        <f>37932-31391</f>
        <v>6541</v>
      </c>
      <c r="M73" s="176"/>
      <c r="N73" s="176"/>
      <c r="O73" s="213">
        <f>L73</f>
        <v>6541</v>
      </c>
      <c r="P73" s="1"/>
    </row>
    <row r="74" spans="1:16" ht="22.5" customHeight="1">
      <c r="A74" s="1"/>
      <c r="B74" s="1348" t="s">
        <v>23</v>
      </c>
      <c r="C74" s="1349" t="s">
        <v>1604</v>
      </c>
      <c r="D74" s="1350"/>
      <c r="E74" s="1414"/>
      <c r="F74" s="253"/>
      <c r="G74" s="721" t="s">
        <v>1719</v>
      </c>
      <c r="H74" s="1356" t="s">
        <v>1604</v>
      </c>
      <c r="I74" s="1"/>
      <c r="J74" s="1"/>
      <c r="K74" s="1"/>
      <c r="L74" s="127"/>
      <c r="M74" s="127"/>
      <c r="N74" s="1081" t="s">
        <v>63</v>
      </c>
      <c r="O74" s="1371">
        <f>SUM(O17:O73)</f>
        <v>251573</v>
      </c>
      <c r="P74" s="1"/>
    </row>
    <row r="75" spans="1:16" ht="15">
      <c r="A75" s="1"/>
      <c r="B75" s="624"/>
      <c r="C75" s="1351" t="s">
        <v>1605</v>
      </c>
      <c r="D75" s="1350"/>
      <c r="E75" s="1414"/>
      <c r="F75" s="253"/>
      <c r="G75" s="1556"/>
      <c r="H75" s="1365" t="s">
        <v>1605</v>
      </c>
      <c r="I75" s="1"/>
      <c r="J75" s="1"/>
      <c r="K75" s="1"/>
      <c r="L75" s="1"/>
      <c r="M75" s="127"/>
      <c r="N75" s="127"/>
      <c r="O75" s="127"/>
      <c r="P75" s="1"/>
    </row>
    <row r="76" spans="1:16" ht="15.75" thickBot="1">
      <c r="A76" s="1"/>
      <c r="B76" s="624"/>
      <c r="C76" s="1351" t="s">
        <v>1676</v>
      </c>
      <c r="D76" s="1350"/>
      <c r="E76" s="1414"/>
      <c r="F76" s="253"/>
      <c r="G76" s="1557"/>
      <c r="H76" s="1360" t="s">
        <v>1676</v>
      </c>
      <c r="I76" s="1"/>
      <c r="J76" s="1"/>
      <c r="K76" s="1"/>
      <c r="L76" s="1"/>
      <c r="M76" s="127"/>
      <c r="N76" s="127"/>
      <c r="O76" s="127"/>
      <c r="P76" s="1"/>
    </row>
    <row r="77" spans="1:16" ht="15">
      <c r="A77" s="1"/>
      <c r="B77" s="1348" t="s">
        <v>169</v>
      </c>
      <c r="C77" s="1351">
        <v>8212394019</v>
      </c>
      <c r="D77" s="1350"/>
      <c r="E77" s="1414"/>
      <c r="F77" s="253"/>
      <c r="G77" s="595"/>
      <c r="H77" s="1351"/>
      <c r="I77" s="1"/>
      <c r="J77" s="1"/>
      <c r="K77" s="1"/>
      <c r="L77" s="1"/>
      <c r="M77" s="127"/>
      <c r="N77" s="127"/>
      <c r="O77" s="127"/>
      <c r="P77" s="1"/>
    </row>
    <row r="78" spans="1:16" ht="15.75" thickBot="1">
      <c r="A78" s="1"/>
      <c r="B78" s="1352" t="s">
        <v>1112</v>
      </c>
      <c r="C78" s="1353" t="s">
        <v>1606</v>
      </c>
      <c r="D78" s="1354"/>
      <c r="E78" s="1414"/>
      <c r="F78" s="1414"/>
      <c r="G78" s="1414"/>
      <c r="H78" s="1414"/>
      <c r="I78" s="1"/>
      <c r="J78" s="1"/>
      <c r="K78" s="1"/>
      <c r="L78" s="1"/>
      <c r="M78" s="127"/>
      <c r="N78" s="127"/>
      <c r="O78" s="127"/>
      <c r="P78" s="1"/>
    </row>
    <row r="79" spans="1:16" ht="14.25">
      <c r="A79" s="1"/>
      <c r="B79" s="1085"/>
      <c r="C79" s="345"/>
      <c r="D79" s="654"/>
      <c r="E79" s="1"/>
      <c r="F79" s="1"/>
      <c r="G79" s="1"/>
      <c r="H79" s="1"/>
      <c r="I79" s="1"/>
      <c r="J79" s="1"/>
      <c r="K79" s="1"/>
      <c r="L79" s="1"/>
      <c r="M79" s="127"/>
      <c r="N79" s="127"/>
      <c r="O79" s="127"/>
      <c r="P79" s="1"/>
    </row>
    <row r="80" spans="1:16" ht="15" thickBot="1">
      <c r="A80" s="1"/>
      <c r="B80" s="1085"/>
      <c r="C80" s="345"/>
      <c r="D80" s="654"/>
      <c r="E80" s="1"/>
      <c r="F80" s="1"/>
      <c r="G80" s="1"/>
      <c r="H80" s="1"/>
      <c r="I80" s="1"/>
      <c r="J80" s="1"/>
      <c r="K80" s="1"/>
      <c r="L80" s="1"/>
      <c r="M80" s="127"/>
      <c r="N80" s="127"/>
      <c r="O80" s="127"/>
      <c r="P80" s="1"/>
    </row>
    <row r="81" spans="1:16" ht="37.5" customHeight="1">
      <c r="A81" s="1726" t="s">
        <v>7</v>
      </c>
      <c r="B81" s="1711" t="s">
        <v>664</v>
      </c>
      <c r="C81" s="1711" t="s">
        <v>9</v>
      </c>
      <c r="D81" s="1711" t="s">
        <v>10</v>
      </c>
      <c r="E81" s="1729" t="s">
        <v>665</v>
      </c>
      <c r="F81" s="1729" t="s">
        <v>12</v>
      </c>
      <c r="G81" s="1711" t="s">
        <v>13</v>
      </c>
      <c r="H81" s="1714" t="s">
        <v>14</v>
      </c>
      <c r="I81" s="1714" t="s">
        <v>282</v>
      </c>
      <c r="J81" s="1714" t="s">
        <v>60</v>
      </c>
      <c r="K81" s="1717" t="s">
        <v>666</v>
      </c>
      <c r="L81" s="1720" t="s">
        <v>667</v>
      </c>
      <c r="M81" s="1721"/>
      <c r="N81" s="1721"/>
      <c r="O81" s="1722"/>
      <c r="P81" s="1"/>
    </row>
    <row r="82" spans="1:16" ht="27" customHeight="1">
      <c r="A82" s="1727"/>
      <c r="B82" s="1712"/>
      <c r="C82" s="1712"/>
      <c r="D82" s="1712"/>
      <c r="E82" s="1730"/>
      <c r="F82" s="1730"/>
      <c r="G82" s="1712"/>
      <c r="H82" s="1715"/>
      <c r="I82" s="1715"/>
      <c r="J82" s="1715"/>
      <c r="K82" s="1718"/>
      <c r="L82" s="1723" t="s">
        <v>668</v>
      </c>
      <c r="M82" s="1724"/>
      <c r="N82" s="1724"/>
      <c r="O82" s="1725"/>
      <c r="P82" s="1"/>
    </row>
    <row r="83" spans="1:16" ht="27" customHeight="1" thickBot="1">
      <c r="A83" s="1728"/>
      <c r="B83" s="1713"/>
      <c r="C83" s="1713"/>
      <c r="D83" s="1713"/>
      <c r="E83" s="1731"/>
      <c r="F83" s="1731"/>
      <c r="G83" s="1713"/>
      <c r="H83" s="1716"/>
      <c r="I83" s="1716"/>
      <c r="J83" s="1716"/>
      <c r="K83" s="1719"/>
      <c r="L83" s="1082" t="s">
        <v>669</v>
      </c>
      <c r="M83" s="1083" t="s">
        <v>670</v>
      </c>
      <c r="N83" s="1083" t="s">
        <v>671</v>
      </c>
      <c r="O83" s="1084" t="s">
        <v>17</v>
      </c>
      <c r="P83" s="1"/>
    </row>
    <row r="84" spans="1:16" ht="34.5" customHeight="1" thickBot="1">
      <c r="A84" s="1074" t="s">
        <v>27</v>
      </c>
      <c r="B84" s="1075" t="s">
        <v>1823</v>
      </c>
      <c r="C84" s="1075" t="s">
        <v>1581</v>
      </c>
      <c r="D84" s="1076" t="s">
        <v>755</v>
      </c>
      <c r="E84" s="1075" t="s">
        <v>1677</v>
      </c>
      <c r="F84" s="1075" t="s">
        <v>1580</v>
      </c>
      <c r="G84" s="1078" t="s">
        <v>1581</v>
      </c>
      <c r="H84" s="1165" t="s">
        <v>1678</v>
      </c>
      <c r="I84" s="1384">
        <v>880193</v>
      </c>
      <c r="J84" s="432" t="s">
        <v>29</v>
      </c>
      <c r="K84" s="425">
        <v>40</v>
      </c>
      <c r="L84" s="275">
        <f>(6495.61-5178.06)*40</f>
        <v>52701.99999999997</v>
      </c>
      <c r="M84" s="1080"/>
      <c r="N84" s="1080"/>
      <c r="O84" s="1081">
        <f>L84</f>
        <v>52701.99999999997</v>
      </c>
      <c r="P84" s="1"/>
    </row>
    <row r="85" spans="2:16" ht="15">
      <c r="B85" s="1348" t="s">
        <v>23</v>
      </c>
      <c r="C85" s="1349" t="s">
        <v>1604</v>
      </c>
      <c r="D85" s="1350"/>
      <c r="G85" s="1185" t="s">
        <v>1719</v>
      </c>
      <c r="H85" s="1361" t="s">
        <v>1826</v>
      </c>
      <c r="I85" s="1385"/>
      <c r="N85" s="213" t="s">
        <v>63</v>
      </c>
      <c r="O85" s="1079">
        <f>SUM(O84)</f>
        <v>52701.99999999997</v>
      </c>
      <c r="P85" s="1"/>
    </row>
    <row r="86" spans="2:16" ht="15">
      <c r="B86" s="624"/>
      <c r="C86" s="1351" t="s">
        <v>1605</v>
      </c>
      <c r="D86" s="1350"/>
      <c r="G86" s="1378"/>
      <c r="H86" s="1377" t="s">
        <v>1827</v>
      </c>
      <c r="I86" s="1386"/>
      <c r="P86" s="1"/>
    </row>
    <row r="87" spans="2:16" ht="15.75" thickBot="1">
      <c r="B87" s="624"/>
      <c r="C87" s="1351" t="s">
        <v>1676</v>
      </c>
      <c r="D87" s="1350"/>
      <c r="G87" s="1380"/>
      <c r="H87" s="1387" t="s">
        <v>1676</v>
      </c>
      <c r="I87" s="1388"/>
      <c r="P87" s="1"/>
    </row>
    <row r="88" spans="2:16" ht="15">
      <c r="B88" s="1348" t="s">
        <v>169</v>
      </c>
      <c r="C88" s="1351">
        <v>8212394019</v>
      </c>
      <c r="D88" s="1350"/>
      <c r="P88" s="1"/>
    </row>
    <row r="89" spans="2:16" ht="15.75" thickBot="1">
      <c r="B89" s="1352" t="s">
        <v>1112</v>
      </c>
      <c r="C89" s="1353" t="s">
        <v>1606</v>
      </c>
      <c r="D89" s="1354"/>
      <c r="P89" s="1"/>
    </row>
    <row r="90" spans="1:16" ht="14.25">
      <c r="A90" s="1"/>
      <c r="F90" s="1"/>
      <c r="G90" s="1"/>
      <c r="H90" s="1"/>
      <c r="I90" s="1"/>
      <c r="J90" s="1"/>
      <c r="K90" s="1"/>
      <c r="L90" s="1"/>
      <c r="M90" s="127"/>
      <c r="P90" s="1"/>
    </row>
    <row r="91" spans="1:16" ht="15" thickBot="1">
      <c r="A91" s="1"/>
      <c r="F91" s="1"/>
      <c r="G91" s="1"/>
      <c r="H91" s="1"/>
      <c r="I91" s="1"/>
      <c r="J91" s="1"/>
      <c r="K91" s="1"/>
      <c r="L91" s="1"/>
      <c r="M91" s="127"/>
      <c r="N91" s="127"/>
      <c r="O91" s="127"/>
      <c r="P91" s="1"/>
    </row>
    <row r="92" spans="1:16" ht="33" customHeight="1">
      <c r="A92" s="1726" t="s">
        <v>7</v>
      </c>
      <c r="B92" s="1711" t="s">
        <v>664</v>
      </c>
      <c r="C92" s="1711" t="s">
        <v>9</v>
      </c>
      <c r="D92" s="1711" t="s">
        <v>10</v>
      </c>
      <c r="E92" s="1729" t="s">
        <v>665</v>
      </c>
      <c r="F92" s="1729" t="s">
        <v>12</v>
      </c>
      <c r="G92" s="1711" t="s">
        <v>13</v>
      </c>
      <c r="H92" s="1714" t="s">
        <v>14</v>
      </c>
      <c r="I92" s="1714" t="s">
        <v>282</v>
      </c>
      <c r="J92" s="1714" t="s">
        <v>60</v>
      </c>
      <c r="K92" s="1717" t="s">
        <v>666</v>
      </c>
      <c r="L92" s="1720" t="s">
        <v>667</v>
      </c>
      <c r="M92" s="1721"/>
      <c r="N92" s="1721"/>
      <c r="O92" s="1722"/>
      <c r="P92" s="1"/>
    </row>
    <row r="93" spans="1:16" ht="33" customHeight="1">
      <c r="A93" s="1727"/>
      <c r="B93" s="1712"/>
      <c r="C93" s="1712"/>
      <c r="D93" s="1712"/>
      <c r="E93" s="1730"/>
      <c r="F93" s="1730"/>
      <c r="G93" s="1712"/>
      <c r="H93" s="1715"/>
      <c r="I93" s="1715"/>
      <c r="J93" s="1715"/>
      <c r="K93" s="1718"/>
      <c r="L93" s="1723" t="s">
        <v>668</v>
      </c>
      <c r="M93" s="1724"/>
      <c r="N93" s="1724"/>
      <c r="O93" s="1725"/>
      <c r="P93" s="1"/>
    </row>
    <row r="94" spans="1:16" ht="33" customHeight="1" thickBot="1">
      <c r="A94" s="1728"/>
      <c r="B94" s="1713"/>
      <c r="C94" s="1713"/>
      <c r="D94" s="1713"/>
      <c r="E94" s="1731"/>
      <c r="F94" s="1731"/>
      <c r="G94" s="1713"/>
      <c r="H94" s="1716"/>
      <c r="I94" s="1716"/>
      <c r="J94" s="1716"/>
      <c r="K94" s="1719"/>
      <c r="L94" s="1082" t="s">
        <v>669</v>
      </c>
      <c r="M94" s="1083" t="s">
        <v>670</v>
      </c>
      <c r="N94" s="1083" t="s">
        <v>671</v>
      </c>
      <c r="O94" s="1084" t="s">
        <v>17</v>
      </c>
      <c r="P94" s="1"/>
    </row>
    <row r="95" spans="1:16" ht="30" thickBot="1">
      <c r="A95" s="1074" t="s">
        <v>27</v>
      </c>
      <c r="B95" s="1075" t="s">
        <v>1810</v>
      </c>
      <c r="C95" s="377" t="s">
        <v>1619</v>
      </c>
      <c r="D95" s="453"/>
      <c r="E95" s="377">
        <v>13</v>
      </c>
      <c r="F95" s="1075" t="s">
        <v>1580</v>
      </c>
      <c r="G95" s="1078" t="s">
        <v>1581</v>
      </c>
      <c r="H95" s="1165" t="s">
        <v>1680</v>
      </c>
      <c r="I95" s="713">
        <v>11590711</v>
      </c>
      <c r="J95" s="673" t="s">
        <v>29</v>
      </c>
      <c r="K95" s="92">
        <v>6</v>
      </c>
      <c r="L95" s="34">
        <f>40418-23866</f>
        <v>16552</v>
      </c>
      <c r="M95" s="176"/>
      <c r="N95" s="176"/>
      <c r="O95" s="213">
        <f>L95</f>
        <v>16552</v>
      </c>
      <c r="P95" s="1"/>
    </row>
    <row r="96" spans="1:16" ht="15">
      <c r="A96" s="1"/>
      <c r="B96" s="1348" t="s">
        <v>23</v>
      </c>
      <c r="C96" s="1349" t="s">
        <v>1604</v>
      </c>
      <c r="D96" s="1350"/>
      <c r="E96" s="56"/>
      <c r="F96" s="1"/>
      <c r="G96" s="1185" t="s">
        <v>1719</v>
      </c>
      <c r="H96" s="125" t="s">
        <v>1828</v>
      </c>
      <c r="I96" s="670"/>
      <c r="J96" s="1"/>
      <c r="K96" s="1"/>
      <c r="L96" s="1"/>
      <c r="M96" s="127"/>
      <c r="N96" s="213" t="s">
        <v>63</v>
      </c>
      <c r="O96" s="1079">
        <f>SUM(O95)</f>
        <v>16552</v>
      </c>
      <c r="P96" s="1"/>
    </row>
    <row r="97" spans="1:16" ht="15">
      <c r="A97" s="1"/>
      <c r="B97" s="624"/>
      <c r="C97" s="1351" t="s">
        <v>1605</v>
      </c>
      <c r="D97" s="1350"/>
      <c r="E97" s="56"/>
      <c r="F97" s="1"/>
      <c r="G97" s="16"/>
      <c r="H97" s="600" t="s">
        <v>1829</v>
      </c>
      <c r="I97" s="181"/>
      <c r="J97" s="1"/>
      <c r="K97" s="1"/>
      <c r="L97" s="1"/>
      <c r="M97" s="127"/>
      <c r="N97" s="127"/>
      <c r="O97" s="127"/>
      <c r="P97" s="1"/>
    </row>
    <row r="98" spans="1:16" ht="15.75" thickBot="1">
      <c r="A98" s="1"/>
      <c r="B98" s="624"/>
      <c r="C98" s="1351" t="s">
        <v>1676</v>
      </c>
      <c r="D98" s="1350"/>
      <c r="E98" s="56"/>
      <c r="F98" s="1"/>
      <c r="G98" s="1178"/>
      <c r="H98" s="456" t="s">
        <v>1676</v>
      </c>
      <c r="I98" s="182"/>
      <c r="J98" s="1"/>
      <c r="K98" s="1"/>
      <c r="L98" s="1"/>
      <c r="M98" s="127"/>
      <c r="N98" s="127"/>
      <c r="O98" s="127"/>
      <c r="P98" s="1"/>
    </row>
    <row r="99" spans="1:16" ht="15">
      <c r="A99" s="1"/>
      <c r="B99" s="1348" t="s">
        <v>169</v>
      </c>
      <c r="C99" s="1351">
        <v>8212394019</v>
      </c>
      <c r="D99" s="1350"/>
      <c r="E99" s="56"/>
      <c r="F99" s="1"/>
      <c r="G99" s="1"/>
      <c r="H99" s="1"/>
      <c r="I99" s="1"/>
      <c r="J99" s="1"/>
      <c r="K99" s="1"/>
      <c r="L99" s="1"/>
      <c r="M99" s="127"/>
      <c r="N99" s="127"/>
      <c r="O99" s="127"/>
      <c r="P99" s="1"/>
    </row>
    <row r="100" spans="1:16" ht="15.75" thickBot="1">
      <c r="A100" s="1"/>
      <c r="B100" s="1352" t="s">
        <v>1112</v>
      </c>
      <c r="C100" s="1353" t="s">
        <v>1606</v>
      </c>
      <c r="D100" s="1354"/>
      <c r="E100" s="56"/>
      <c r="F100" s="1"/>
      <c r="G100" s="1"/>
      <c r="H100" s="1"/>
      <c r="I100" s="1"/>
      <c r="J100" s="1"/>
      <c r="K100" s="1"/>
      <c r="L100" s="1"/>
      <c r="M100" s="127"/>
      <c r="N100" s="127"/>
      <c r="O100" s="127"/>
      <c r="P100" s="1"/>
    </row>
    <row r="101" spans="1:16" ht="15">
      <c r="A101" s="1"/>
      <c r="B101" s="1375"/>
      <c r="C101" s="1351"/>
      <c r="D101" s="318"/>
      <c r="E101" s="56"/>
      <c r="F101" s="1"/>
      <c r="G101" s="1"/>
      <c r="H101" s="1"/>
      <c r="I101" s="1"/>
      <c r="J101" s="1"/>
      <c r="K101" s="1"/>
      <c r="L101" s="1"/>
      <c r="M101" s="127"/>
      <c r="N101" s="127"/>
      <c r="O101" s="127"/>
      <c r="P101" s="1"/>
    </row>
    <row r="102" spans="1:16" ht="15" thickBot="1">
      <c r="A102" s="1"/>
      <c r="B102" s="1085"/>
      <c r="C102" s="345"/>
      <c r="D102" s="654"/>
      <c r="E102" s="56"/>
      <c r="F102" s="1"/>
      <c r="G102" s="1"/>
      <c r="H102" s="1"/>
      <c r="I102" s="1"/>
      <c r="J102" s="1"/>
      <c r="K102" s="1"/>
      <c r="L102" s="1"/>
      <c r="M102" s="127"/>
      <c r="N102" s="127"/>
      <c r="O102" s="127"/>
      <c r="P102" s="1"/>
    </row>
    <row r="103" spans="1:16" ht="36.75" customHeight="1">
      <c r="A103" s="1726" t="s">
        <v>7</v>
      </c>
      <c r="B103" s="1711" t="s">
        <v>664</v>
      </c>
      <c r="C103" s="1711" t="s">
        <v>9</v>
      </c>
      <c r="D103" s="1711" t="s">
        <v>10</v>
      </c>
      <c r="E103" s="1729" t="s">
        <v>665</v>
      </c>
      <c r="F103" s="1729" t="s">
        <v>12</v>
      </c>
      <c r="G103" s="1711" t="s">
        <v>13</v>
      </c>
      <c r="H103" s="1714" t="s">
        <v>14</v>
      </c>
      <c r="I103" s="1714" t="s">
        <v>282</v>
      </c>
      <c r="J103" s="1714" t="s">
        <v>60</v>
      </c>
      <c r="K103" s="1717" t="s">
        <v>666</v>
      </c>
      <c r="L103" s="1720" t="s">
        <v>667</v>
      </c>
      <c r="M103" s="1721"/>
      <c r="N103" s="1721"/>
      <c r="O103" s="1722"/>
      <c r="P103" s="1"/>
    </row>
    <row r="104" spans="1:16" ht="36.75" customHeight="1">
      <c r="A104" s="1727"/>
      <c r="B104" s="1712"/>
      <c r="C104" s="1712"/>
      <c r="D104" s="1712"/>
      <c r="E104" s="1730"/>
      <c r="F104" s="1730"/>
      <c r="G104" s="1712"/>
      <c r="H104" s="1715"/>
      <c r="I104" s="1715"/>
      <c r="J104" s="1715"/>
      <c r="K104" s="1718"/>
      <c r="L104" s="1723" t="s">
        <v>668</v>
      </c>
      <c r="M104" s="1724"/>
      <c r="N104" s="1724"/>
      <c r="O104" s="1725"/>
      <c r="P104" s="1"/>
    </row>
    <row r="105" spans="1:16" ht="36.75" customHeight="1" thickBot="1">
      <c r="A105" s="1728"/>
      <c r="B105" s="1713"/>
      <c r="C105" s="1713"/>
      <c r="D105" s="1713"/>
      <c r="E105" s="1731"/>
      <c r="F105" s="1731"/>
      <c r="G105" s="1713"/>
      <c r="H105" s="1716"/>
      <c r="I105" s="1716"/>
      <c r="J105" s="1716"/>
      <c r="K105" s="1719"/>
      <c r="L105" s="1082" t="s">
        <v>669</v>
      </c>
      <c r="M105" s="1083" t="s">
        <v>670</v>
      </c>
      <c r="N105" s="1083" t="s">
        <v>671</v>
      </c>
      <c r="O105" s="1084" t="s">
        <v>17</v>
      </c>
      <c r="P105" s="1"/>
    </row>
    <row r="106" spans="1:16" ht="18.75" thickBot="1">
      <c r="A106" s="1074" t="s">
        <v>27</v>
      </c>
      <c r="B106" s="1075" t="s">
        <v>1824</v>
      </c>
      <c r="C106" s="377" t="s">
        <v>1581</v>
      </c>
      <c r="D106" s="453" t="s">
        <v>172</v>
      </c>
      <c r="E106" s="377">
        <v>2</v>
      </c>
      <c r="F106" s="1075" t="s">
        <v>1580</v>
      </c>
      <c r="G106" s="1078" t="s">
        <v>1581</v>
      </c>
      <c r="H106" s="1165" t="s">
        <v>1681</v>
      </c>
      <c r="I106" s="386">
        <v>11143757</v>
      </c>
      <c r="J106" s="673" t="s">
        <v>29</v>
      </c>
      <c r="K106" s="92">
        <v>40</v>
      </c>
      <c r="L106" s="34">
        <f>94179-46470</f>
        <v>47709</v>
      </c>
      <c r="M106" s="176"/>
      <c r="N106" s="176"/>
      <c r="O106" s="213">
        <f>L106</f>
        <v>47709</v>
      </c>
      <c r="P106" s="1"/>
    </row>
    <row r="107" spans="1:16" ht="15">
      <c r="A107" s="1"/>
      <c r="B107" s="1348" t="s">
        <v>23</v>
      </c>
      <c r="C107" s="1349" t="s">
        <v>1604</v>
      </c>
      <c r="D107" s="1350"/>
      <c r="E107" s="56"/>
      <c r="F107" s="1"/>
      <c r="G107" s="1185" t="s">
        <v>1719</v>
      </c>
      <c r="H107" s="1183" t="s">
        <v>1830</v>
      </c>
      <c r="I107" s="1"/>
      <c r="J107" s="1"/>
      <c r="K107" s="1"/>
      <c r="L107" s="1"/>
      <c r="M107" s="127"/>
      <c r="N107" s="213" t="s">
        <v>63</v>
      </c>
      <c r="O107" s="1079">
        <f>SUM(O106)</f>
        <v>47709</v>
      </c>
      <c r="P107" s="1"/>
    </row>
    <row r="108" spans="1:16" ht="15">
      <c r="A108" s="1"/>
      <c r="B108" s="624"/>
      <c r="C108" s="1351" t="s">
        <v>1605</v>
      </c>
      <c r="D108" s="1350"/>
      <c r="E108" s="56"/>
      <c r="F108" s="1"/>
      <c r="G108" s="1184"/>
      <c r="H108" s="1382" t="s">
        <v>1000</v>
      </c>
      <c r="I108" s="1"/>
      <c r="J108" s="1"/>
      <c r="K108" s="1"/>
      <c r="L108" s="1"/>
      <c r="M108" s="127"/>
      <c r="N108" s="127"/>
      <c r="O108" s="127"/>
      <c r="P108" s="1"/>
    </row>
    <row r="109" spans="1:16" ht="15.75" thickBot="1">
      <c r="A109" s="1"/>
      <c r="B109" s="624"/>
      <c r="C109" s="1351" t="s">
        <v>1676</v>
      </c>
      <c r="D109" s="1350"/>
      <c r="E109" s="56"/>
      <c r="F109" s="1"/>
      <c r="G109" s="1195"/>
      <c r="H109" s="1383" t="s">
        <v>1676</v>
      </c>
      <c r="I109" s="1"/>
      <c r="J109" s="1"/>
      <c r="K109" s="1"/>
      <c r="L109" s="1"/>
      <c r="M109" s="127"/>
      <c r="N109" s="127"/>
      <c r="O109" s="127"/>
      <c r="P109" s="1"/>
    </row>
    <row r="110" spans="1:16" ht="15">
      <c r="A110" s="1"/>
      <c r="B110" s="1348" t="s">
        <v>169</v>
      </c>
      <c r="C110" s="1351">
        <v>8212394019</v>
      </c>
      <c r="D110" s="1350"/>
      <c r="E110" s="56"/>
      <c r="F110" s="1"/>
      <c r="G110" s="1"/>
      <c r="H110" s="1"/>
      <c r="I110" s="1"/>
      <c r="J110" s="1"/>
      <c r="K110" s="1"/>
      <c r="L110" s="1"/>
      <c r="M110" s="127"/>
      <c r="N110" s="127"/>
      <c r="O110" s="127"/>
      <c r="P110" s="1"/>
    </row>
    <row r="111" spans="1:16" ht="15.75" thickBot="1">
      <c r="A111" s="1"/>
      <c r="B111" s="1352" t="s">
        <v>1112</v>
      </c>
      <c r="C111" s="1353" t="s">
        <v>1606</v>
      </c>
      <c r="D111" s="1354"/>
      <c r="E111" s="56"/>
      <c r="F111" s="1"/>
      <c r="G111" s="1"/>
      <c r="H111" s="1"/>
      <c r="I111" s="1"/>
      <c r="J111" s="1"/>
      <c r="K111" s="1"/>
      <c r="L111" s="1"/>
      <c r="M111" s="127"/>
      <c r="N111" s="127"/>
      <c r="O111" s="127"/>
      <c r="P111" s="1"/>
    </row>
    <row r="112" spans="1:16" ht="15">
      <c r="A112" s="1"/>
      <c r="B112" s="1375"/>
      <c r="C112" s="1351"/>
      <c r="D112" s="318"/>
      <c r="E112" s="56"/>
      <c r="F112" s="1"/>
      <c r="G112" s="1"/>
      <c r="H112" s="1"/>
      <c r="I112" s="1"/>
      <c r="J112" s="1"/>
      <c r="K112" s="1"/>
      <c r="L112" s="1"/>
      <c r="M112" s="127"/>
      <c r="N112" s="127"/>
      <c r="O112" s="127"/>
      <c r="P112" s="1"/>
    </row>
    <row r="113" spans="1:16" ht="15" thickBot="1">
      <c r="A113" s="1"/>
      <c r="B113" s="1085"/>
      <c r="C113" s="345"/>
      <c r="D113" s="654"/>
      <c r="E113" s="56"/>
      <c r="F113" s="1"/>
      <c r="G113" s="1"/>
      <c r="H113" s="1"/>
      <c r="I113" s="1"/>
      <c r="J113" s="1"/>
      <c r="K113" s="1"/>
      <c r="L113" s="1"/>
      <c r="M113" s="127"/>
      <c r="N113" s="127"/>
      <c r="O113" s="127"/>
      <c r="P113" s="1"/>
    </row>
    <row r="114" spans="1:16" ht="34.5" customHeight="1">
      <c r="A114" s="1726" t="s">
        <v>7</v>
      </c>
      <c r="B114" s="1711" t="s">
        <v>664</v>
      </c>
      <c r="C114" s="1711" t="s">
        <v>9</v>
      </c>
      <c r="D114" s="1711" t="s">
        <v>10</v>
      </c>
      <c r="E114" s="1729" t="s">
        <v>665</v>
      </c>
      <c r="F114" s="1729" t="s">
        <v>12</v>
      </c>
      <c r="G114" s="1711" t="s">
        <v>13</v>
      </c>
      <c r="H114" s="1714" t="s">
        <v>14</v>
      </c>
      <c r="I114" s="1714" t="s">
        <v>282</v>
      </c>
      <c r="J114" s="1714" t="s">
        <v>60</v>
      </c>
      <c r="K114" s="1717" t="s">
        <v>666</v>
      </c>
      <c r="L114" s="1720" t="s">
        <v>667</v>
      </c>
      <c r="M114" s="1721"/>
      <c r="N114" s="1721"/>
      <c r="O114" s="1722"/>
      <c r="P114" s="1"/>
    </row>
    <row r="115" spans="1:16" ht="34.5" customHeight="1">
      <c r="A115" s="1727"/>
      <c r="B115" s="1712"/>
      <c r="C115" s="1712"/>
      <c r="D115" s="1712"/>
      <c r="E115" s="1730"/>
      <c r="F115" s="1730"/>
      <c r="G115" s="1712"/>
      <c r="H115" s="1715"/>
      <c r="I115" s="1715"/>
      <c r="J115" s="1715"/>
      <c r="K115" s="1718"/>
      <c r="L115" s="1723" t="s">
        <v>668</v>
      </c>
      <c r="M115" s="1724"/>
      <c r="N115" s="1724"/>
      <c r="O115" s="1725"/>
      <c r="P115" s="1"/>
    </row>
    <row r="116" spans="1:16" ht="34.5" customHeight="1" thickBot="1">
      <c r="A116" s="1728"/>
      <c r="B116" s="1713"/>
      <c r="C116" s="1713"/>
      <c r="D116" s="1713"/>
      <c r="E116" s="1731"/>
      <c r="F116" s="1731"/>
      <c r="G116" s="1713"/>
      <c r="H116" s="1716"/>
      <c r="I116" s="1716"/>
      <c r="J116" s="1716"/>
      <c r="K116" s="1719"/>
      <c r="L116" s="1082" t="s">
        <v>669</v>
      </c>
      <c r="M116" s="1083" t="s">
        <v>670</v>
      </c>
      <c r="N116" s="1083" t="s">
        <v>671</v>
      </c>
      <c r="O116" s="1084" t="s">
        <v>17</v>
      </c>
      <c r="P116" s="1"/>
    </row>
    <row r="117" spans="1:16" ht="29.25">
      <c r="A117" s="1074" t="s">
        <v>27</v>
      </c>
      <c r="B117" s="1075" t="s">
        <v>1825</v>
      </c>
      <c r="C117" s="377" t="s">
        <v>1603</v>
      </c>
      <c r="D117" s="453"/>
      <c r="E117" s="377" t="s">
        <v>1683</v>
      </c>
      <c r="F117" s="1075" t="s">
        <v>1686</v>
      </c>
      <c r="G117" s="1075" t="s">
        <v>1603</v>
      </c>
      <c r="H117" s="1071" t="s">
        <v>1684</v>
      </c>
      <c r="I117" s="386">
        <v>9688156</v>
      </c>
      <c r="J117" s="673" t="s">
        <v>29</v>
      </c>
      <c r="K117" s="92">
        <v>4</v>
      </c>
      <c r="L117" s="34">
        <f>29617-23222</f>
        <v>6395</v>
      </c>
      <c r="M117" s="176"/>
      <c r="N117" s="176"/>
      <c r="O117" s="213">
        <f>L117</f>
        <v>6395</v>
      </c>
      <c r="P117" s="1"/>
    </row>
    <row r="118" spans="1:16" ht="18">
      <c r="A118" s="1074" t="s">
        <v>27</v>
      </c>
      <c r="B118" s="1075" t="s">
        <v>1810</v>
      </c>
      <c r="C118" s="377" t="s">
        <v>1603</v>
      </c>
      <c r="D118" s="453"/>
      <c r="E118" s="377">
        <v>33</v>
      </c>
      <c r="F118" s="1075" t="s">
        <v>1686</v>
      </c>
      <c r="G118" s="1075" t="s">
        <v>1603</v>
      </c>
      <c r="H118" s="1071" t="s">
        <v>1685</v>
      </c>
      <c r="I118" s="386">
        <v>90376420</v>
      </c>
      <c r="J118" s="673" t="s">
        <v>29</v>
      </c>
      <c r="K118" s="92">
        <f>18</f>
        <v>18</v>
      </c>
      <c r="L118" s="34">
        <f>(16500-5)+364</f>
        <v>16859</v>
      </c>
      <c r="M118" s="176"/>
      <c r="N118" s="176"/>
      <c r="O118" s="213">
        <f>L118</f>
        <v>16859</v>
      </c>
      <c r="P118" s="1"/>
    </row>
    <row r="119" spans="1:16" ht="18.75" thickBot="1">
      <c r="A119" s="1074" t="s">
        <v>27</v>
      </c>
      <c r="B119" s="1075" t="s">
        <v>1810</v>
      </c>
      <c r="C119" s="377" t="s">
        <v>1603</v>
      </c>
      <c r="D119" s="453"/>
      <c r="E119" s="377">
        <v>29</v>
      </c>
      <c r="F119" s="1075" t="s">
        <v>1686</v>
      </c>
      <c r="G119" s="1075" t="s">
        <v>1603</v>
      </c>
      <c r="H119" s="1071" t="s">
        <v>1687</v>
      </c>
      <c r="I119" s="386">
        <v>83669288</v>
      </c>
      <c r="J119" s="673" t="s">
        <v>29</v>
      </c>
      <c r="K119" s="92">
        <v>5</v>
      </c>
      <c r="L119" s="34">
        <f>12021-10109</f>
        <v>1912</v>
      </c>
      <c r="M119" s="176"/>
      <c r="N119" s="176"/>
      <c r="O119" s="213">
        <f>L119</f>
        <v>1912</v>
      </c>
      <c r="P119" s="1"/>
    </row>
    <row r="120" spans="1:16" ht="15">
      <c r="A120" s="1"/>
      <c r="B120" s="1348" t="s">
        <v>23</v>
      </c>
      <c r="C120" s="1349" t="s">
        <v>1604</v>
      </c>
      <c r="D120" s="1350"/>
      <c r="E120" s="56"/>
      <c r="F120" s="1"/>
      <c r="G120" s="1185" t="s">
        <v>1719</v>
      </c>
      <c r="H120" s="1356" t="s">
        <v>1831</v>
      </c>
      <c r="I120" s="1"/>
      <c r="J120" s="1"/>
      <c r="K120" s="1"/>
      <c r="L120" s="1"/>
      <c r="M120" s="127"/>
      <c r="N120" s="213" t="s">
        <v>63</v>
      </c>
      <c r="O120" s="1079">
        <f>SUM(O117:O119)</f>
        <v>25166</v>
      </c>
      <c r="P120" s="1"/>
    </row>
    <row r="121" spans="1:16" ht="15">
      <c r="A121" s="1"/>
      <c r="B121" s="624"/>
      <c r="C121" s="1351" t="s">
        <v>1605</v>
      </c>
      <c r="D121" s="1350"/>
      <c r="E121" s="56"/>
      <c r="F121" s="1"/>
      <c r="G121" s="1378"/>
      <c r="H121" s="1379" t="s">
        <v>1832</v>
      </c>
      <c r="I121" s="1"/>
      <c r="J121" s="1"/>
      <c r="K121" s="1"/>
      <c r="L121" s="1"/>
      <c r="M121" s="127"/>
      <c r="N121" s="127"/>
      <c r="O121" s="127"/>
      <c r="P121" s="1"/>
    </row>
    <row r="122" spans="1:16" ht="15.75" thickBot="1">
      <c r="A122" s="1"/>
      <c r="B122" s="624"/>
      <c r="C122" s="1351" t="s">
        <v>1676</v>
      </c>
      <c r="D122" s="1350"/>
      <c r="E122" s="56"/>
      <c r="F122" s="1"/>
      <c r="G122" s="1380"/>
      <c r="H122" s="1381" t="s">
        <v>1676</v>
      </c>
      <c r="I122" s="1"/>
      <c r="J122" s="1"/>
      <c r="K122" s="1"/>
      <c r="L122" s="1"/>
      <c r="M122" s="127"/>
      <c r="N122" s="127"/>
      <c r="O122" s="127"/>
      <c r="P122" s="1"/>
    </row>
    <row r="123" spans="1:16" ht="15">
      <c r="A123" s="1"/>
      <c r="B123" s="1348" t="s">
        <v>169</v>
      </c>
      <c r="C123" s="1351">
        <v>8212394019</v>
      </c>
      <c r="D123" s="1350"/>
      <c r="E123" s="56"/>
      <c r="F123" s="1"/>
      <c r="G123" s="1"/>
      <c r="H123" s="1"/>
      <c r="I123" s="1"/>
      <c r="J123" s="1"/>
      <c r="K123" s="1"/>
      <c r="L123" s="1"/>
      <c r="M123" s="127"/>
      <c r="N123" s="127"/>
      <c r="O123" s="127"/>
      <c r="P123" s="1"/>
    </row>
    <row r="124" spans="1:16" ht="15.75" thickBot="1">
      <c r="A124" s="1"/>
      <c r="B124" s="1352" t="s">
        <v>1112</v>
      </c>
      <c r="C124" s="1353" t="s">
        <v>1606</v>
      </c>
      <c r="D124" s="1354"/>
      <c r="E124" s="1"/>
      <c r="F124" s="1"/>
      <c r="G124" s="1"/>
      <c r="H124" s="1"/>
      <c r="I124" s="1"/>
      <c r="J124" s="1"/>
      <c r="K124" s="1"/>
      <c r="L124" s="1"/>
      <c r="M124" s="127"/>
      <c r="N124" s="127"/>
      <c r="O124" s="127"/>
      <c r="P124" s="1"/>
    </row>
    <row r="125" spans="1:16" ht="15">
      <c r="A125" s="1"/>
      <c r="B125" s="1375"/>
      <c r="C125" s="1351"/>
      <c r="D125" s="318"/>
      <c r="E125" s="1"/>
      <c r="F125" s="1"/>
      <c r="G125" s="1"/>
      <c r="H125" s="1"/>
      <c r="I125" s="1"/>
      <c r="J125" s="1"/>
      <c r="K125" s="1"/>
      <c r="L125" s="1"/>
      <c r="M125" s="127"/>
      <c r="N125" s="127"/>
      <c r="O125" s="127"/>
      <c r="P125" s="1"/>
    </row>
    <row r="126" spans="1:16" ht="15" thickBot="1">
      <c r="A126" s="1"/>
      <c r="B126" s="1085"/>
      <c r="C126" s="345"/>
      <c r="D126" s="654"/>
      <c r="E126" s="1"/>
      <c r="F126" s="1"/>
      <c r="G126" s="1"/>
      <c r="H126" s="1"/>
      <c r="I126" s="1"/>
      <c r="J126" s="1"/>
      <c r="K126" s="1"/>
      <c r="L126" s="1"/>
      <c r="M126" s="127"/>
      <c r="N126" s="127"/>
      <c r="O126" s="127"/>
      <c r="P126" s="1"/>
    </row>
    <row r="127" spans="1:16" ht="48" customHeight="1">
      <c r="A127" s="1726" t="s">
        <v>7</v>
      </c>
      <c r="B127" s="1711" t="s">
        <v>664</v>
      </c>
      <c r="C127" s="1711" t="s">
        <v>9</v>
      </c>
      <c r="D127" s="1711" t="s">
        <v>10</v>
      </c>
      <c r="E127" s="1729" t="s">
        <v>665</v>
      </c>
      <c r="F127" s="1729" t="s">
        <v>12</v>
      </c>
      <c r="G127" s="1711" t="s">
        <v>13</v>
      </c>
      <c r="H127" s="1714" t="s">
        <v>14</v>
      </c>
      <c r="I127" s="1714" t="s">
        <v>282</v>
      </c>
      <c r="J127" s="1714" t="s">
        <v>60</v>
      </c>
      <c r="K127" s="1717" t="s">
        <v>666</v>
      </c>
      <c r="L127" s="1720" t="s">
        <v>667</v>
      </c>
      <c r="M127" s="1721"/>
      <c r="N127" s="1721"/>
      <c r="O127" s="1722"/>
      <c r="P127" s="1"/>
    </row>
    <row r="128" spans="1:16" ht="34.5" customHeight="1">
      <c r="A128" s="1727"/>
      <c r="B128" s="1712"/>
      <c r="C128" s="1712"/>
      <c r="D128" s="1712"/>
      <c r="E128" s="1730"/>
      <c r="F128" s="1730"/>
      <c r="G128" s="1712"/>
      <c r="H128" s="1715"/>
      <c r="I128" s="1715"/>
      <c r="J128" s="1715"/>
      <c r="K128" s="1718"/>
      <c r="L128" s="1723" t="s">
        <v>668</v>
      </c>
      <c r="M128" s="1724"/>
      <c r="N128" s="1724"/>
      <c r="O128" s="1725"/>
      <c r="P128" s="1"/>
    </row>
    <row r="129" spans="1:16" ht="30.75" customHeight="1" thickBot="1">
      <c r="A129" s="1728"/>
      <c r="B129" s="1713"/>
      <c r="C129" s="1713"/>
      <c r="D129" s="1713"/>
      <c r="E129" s="1731"/>
      <c r="F129" s="1731"/>
      <c r="G129" s="1713"/>
      <c r="H129" s="1716"/>
      <c r="I129" s="1716"/>
      <c r="J129" s="1716"/>
      <c r="K129" s="1719"/>
      <c r="L129" s="1082" t="s">
        <v>669</v>
      </c>
      <c r="M129" s="1083" t="s">
        <v>670</v>
      </c>
      <c r="N129" s="1083" t="s">
        <v>671</v>
      </c>
      <c r="O129" s="1084" t="s">
        <v>17</v>
      </c>
      <c r="P129" s="1"/>
    </row>
    <row r="130" spans="1:16" ht="34.5" customHeight="1">
      <c r="A130" s="1074" t="s">
        <v>27</v>
      </c>
      <c r="B130" s="1075" t="s">
        <v>329</v>
      </c>
      <c r="C130" s="377" t="s">
        <v>1581</v>
      </c>
      <c r="D130" s="453" t="s">
        <v>1613</v>
      </c>
      <c r="E130" s="377" t="s">
        <v>1690</v>
      </c>
      <c r="F130" s="1075" t="s">
        <v>1580</v>
      </c>
      <c r="G130" s="1075" t="s">
        <v>1581</v>
      </c>
      <c r="H130" s="1071" t="s">
        <v>1691</v>
      </c>
      <c r="I130" s="386">
        <v>1100294</v>
      </c>
      <c r="J130" s="625" t="s">
        <v>22</v>
      </c>
      <c r="K130" s="92">
        <v>65</v>
      </c>
      <c r="L130" s="34">
        <f>(10774.54-6367.81)*30</f>
        <v>132201.90000000002</v>
      </c>
      <c r="M130" s="176"/>
      <c r="N130" s="176"/>
      <c r="O130" s="213">
        <f aca="true" t="shared" si="1" ref="O130:O135">L130</f>
        <v>132201.90000000002</v>
      </c>
      <c r="P130" s="1"/>
    </row>
    <row r="131" spans="1:16" ht="34.5" customHeight="1">
      <c r="A131" s="1074" t="s">
        <v>27</v>
      </c>
      <c r="B131" s="1075" t="s">
        <v>1692</v>
      </c>
      <c r="C131" s="377" t="s">
        <v>1581</v>
      </c>
      <c r="D131" s="453" t="s">
        <v>333</v>
      </c>
      <c r="E131" s="377"/>
      <c r="F131" s="1075" t="s">
        <v>1580</v>
      </c>
      <c r="G131" s="1075" t="s">
        <v>1581</v>
      </c>
      <c r="H131" s="1071" t="s">
        <v>1693</v>
      </c>
      <c r="I131" s="386">
        <v>1063191</v>
      </c>
      <c r="J131" s="673" t="s">
        <v>29</v>
      </c>
      <c r="K131" s="92">
        <v>14</v>
      </c>
      <c r="L131" s="34">
        <f>(1727.2-904.42)*10</f>
        <v>8227.800000000001</v>
      </c>
      <c r="M131" s="176"/>
      <c r="N131" s="176"/>
      <c r="O131" s="213">
        <f t="shared" si="1"/>
        <v>8227.800000000001</v>
      </c>
      <c r="P131" s="1"/>
    </row>
    <row r="132" spans="1:16" ht="34.5" customHeight="1">
      <c r="A132" s="1074" t="s">
        <v>27</v>
      </c>
      <c r="B132" s="1075" t="s">
        <v>1694</v>
      </c>
      <c r="C132" s="377" t="s">
        <v>1581</v>
      </c>
      <c r="D132" s="453" t="s">
        <v>1053</v>
      </c>
      <c r="E132" s="377">
        <v>8</v>
      </c>
      <c r="F132" s="1075" t="s">
        <v>1580</v>
      </c>
      <c r="G132" s="1075" t="s">
        <v>1581</v>
      </c>
      <c r="H132" s="1071" t="s">
        <v>1695</v>
      </c>
      <c r="I132" s="386">
        <v>568120</v>
      </c>
      <c r="J132" s="625" t="s">
        <v>22</v>
      </c>
      <c r="K132" s="92">
        <v>38</v>
      </c>
      <c r="L132" s="34">
        <f>(38468.54-33360.22)*30</f>
        <v>153249.59999999998</v>
      </c>
      <c r="M132" s="176"/>
      <c r="N132" s="176"/>
      <c r="O132" s="213">
        <f t="shared" si="1"/>
        <v>153249.59999999998</v>
      </c>
      <c r="P132" s="1"/>
    </row>
    <row r="133" spans="1:16" ht="34.5" customHeight="1">
      <c r="A133" s="1074" t="s">
        <v>27</v>
      </c>
      <c r="B133" s="1075" t="s">
        <v>1698</v>
      </c>
      <c r="C133" s="377" t="s">
        <v>1590</v>
      </c>
      <c r="D133" s="453"/>
      <c r="E133" s="377" t="s">
        <v>1696</v>
      </c>
      <c r="F133" s="1075" t="s">
        <v>1580</v>
      </c>
      <c r="G133" s="1075" t="s">
        <v>1581</v>
      </c>
      <c r="H133" s="1071" t="s">
        <v>1697</v>
      </c>
      <c r="I133" s="386">
        <v>319367</v>
      </c>
      <c r="J133" s="673" t="s">
        <v>29</v>
      </c>
      <c r="K133" s="92">
        <v>11</v>
      </c>
      <c r="L133" s="34">
        <f>5753-4139</f>
        <v>1614</v>
      </c>
      <c r="M133" s="176"/>
      <c r="N133" s="176"/>
      <c r="O133" s="213">
        <f t="shared" si="1"/>
        <v>1614</v>
      </c>
      <c r="P133" s="1"/>
    </row>
    <row r="134" spans="1:16" ht="34.5" customHeight="1">
      <c r="A134" s="1074" t="s">
        <v>27</v>
      </c>
      <c r="B134" s="1075" t="s">
        <v>1698</v>
      </c>
      <c r="C134" s="377" t="s">
        <v>1601</v>
      </c>
      <c r="D134" s="453"/>
      <c r="E134" s="377"/>
      <c r="F134" s="1075" t="s">
        <v>1580</v>
      </c>
      <c r="G134" s="1075" t="s">
        <v>1581</v>
      </c>
      <c r="H134" s="1071" t="s">
        <v>1699</v>
      </c>
      <c r="I134" s="386">
        <v>308511</v>
      </c>
      <c r="J134" s="673" t="s">
        <v>29</v>
      </c>
      <c r="K134" s="92">
        <v>11</v>
      </c>
      <c r="L134" s="34">
        <f>4910-3326</f>
        <v>1584</v>
      </c>
      <c r="M134" s="176"/>
      <c r="N134" s="176"/>
      <c r="O134" s="213">
        <f t="shared" si="1"/>
        <v>1584</v>
      </c>
      <c r="P134" s="1"/>
    </row>
    <row r="135" spans="1:16" ht="34.5" customHeight="1">
      <c r="A135" s="1074" t="s">
        <v>27</v>
      </c>
      <c r="B135" s="377" t="s">
        <v>273</v>
      </c>
      <c r="C135" s="655" t="s">
        <v>1581</v>
      </c>
      <c r="D135" s="675"/>
      <c r="E135" s="655"/>
      <c r="F135" s="1075" t="s">
        <v>1580</v>
      </c>
      <c r="G135" s="1075" t="s">
        <v>1581</v>
      </c>
      <c r="H135" s="1071" t="s">
        <v>1700</v>
      </c>
      <c r="I135" s="386">
        <v>304685</v>
      </c>
      <c r="J135" s="673" t="s">
        <v>29</v>
      </c>
      <c r="K135" s="92">
        <v>7</v>
      </c>
      <c r="L135" s="34">
        <f>5711-3200</f>
        <v>2511</v>
      </c>
      <c r="M135" s="176"/>
      <c r="N135" s="176"/>
      <c r="O135" s="213">
        <f t="shared" si="1"/>
        <v>2511</v>
      </c>
      <c r="P135" s="1"/>
    </row>
    <row r="136" spans="1:16" ht="34.5" customHeight="1">
      <c r="A136" s="1074" t="s">
        <v>27</v>
      </c>
      <c r="B136" s="1075" t="s">
        <v>1701</v>
      </c>
      <c r="C136" s="377" t="s">
        <v>1581</v>
      </c>
      <c r="D136" s="453" t="s">
        <v>755</v>
      </c>
      <c r="E136" s="377"/>
      <c r="F136" s="1075" t="s">
        <v>1580</v>
      </c>
      <c r="G136" s="1075" t="s">
        <v>1581</v>
      </c>
      <c r="H136" s="1071" t="s">
        <v>1702</v>
      </c>
      <c r="I136" s="386">
        <v>90379749</v>
      </c>
      <c r="J136" s="673" t="s">
        <v>29</v>
      </c>
      <c r="K136" s="92">
        <v>1.1</v>
      </c>
      <c r="L136" s="34">
        <f>61*12</f>
        <v>732</v>
      </c>
      <c r="M136" s="176"/>
      <c r="N136" s="176"/>
      <c r="O136" s="213">
        <f>L136</f>
        <v>732</v>
      </c>
      <c r="P136" s="1"/>
    </row>
    <row r="137" spans="1:16" ht="34.5" customHeight="1">
      <c r="A137" s="1074" t="s">
        <v>27</v>
      </c>
      <c r="B137" s="1075" t="s">
        <v>273</v>
      </c>
      <c r="C137" s="377" t="s">
        <v>1591</v>
      </c>
      <c r="D137" s="453"/>
      <c r="E137" s="377" t="s">
        <v>1703</v>
      </c>
      <c r="F137" s="1075" t="s">
        <v>1580</v>
      </c>
      <c r="G137" s="1075" t="s">
        <v>1581</v>
      </c>
      <c r="H137" s="1071" t="s">
        <v>1704</v>
      </c>
      <c r="I137" s="386">
        <v>90264925</v>
      </c>
      <c r="J137" s="673" t="s">
        <v>29</v>
      </c>
      <c r="K137" s="92">
        <v>14</v>
      </c>
      <c r="L137" s="34">
        <f>8-7</f>
        <v>1</v>
      </c>
      <c r="M137" s="176"/>
      <c r="N137" s="176"/>
      <c r="O137" s="213">
        <f>L137</f>
        <v>1</v>
      </c>
      <c r="P137" s="1"/>
    </row>
    <row r="138" spans="1:16" ht="34.5" customHeight="1">
      <c r="A138" s="1074" t="s">
        <v>27</v>
      </c>
      <c r="B138" s="377" t="s">
        <v>1705</v>
      </c>
      <c r="C138" s="655" t="s">
        <v>1581</v>
      </c>
      <c r="D138" s="675" t="s">
        <v>1595</v>
      </c>
      <c r="E138" s="655">
        <v>28</v>
      </c>
      <c r="F138" s="1075" t="s">
        <v>1580</v>
      </c>
      <c r="G138" s="1075" t="s">
        <v>1581</v>
      </c>
      <c r="H138" s="1071" t="s">
        <v>1706</v>
      </c>
      <c r="I138" s="386">
        <v>12486401</v>
      </c>
      <c r="J138" s="673" t="s">
        <v>29</v>
      </c>
      <c r="K138" s="92">
        <v>5.7</v>
      </c>
      <c r="L138" s="34">
        <f>49547-45238</f>
        <v>4309</v>
      </c>
      <c r="M138" s="176"/>
      <c r="N138" s="176"/>
      <c r="O138" s="213">
        <f>L138</f>
        <v>4309</v>
      </c>
      <c r="P138" s="1"/>
    </row>
    <row r="139" spans="1:16" ht="34.5" customHeight="1" thickBot="1">
      <c r="A139" s="1074" t="s">
        <v>27</v>
      </c>
      <c r="B139" s="1078" t="s">
        <v>1707</v>
      </c>
      <c r="C139" s="655" t="s">
        <v>1581</v>
      </c>
      <c r="D139" s="675" t="s">
        <v>1595</v>
      </c>
      <c r="E139" s="377"/>
      <c r="F139" s="377" t="s">
        <v>1580</v>
      </c>
      <c r="G139" s="1078" t="s">
        <v>1581</v>
      </c>
      <c r="H139" s="1165" t="s">
        <v>1708</v>
      </c>
      <c r="I139" s="713">
        <v>12712714</v>
      </c>
      <c r="J139" s="673" t="s">
        <v>29</v>
      </c>
      <c r="K139" s="92">
        <v>5.5</v>
      </c>
      <c r="L139" s="34">
        <f>177877-164388</f>
        <v>13489</v>
      </c>
      <c r="M139" s="176"/>
      <c r="N139" s="176"/>
      <c r="O139" s="213">
        <f>L139</f>
        <v>13489</v>
      </c>
      <c r="P139" s="1"/>
    </row>
    <row r="140" spans="1:16" ht="20.25" customHeight="1">
      <c r="A140" s="1"/>
      <c r="B140" s="1367" t="s">
        <v>23</v>
      </c>
      <c r="C140" s="1361" t="s">
        <v>1604</v>
      </c>
      <c r="D140" s="1368"/>
      <c r="E140" s="56"/>
      <c r="F140" s="56"/>
      <c r="G140" s="721" t="s">
        <v>1719</v>
      </c>
      <c r="H140" s="122" t="s">
        <v>1688</v>
      </c>
      <c r="I140" s="12"/>
      <c r="J140" s="1"/>
      <c r="K140" s="1"/>
      <c r="L140" s="1"/>
      <c r="M140" s="127"/>
      <c r="N140" s="213" t="s">
        <v>63</v>
      </c>
      <c r="O140" s="1079">
        <f>SUM(O130:O139)</f>
        <v>317919.3</v>
      </c>
      <c r="P140" s="1"/>
    </row>
    <row r="141" spans="1:16" ht="15">
      <c r="A141" s="1"/>
      <c r="B141" s="624"/>
      <c r="C141" s="1351" t="s">
        <v>1605</v>
      </c>
      <c r="D141" s="1350"/>
      <c r="E141" s="56"/>
      <c r="F141" s="56"/>
      <c r="G141" s="13"/>
      <c r="H141" s="724" t="s">
        <v>1689</v>
      </c>
      <c r="I141" s="15"/>
      <c r="J141" s="1"/>
      <c r="K141" s="1"/>
      <c r="L141" s="1"/>
      <c r="M141" s="127"/>
      <c r="N141" s="127"/>
      <c r="O141" s="127"/>
      <c r="P141" s="1"/>
    </row>
    <row r="142" spans="1:16" ht="15.75" thickBot="1">
      <c r="A142" s="1"/>
      <c r="B142" s="624"/>
      <c r="C142" s="1351" t="s">
        <v>1676</v>
      </c>
      <c r="D142" s="1350"/>
      <c r="E142" s="56"/>
      <c r="F142" s="56"/>
      <c r="G142" s="73"/>
      <c r="H142" s="726" t="s">
        <v>1676</v>
      </c>
      <c r="I142" s="18"/>
      <c r="J142" s="1"/>
      <c r="K142" s="1"/>
      <c r="L142" s="1"/>
      <c r="M142" s="127"/>
      <c r="N142" s="127"/>
      <c r="O142" s="127"/>
      <c r="P142" s="1"/>
    </row>
    <row r="143" spans="1:16" ht="15">
      <c r="A143" s="1"/>
      <c r="B143" s="1348" t="s">
        <v>169</v>
      </c>
      <c r="C143" s="1351">
        <v>8212394019</v>
      </c>
      <c r="D143" s="1350"/>
      <c r="E143" s="56"/>
      <c r="F143" s="1"/>
      <c r="G143" s="1"/>
      <c r="H143" s="345"/>
      <c r="I143" s="1"/>
      <c r="J143" s="1"/>
      <c r="K143" s="1"/>
      <c r="L143" s="1"/>
      <c r="M143" s="127"/>
      <c r="N143" s="127"/>
      <c r="O143" s="127"/>
      <c r="P143" s="1"/>
    </row>
    <row r="144" spans="1:16" ht="24" customHeight="1" thickBot="1">
      <c r="A144" s="1"/>
      <c r="B144" s="1352" t="s">
        <v>1112</v>
      </c>
      <c r="C144" s="1353" t="s">
        <v>1606</v>
      </c>
      <c r="D144" s="1354"/>
      <c r="E144" s="1"/>
      <c r="F144" s="1"/>
      <c r="G144" s="1"/>
      <c r="H144" s="1"/>
      <c r="I144" s="1"/>
      <c r="J144" s="1"/>
      <c r="K144" s="1"/>
      <c r="L144" s="1"/>
      <c r="N144" s="127"/>
      <c r="O144" s="127"/>
      <c r="P144" s="1"/>
    </row>
    <row r="145" spans="1:16" ht="24" customHeight="1">
      <c r="A145" s="1"/>
      <c r="B145" s="1375"/>
      <c r="C145" s="1351"/>
      <c r="D145" s="318"/>
      <c r="E145" s="1"/>
      <c r="F145" s="1"/>
      <c r="G145" s="1"/>
      <c r="H145" s="1"/>
      <c r="I145" s="1"/>
      <c r="J145" s="1"/>
      <c r="K145" s="1"/>
      <c r="L145" s="1"/>
      <c r="M145" s="127" t="s">
        <v>63</v>
      </c>
      <c r="N145" s="127">
        <f>O74+O85+O96+O107+O120+O140</f>
        <v>711621.3</v>
      </c>
      <c r="O145" s="127"/>
      <c r="P145" s="1"/>
    </row>
    <row r="146" ht="15.75" thickBot="1">
      <c r="P146" s="443"/>
    </row>
    <row r="147" spans="2:15" ht="46.5" customHeight="1">
      <c r="B147" s="374"/>
      <c r="C147" s="374"/>
      <c r="D147" s="654"/>
      <c r="K147" s="1621" t="s">
        <v>60</v>
      </c>
      <c r="L147" s="1623" t="s">
        <v>675</v>
      </c>
      <c r="M147" s="1624"/>
      <c r="N147" s="1625"/>
      <c r="O147" s="1626" t="s">
        <v>61</v>
      </c>
    </row>
    <row r="148" spans="2:15" ht="24.75" customHeight="1" thickBot="1">
      <c r="B148" s="374"/>
      <c r="C148" s="374"/>
      <c r="D148" s="705"/>
      <c r="K148" s="1622"/>
      <c r="L148" s="282" t="s">
        <v>62</v>
      </c>
      <c r="M148" s="282" t="s">
        <v>670</v>
      </c>
      <c r="N148" s="282" t="s">
        <v>671</v>
      </c>
      <c r="O148" s="1627"/>
    </row>
    <row r="149" spans="11:15" ht="19.5" customHeight="1">
      <c r="K149" s="418" t="s">
        <v>747</v>
      </c>
      <c r="L149" s="1003">
        <f>O26+O49+O53+O55+O56+O57+O58+O72</f>
        <v>3858</v>
      </c>
      <c r="M149" s="1100"/>
      <c r="N149" s="1101"/>
      <c r="O149" s="993">
        <v>8</v>
      </c>
    </row>
    <row r="150" spans="11:15" ht="19.5" customHeight="1">
      <c r="K150" s="1020" t="s">
        <v>29</v>
      </c>
      <c r="L150" s="1002">
        <f>O17+O18+O19+O20+O21+O22+O23+O24+O25+O27+O28+O29+O30+O31+O32+O33+O34+O35+O36+O37+O38+O39+O40+O41+O43+O44+O45+O46+O47+O48+O51+O52+O54+O59+O61+O62+O63+O64+O65+O66+O67+O68+O69+O70+O84+O71+O95+O106+O73+O117+O118+O119+O131+O133+O134+O135+O136+O137+O138+O139</f>
        <v>404298.8</v>
      </c>
      <c r="M150" s="176"/>
      <c r="N150" s="1050"/>
      <c r="O150" s="995">
        <v>60</v>
      </c>
    </row>
    <row r="151" spans="11:15" ht="19.5" customHeight="1">
      <c r="K151" s="1020" t="s">
        <v>67</v>
      </c>
      <c r="L151" s="1011"/>
      <c r="M151" s="213">
        <f>M42+M50</f>
        <v>4659</v>
      </c>
      <c r="N151" s="1012">
        <f>N42+N50</f>
        <v>13054</v>
      </c>
      <c r="O151" s="995">
        <v>2</v>
      </c>
    </row>
    <row r="152" spans="11:15" ht="19.5" customHeight="1">
      <c r="K152" s="1099" t="s">
        <v>457</v>
      </c>
      <c r="L152" s="1011"/>
      <c r="M152" s="213">
        <f>M60</f>
        <v>100</v>
      </c>
      <c r="N152" s="1012">
        <f>N60</f>
        <v>200</v>
      </c>
      <c r="O152" s="995">
        <v>1</v>
      </c>
    </row>
    <row r="153" spans="11:15" ht="19.5" customHeight="1" thickBot="1">
      <c r="K153" s="1054" t="s">
        <v>22</v>
      </c>
      <c r="L153" s="1013">
        <f>O130+O132</f>
        <v>285451.5</v>
      </c>
      <c r="M153" s="1014"/>
      <c r="N153" s="1015"/>
      <c r="O153" s="996">
        <v>2</v>
      </c>
    </row>
    <row r="154" spans="11:15" ht="19.5" customHeight="1" thickBot="1">
      <c r="K154" s="353" t="s">
        <v>63</v>
      </c>
      <c r="L154" s="299">
        <f>SUM(L149:L153)</f>
        <v>693608.3</v>
      </c>
      <c r="M154" s="300">
        <f>SUM(M149:M153)</f>
        <v>4759</v>
      </c>
      <c r="N154" s="177">
        <f>SUM(N149:N153)</f>
        <v>13254</v>
      </c>
      <c r="O154" s="689">
        <f>SUM(O149:O153)</f>
        <v>73</v>
      </c>
    </row>
    <row r="155" spans="11:15" ht="19.5" customHeight="1" thickBot="1">
      <c r="K155" s="1"/>
      <c r="L155" s="127" t="s">
        <v>64</v>
      </c>
      <c r="M155" s="681">
        <f>SUM(L154:N154)</f>
        <v>711621.3</v>
      </c>
      <c r="N155" s="33"/>
      <c r="O155" s="33"/>
    </row>
    <row r="156" spans="12:16" ht="18">
      <c r="L156" s="1"/>
      <c r="M156" s="127"/>
      <c r="N156" s="706"/>
      <c r="O156" s="33"/>
      <c r="P156" s="33"/>
    </row>
  </sheetData>
  <sheetProtection/>
  <mergeCells count="84">
    <mergeCell ref="G114:G116"/>
    <mergeCell ref="H114:H116"/>
    <mergeCell ref="I114:I116"/>
    <mergeCell ref="J114:J116"/>
    <mergeCell ref="K114:K116"/>
    <mergeCell ref="L114:O114"/>
    <mergeCell ref="L115:O115"/>
    <mergeCell ref="A114:A116"/>
    <mergeCell ref="B114:B116"/>
    <mergeCell ref="C114:C116"/>
    <mergeCell ref="D114:D116"/>
    <mergeCell ref="E114:E116"/>
    <mergeCell ref="F114:F116"/>
    <mergeCell ref="G103:G105"/>
    <mergeCell ref="H103:H105"/>
    <mergeCell ref="I103:I105"/>
    <mergeCell ref="J103:J105"/>
    <mergeCell ref="K103:K105"/>
    <mergeCell ref="L103:O103"/>
    <mergeCell ref="L104:O104"/>
    <mergeCell ref="A103:A105"/>
    <mergeCell ref="B103:B105"/>
    <mergeCell ref="C103:C105"/>
    <mergeCell ref="D103:D105"/>
    <mergeCell ref="E103:E105"/>
    <mergeCell ref="F103:F105"/>
    <mergeCell ref="G92:G94"/>
    <mergeCell ref="H92:H94"/>
    <mergeCell ref="I92:I94"/>
    <mergeCell ref="J92:J94"/>
    <mergeCell ref="K92:K94"/>
    <mergeCell ref="L92:O92"/>
    <mergeCell ref="L93:O93"/>
    <mergeCell ref="A92:A94"/>
    <mergeCell ref="B92:B94"/>
    <mergeCell ref="C92:C94"/>
    <mergeCell ref="D92:D94"/>
    <mergeCell ref="E92:E94"/>
    <mergeCell ref="F92:F94"/>
    <mergeCell ref="G14:G16"/>
    <mergeCell ref="H14:H16"/>
    <mergeCell ref="I14:I16"/>
    <mergeCell ref="J14:J16"/>
    <mergeCell ref="K14:K16"/>
    <mergeCell ref="L14:O14"/>
    <mergeCell ref="L15:O15"/>
    <mergeCell ref="K147:K148"/>
    <mergeCell ref="L147:N147"/>
    <mergeCell ref="O147:O148"/>
    <mergeCell ref="A14:A16"/>
    <mergeCell ref="B14:B16"/>
    <mergeCell ref="C14:C16"/>
    <mergeCell ref="D14:D16"/>
    <mergeCell ref="E14:E16"/>
    <mergeCell ref="F14:F16"/>
    <mergeCell ref="A81:A83"/>
    <mergeCell ref="K81:K83"/>
    <mergeCell ref="L81:O81"/>
    <mergeCell ref="L82:O82"/>
    <mergeCell ref="B81:B83"/>
    <mergeCell ref="C81:C83"/>
    <mergeCell ref="D81:D83"/>
    <mergeCell ref="E81:E83"/>
    <mergeCell ref="F81:F83"/>
    <mergeCell ref="G81:G83"/>
    <mergeCell ref="K127:K129"/>
    <mergeCell ref="L127:O127"/>
    <mergeCell ref="L128:O128"/>
    <mergeCell ref="A127:A129"/>
    <mergeCell ref="B127:B129"/>
    <mergeCell ref="C127:C129"/>
    <mergeCell ref="D127:D129"/>
    <mergeCell ref="E127:E129"/>
    <mergeCell ref="F127:F129"/>
    <mergeCell ref="B1:I1"/>
    <mergeCell ref="B3:J3"/>
    <mergeCell ref="B5:J5"/>
    <mergeCell ref="G127:G129"/>
    <mergeCell ref="H127:H129"/>
    <mergeCell ref="I127:I129"/>
    <mergeCell ref="J127:J129"/>
    <mergeCell ref="H81:H83"/>
    <mergeCell ref="I81:I83"/>
    <mergeCell ref="J81:J83"/>
  </mergeCells>
  <printOptions/>
  <pageMargins left="0.7" right="0.7" top="0.75" bottom="0.75" header="0.3" footer="0.3"/>
  <pageSetup orientation="portrait" paperSize="9" r:id="rId1"/>
  <ignoredErrors>
    <ignoredError sqref="O42 O50 O60" formula="1"/>
    <ignoredError sqref="M154:N154 M1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2"/>
  <sheetViews>
    <sheetView zoomScale="80" zoomScaleNormal="80" zoomScalePageLayoutView="0" workbookViewId="0" topLeftCell="A232">
      <selection activeCell="B236" sqref="B236:H240"/>
    </sheetView>
  </sheetViews>
  <sheetFormatPr defaultColWidth="8.796875" defaultRowHeight="14.25"/>
  <cols>
    <col min="1" max="1" width="11.19921875" style="5" customWidth="1"/>
    <col min="2" max="2" width="18.59765625" style="1" customWidth="1"/>
    <col min="3" max="3" width="16.19921875" style="1" customWidth="1"/>
    <col min="4" max="4" width="19" style="1" customWidth="1"/>
    <col min="5" max="5" width="9.8984375" style="1" customWidth="1"/>
    <col min="6" max="6" width="9.3984375" style="1" customWidth="1"/>
    <col min="7" max="7" width="17.59765625" style="1" customWidth="1"/>
    <col min="8" max="8" width="26.09765625" style="1" customWidth="1"/>
    <col min="9" max="9" width="15.3984375" style="1" customWidth="1"/>
    <col min="10" max="10" width="13.69921875" style="1" customWidth="1"/>
    <col min="11" max="11" width="12" style="1" customWidth="1"/>
    <col min="12" max="12" width="14.19921875" style="1" customWidth="1"/>
    <col min="13" max="13" width="16.3984375" style="1" customWidth="1"/>
    <col min="14" max="14" width="17" style="1" customWidth="1"/>
    <col min="15" max="15" width="16.09765625" style="1" customWidth="1"/>
    <col min="16" max="16" width="14" style="1" customWidth="1"/>
    <col min="17" max="17" width="14.3984375" style="1" customWidth="1"/>
    <col min="18" max="18" width="18" style="1" customWidth="1"/>
    <col min="19" max="19" width="13.5" style="1" customWidth="1"/>
    <col min="20" max="20" width="21" style="1" customWidth="1"/>
    <col min="21" max="16384" width="9" style="1" customWidth="1"/>
  </cols>
  <sheetData>
    <row r="1" spans="1:9" ht="18">
      <c r="A1" s="295"/>
      <c r="B1" s="1609" t="s">
        <v>1231</v>
      </c>
      <c r="C1" s="1609"/>
      <c r="D1" s="1609"/>
      <c r="E1" s="1609"/>
      <c r="F1" s="1609"/>
      <c r="G1" s="1609"/>
      <c r="H1" s="1609"/>
      <c r="I1" s="1609"/>
    </row>
    <row r="2" spans="1:9" ht="15">
      <c r="A2" s="295"/>
      <c r="B2" s="489"/>
      <c r="C2" s="489"/>
      <c r="D2" s="489"/>
      <c r="E2" s="489"/>
      <c r="F2" s="489"/>
      <c r="G2" s="489"/>
      <c r="H2" s="490"/>
      <c r="I2" s="489"/>
    </row>
    <row r="3" spans="1:9" ht="27" customHeight="1">
      <c r="A3" s="295"/>
      <c r="B3" s="1602" t="s">
        <v>678</v>
      </c>
      <c r="C3" s="1603"/>
      <c r="D3" s="1603"/>
      <c r="E3" s="1603"/>
      <c r="F3" s="1603"/>
      <c r="G3" s="1603"/>
      <c r="H3" s="1603"/>
      <c r="I3" s="1604"/>
    </row>
    <row r="4" spans="1:9" ht="15">
      <c r="A4" s="295"/>
      <c r="B4" s="487"/>
      <c r="C4" s="487"/>
      <c r="D4" s="487"/>
      <c r="E4" s="487"/>
      <c r="F4" s="487"/>
      <c r="G4" s="487"/>
      <c r="H4" s="487"/>
      <c r="I4" s="487"/>
    </row>
    <row r="5" spans="1:9" ht="15">
      <c r="A5" s="1"/>
      <c r="B5" s="1605" t="s">
        <v>1103</v>
      </c>
      <c r="C5" s="1605"/>
      <c r="D5" s="1605"/>
      <c r="E5" s="1605"/>
      <c r="F5" s="1605"/>
      <c r="G5" s="1605"/>
      <c r="H5" s="1605"/>
      <c r="I5" s="1605"/>
    </row>
    <row r="6" spans="1:9" ht="15">
      <c r="A6" s="1"/>
      <c r="B6" s="487"/>
      <c r="C6" s="487"/>
      <c r="D6" s="487"/>
      <c r="E6" s="487"/>
      <c r="F6" s="487"/>
      <c r="G6" s="487"/>
      <c r="H6" s="490"/>
      <c r="I6" s="489"/>
    </row>
    <row r="7" spans="1:9" ht="15.75">
      <c r="A7" s="1"/>
      <c r="B7" s="488" t="s">
        <v>1</v>
      </c>
      <c r="C7" s="489"/>
      <c r="D7" s="487"/>
      <c r="E7" s="487"/>
      <c r="F7" s="487"/>
      <c r="G7" s="489"/>
      <c r="H7" s="490"/>
      <c r="I7" s="489"/>
    </row>
    <row r="8" spans="1:9" ht="15.75">
      <c r="A8" s="1"/>
      <c r="B8" s="1389" t="s">
        <v>1833</v>
      </c>
      <c r="C8" s="489"/>
      <c r="D8" s="487"/>
      <c r="E8" s="487"/>
      <c r="F8" s="487"/>
      <c r="G8" s="489"/>
      <c r="H8" s="490"/>
      <c r="I8" s="489"/>
    </row>
    <row r="9" spans="1:9" ht="15.75">
      <c r="A9" s="1"/>
      <c r="B9" s="491" t="s">
        <v>1535</v>
      </c>
      <c r="C9" s="489"/>
      <c r="D9" s="492"/>
      <c r="E9" s="487"/>
      <c r="F9" s="487"/>
      <c r="G9" s="489"/>
      <c r="H9" s="490"/>
      <c r="I9" s="489"/>
    </row>
    <row r="10" spans="1:9" ht="17.25" customHeight="1">
      <c r="A10" s="1"/>
      <c r="B10" s="491" t="s">
        <v>1096</v>
      </c>
      <c r="C10" s="489"/>
      <c r="D10" s="492"/>
      <c r="E10" s="487"/>
      <c r="F10" s="487"/>
      <c r="G10" s="489"/>
      <c r="H10" s="490"/>
      <c r="I10" s="489"/>
    </row>
    <row r="11" spans="1:9" ht="15">
      <c r="A11" s="1"/>
      <c r="B11" s="489" t="s">
        <v>727</v>
      </c>
      <c r="C11" s="489"/>
      <c r="D11" s="489"/>
      <c r="E11" s="489"/>
      <c r="F11" s="489"/>
      <c r="G11" s="489"/>
      <c r="H11" s="490"/>
      <c r="I11" s="489"/>
    </row>
    <row r="12" spans="1:9" ht="15.75">
      <c r="A12" s="1"/>
      <c r="B12" s="493" t="s">
        <v>3</v>
      </c>
      <c r="C12" s="494" t="s">
        <v>4</v>
      </c>
      <c r="D12" s="492"/>
      <c r="E12" s="492"/>
      <c r="F12" s="492"/>
      <c r="G12" s="492"/>
      <c r="H12" s="489"/>
      <c r="I12" s="489"/>
    </row>
    <row r="13" spans="1:9" ht="15.75">
      <c r="A13" s="1"/>
      <c r="B13" s="493" t="s">
        <v>5</v>
      </c>
      <c r="C13" s="488" t="s">
        <v>6</v>
      </c>
      <c r="D13" s="492"/>
      <c r="E13" s="492"/>
      <c r="F13" s="492"/>
      <c r="G13" s="492"/>
      <c r="H13" s="489"/>
      <c r="I13" s="489"/>
    </row>
    <row r="14" spans="1:7" ht="15" thickBot="1">
      <c r="A14" s="58"/>
      <c r="B14" s="58"/>
      <c r="C14" s="59"/>
      <c r="D14" s="59"/>
      <c r="E14" s="59"/>
      <c r="F14" s="59"/>
      <c r="G14" s="59"/>
    </row>
    <row r="15" spans="1:15" ht="39" customHeight="1">
      <c r="A15" s="1588" t="s">
        <v>7</v>
      </c>
      <c r="B15" s="1591" t="s">
        <v>664</v>
      </c>
      <c r="C15" s="1594" t="s">
        <v>9</v>
      </c>
      <c r="D15" s="1594" t="s">
        <v>10</v>
      </c>
      <c r="E15" s="1574" t="s">
        <v>844</v>
      </c>
      <c r="F15" s="1574" t="s">
        <v>12</v>
      </c>
      <c r="G15" s="1594" t="s">
        <v>13</v>
      </c>
      <c r="H15" s="1574" t="s">
        <v>14</v>
      </c>
      <c r="I15" s="1574" t="s">
        <v>282</v>
      </c>
      <c r="J15" s="1574" t="s">
        <v>60</v>
      </c>
      <c r="K15" s="1583" t="s">
        <v>666</v>
      </c>
      <c r="L15" s="1586" t="s">
        <v>667</v>
      </c>
      <c r="M15" s="1570"/>
      <c r="N15" s="1570"/>
      <c r="O15" s="1587"/>
    </row>
    <row r="16" spans="1:15" ht="40.5" customHeight="1">
      <c r="A16" s="1589"/>
      <c r="B16" s="1592"/>
      <c r="C16" s="1595"/>
      <c r="D16" s="1595"/>
      <c r="E16" s="1575"/>
      <c r="F16" s="1575"/>
      <c r="G16" s="1595"/>
      <c r="H16" s="1575"/>
      <c r="I16" s="1613"/>
      <c r="J16" s="1575"/>
      <c r="K16" s="1584"/>
      <c r="L16" s="1597" t="s">
        <v>668</v>
      </c>
      <c r="M16" s="1568"/>
      <c r="N16" s="1568"/>
      <c r="O16" s="1598"/>
    </row>
    <row r="17" spans="1:15" ht="36.75" customHeight="1" thickBot="1">
      <c r="A17" s="1590"/>
      <c r="B17" s="1593"/>
      <c r="C17" s="1596"/>
      <c r="D17" s="1596"/>
      <c r="E17" s="1576"/>
      <c r="F17" s="1576"/>
      <c r="G17" s="1596"/>
      <c r="H17" s="1576"/>
      <c r="I17" s="1614"/>
      <c r="J17" s="1576"/>
      <c r="K17" s="1585"/>
      <c r="L17" s="270" t="s">
        <v>669</v>
      </c>
      <c r="M17" s="277" t="s">
        <v>670</v>
      </c>
      <c r="N17" s="277" t="s">
        <v>671</v>
      </c>
      <c r="O17" s="272" t="s">
        <v>17</v>
      </c>
    </row>
    <row r="18" spans="1:15" s="27" customFormat="1" ht="43.5">
      <c r="A18" s="572" t="s">
        <v>27</v>
      </c>
      <c r="B18" s="25" t="s">
        <v>65</v>
      </c>
      <c r="C18" s="25" t="s">
        <v>19</v>
      </c>
      <c r="D18" s="25" t="s">
        <v>858</v>
      </c>
      <c r="E18" s="555" t="s">
        <v>859</v>
      </c>
      <c r="F18" s="24" t="s">
        <v>21</v>
      </c>
      <c r="G18" s="25" t="s">
        <v>19</v>
      </c>
      <c r="H18" s="762" t="s">
        <v>66</v>
      </c>
      <c r="I18" s="24">
        <v>879946</v>
      </c>
      <c r="J18" s="683" t="s">
        <v>67</v>
      </c>
      <c r="K18" s="66">
        <v>20.5</v>
      </c>
      <c r="L18" s="35"/>
      <c r="M18" s="67">
        <f>5956-4651</f>
        <v>1305</v>
      </c>
      <c r="N18" s="67">
        <f>12856-10088</f>
        <v>2768</v>
      </c>
      <c r="O18" s="67">
        <f aca="true" t="shared" si="0" ref="O18:O24">SUM(M18:N18)</f>
        <v>4073</v>
      </c>
    </row>
    <row r="19" spans="1:15" s="27" customFormat="1" ht="29.25">
      <c r="A19" s="572" t="s">
        <v>27</v>
      </c>
      <c r="B19" s="23" t="s">
        <v>68</v>
      </c>
      <c r="C19" s="23" t="s">
        <v>19</v>
      </c>
      <c r="D19" s="22" t="s">
        <v>860</v>
      </c>
      <c r="E19" s="22">
        <v>1</v>
      </c>
      <c r="F19" s="22" t="s">
        <v>21</v>
      </c>
      <c r="G19" s="25" t="s">
        <v>19</v>
      </c>
      <c r="H19" s="762" t="s">
        <v>69</v>
      </c>
      <c r="I19" s="24">
        <v>879948</v>
      </c>
      <c r="J19" s="683" t="s">
        <v>67</v>
      </c>
      <c r="K19" s="66">
        <v>25</v>
      </c>
      <c r="L19" s="35"/>
      <c r="M19" s="67">
        <f>24216-18474</f>
        <v>5742</v>
      </c>
      <c r="N19" s="67">
        <f>49081-37750</f>
        <v>11331</v>
      </c>
      <c r="O19" s="67">
        <f t="shared" si="0"/>
        <v>17073</v>
      </c>
    </row>
    <row r="20" spans="1:15" s="27" customFormat="1" ht="43.5">
      <c r="A20" s="572" t="s">
        <v>27</v>
      </c>
      <c r="B20" s="25" t="s">
        <v>70</v>
      </c>
      <c r="C20" s="25" t="s">
        <v>19</v>
      </c>
      <c r="D20" s="25" t="s">
        <v>858</v>
      </c>
      <c r="E20" s="24">
        <v>56</v>
      </c>
      <c r="F20" s="24" t="s">
        <v>21</v>
      </c>
      <c r="G20" s="25" t="s">
        <v>19</v>
      </c>
      <c r="H20" s="750" t="s">
        <v>71</v>
      </c>
      <c r="I20" s="24">
        <v>4098974</v>
      </c>
      <c r="J20" s="390" t="s">
        <v>72</v>
      </c>
      <c r="K20" s="66">
        <v>290</v>
      </c>
      <c r="L20" s="35"/>
      <c r="M20" s="34">
        <f>(1610.3-441.94)*100</f>
        <v>116835.99999999999</v>
      </c>
      <c r="N20" s="34">
        <f>(3100.35-877.7)*100</f>
        <v>222264.99999999997</v>
      </c>
      <c r="O20" s="67">
        <f t="shared" si="0"/>
        <v>339100.99999999994</v>
      </c>
    </row>
    <row r="21" spans="1:15" s="27" customFormat="1" ht="43.5">
      <c r="A21" s="572" t="s">
        <v>27</v>
      </c>
      <c r="B21" s="25" t="s">
        <v>70</v>
      </c>
      <c r="C21" s="25" t="s">
        <v>19</v>
      </c>
      <c r="D21" s="25" t="s">
        <v>858</v>
      </c>
      <c r="E21" s="24">
        <v>56</v>
      </c>
      <c r="F21" s="24" t="s">
        <v>21</v>
      </c>
      <c r="G21" s="25" t="s">
        <v>19</v>
      </c>
      <c r="H21" s="750" t="s">
        <v>73</v>
      </c>
      <c r="I21" s="24">
        <v>4098980</v>
      </c>
      <c r="J21" s="390" t="s">
        <v>72</v>
      </c>
      <c r="K21" s="66">
        <v>150</v>
      </c>
      <c r="L21" s="35"/>
      <c r="M21" s="289">
        <v>0</v>
      </c>
      <c r="N21" s="289">
        <v>0</v>
      </c>
      <c r="O21" s="67">
        <f t="shared" si="0"/>
        <v>0</v>
      </c>
    </row>
    <row r="22" spans="1:15" s="27" customFormat="1" ht="43.5">
      <c r="A22" s="572" t="s">
        <v>27</v>
      </c>
      <c r="B22" s="25" t="s">
        <v>74</v>
      </c>
      <c r="C22" s="25" t="s">
        <v>19</v>
      </c>
      <c r="D22" s="25" t="s">
        <v>858</v>
      </c>
      <c r="E22" s="24">
        <v>56</v>
      </c>
      <c r="F22" s="24" t="s">
        <v>21</v>
      </c>
      <c r="G22" s="25" t="s">
        <v>19</v>
      </c>
      <c r="H22" s="1067" t="s">
        <v>75</v>
      </c>
      <c r="I22" s="24">
        <v>4143414</v>
      </c>
      <c r="J22" s="390" t="s">
        <v>72</v>
      </c>
      <c r="K22" s="66">
        <v>225</v>
      </c>
      <c r="L22" s="35"/>
      <c r="M22" s="36">
        <f>((9371.3-9089.57)+(3618.5-0))*80</f>
        <v>312018.39999999997</v>
      </c>
      <c r="N22" s="36">
        <f>((23385.84-22225.39)+8163.21)*80</f>
        <v>745892.8</v>
      </c>
      <c r="O22" s="67">
        <f t="shared" si="0"/>
        <v>1057911.2</v>
      </c>
    </row>
    <row r="23" spans="1:15" s="27" customFormat="1" ht="43.5">
      <c r="A23" s="572" t="s">
        <v>27</v>
      </c>
      <c r="B23" s="25" t="s">
        <v>74</v>
      </c>
      <c r="C23" s="25" t="s">
        <v>19</v>
      </c>
      <c r="D23" s="25" t="s">
        <v>858</v>
      </c>
      <c r="E23" s="24">
        <v>56</v>
      </c>
      <c r="F23" s="24" t="s">
        <v>21</v>
      </c>
      <c r="G23" s="25" t="s">
        <v>19</v>
      </c>
      <c r="H23" s="750" t="s">
        <v>76</v>
      </c>
      <c r="I23" s="24">
        <v>4143415</v>
      </c>
      <c r="J23" s="390" t="s">
        <v>72</v>
      </c>
      <c r="K23" s="66">
        <v>13</v>
      </c>
      <c r="L23" s="35"/>
      <c r="M23" s="36">
        <v>100</v>
      </c>
      <c r="N23" s="36">
        <v>200</v>
      </c>
      <c r="O23" s="958">
        <f t="shared" si="0"/>
        <v>300</v>
      </c>
    </row>
    <row r="24" spans="1:15" s="27" customFormat="1" ht="48" customHeight="1" thickBot="1">
      <c r="A24" s="572" t="s">
        <v>27</v>
      </c>
      <c r="B24" s="23" t="s">
        <v>1399</v>
      </c>
      <c r="C24" s="23" t="s">
        <v>19</v>
      </c>
      <c r="D24" s="23" t="s">
        <v>20</v>
      </c>
      <c r="E24" s="25" t="s">
        <v>1397</v>
      </c>
      <c r="F24" s="24" t="s">
        <v>21</v>
      </c>
      <c r="G24" s="25" t="s">
        <v>19</v>
      </c>
      <c r="H24" s="750" t="s">
        <v>1398</v>
      </c>
      <c r="I24" s="24">
        <v>90088449</v>
      </c>
      <c r="J24" s="683" t="s">
        <v>67</v>
      </c>
      <c r="K24" s="66">
        <v>33</v>
      </c>
      <c r="L24" s="35"/>
      <c r="M24" s="36">
        <f>155*12</f>
        <v>1860</v>
      </c>
      <c r="N24" s="36">
        <f>779*12</f>
        <v>9348</v>
      </c>
      <c r="O24" s="67">
        <f t="shared" si="0"/>
        <v>11208</v>
      </c>
    </row>
    <row r="25" spans="2:15" ht="23.25" customHeight="1">
      <c r="B25" s="10" t="s">
        <v>23</v>
      </c>
      <c r="C25" s="11" t="s">
        <v>145</v>
      </c>
      <c r="D25" s="12"/>
      <c r="E25" s="14"/>
      <c r="F25" s="56"/>
      <c r="G25" s="81" t="s">
        <v>1719</v>
      </c>
      <c r="H25" s="82" t="s">
        <v>856</v>
      </c>
      <c r="L25" s="403"/>
      <c r="M25" s="71"/>
      <c r="N25" s="826" t="s">
        <v>24</v>
      </c>
      <c r="O25" s="582">
        <f>SUM(O18:O24)</f>
        <v>1429666.2</v>
      </c>
    </row>
    <row r="26" spans="2:15" ht="15">
      <c r="B26" s="13"/>
      <c r="C26" s="14" t="s">
        <v>161</v>
      </c>
      <c r="D26" s="15"/>
      <c r="E26" s="14"/>
      <c r="F26" s="56"/>
      <c r="H26" s="70" t="s">
        <v>857</v>
      </c>
      <c r="L26" s="33"/>
      <c r="M26" s="33"/>
      <c r="N26" s="33"/>
      <c r="O26" s="33"/>
    </row>
    <row r="27" spans="2:15" ht="15">
      <c r="B27" s="13"/>
      <c r="C27" s="45" t="s">
        <v>26</v>
      </c>
      <c r="D27" s="15"/>
      <c r="E27" s="14"/>
      <c r="F27" s="56"/>
      <c r="H27" s="70" t="s">
        <v>26</v>
      </c>
      <c r="L27" s="33"/>
      <c r="M27" s="33"/>
      <c r="N27" s="33"/>
      <c r="O27" s="33"/>
    </row>
    <row r="28" spans="2:15" ht="15">
      <c r="B28" s="571" t="s">
        <v>169</v>
      </c>
      <c r="C28" s="45" t="s">
        <v>1072</v>
      </c>
      <c r="D28" s="15"/>
      <c r="E28" s="14"/>
      <c r="F28" s="56"/>
      <c r="H28" s="75" t="s">
        <v>1060</v>
      </c>
      <c r="L28" s="33"/>
      <c r="M28" s="33"/>
      <c r="N28" s="33"/>
      <c r="O28" s="33"/>
    </row>
    <row r="29" spans="1:15" ht="15.75" thickBot="1">
      <c r="A29" s="295"/>
      <c r="B29" s="447" t="s">
        <v>1112</v>
      </c>
      <c r="C29" s="116" t="s">
        <v>1137</v>
      </c>
      <c r="D29" s="18"/>
      <c r="E29" s="14"/>
      <c r="F29" s="56"/>
      <c r="H29" s="74" t="s">
        <v>1124</v>
      </c>
      <c r="L29" s="33"/>
      <c r="M29" s="33"/>
      <c r="N29" s="33"/>
      <c r="O29" s="33"/>
    </row>
    <row r="30" spans="1:15" ht="15">
      <c r="A30" s="280"/>
      <c r="B30" s="14"/>
      <c r="C30" s="75"/>
      <c r="D30" s="14"/>
      <c r="E30" s="14"/>
      <c r="L30" s="33"/>
      <c r="M30" s="33"/>
      <c r="N30" s="33"/>
      <c r="O30" s="33"/>
    </row>
    <row r="31" spans="1:15" ht="15.75" thickBot="1">
      <c r="A31" s="280"/>
      <c r="B31" s="14"/>
      <c r="C31" s="75"/>
      <c r="D31" s="14"/>
      <c r="E31" s="14"/>
      <c r="L31" s="33"/>
      <c r="M31" s="33"/>
      <c r="N31" s="33"/>
      <c r="O31" s="33"/>
    </row>
    <row r="32" spans="1:15" s="27" customFormat="1" ht="43.5" customHeight="1">
      <c r="A32" s="1588" t="s">
        <v>7</v>
      </c>
      <c r="B32" s="1610" t="s">
        <v>664</v>
      </c>
      <c r="C32" s="1599" t="s">
        <v>9</v>
      </c>
      <c r="D32" s="1599" t="s">
        <v>10</v>
      </c>
      <c r="E32" s="1571" t="s">
        <v>844</v>
      </c>
      <c r="F32" s="1571" t="s">
        <v>12</v>
      </c>
      <c r="G32" s="1599" t="s">
        <v>13</v>
      </c>
      <c r="H32" s="1571" t="s">
        <v>14</v>
      </c>
      <c r="I32" s="1571" t="s">
        <v>282</v>
      </c>
      <c r="J32" s="1571" t="s">
        <v>60</v>
      </c>
      <c r="K32" s="1618" t="s">
        <v>666</v>
      </c>
      <c r="L32" s="1615" t="s">
        <v>667</v>
      </c>
      <c r="M32" s="1616"/>
      <c r="N32" s="1616"/>
      <c r="O32" s="1617"/>
    </row>
    <row r="33" spans="1:15" ht="40.5" customHeight="1">
      <c r="A33" s="1589"/>
      <c r="B33" s="1611"/>
      <c r="C33" s="1600"/>
      <c r="D33" s="1600"/>
      <c r="E33" s="1572"/>
      <c r="F33" s="1572"/>
      <c r="G33" s="1600"/>
      <c r="H33" s="1572"/>
      <c r="I33" s="1572"/>
      <c r="J33" s="1572"/>
      <c r="K33" s="1619"/>
      <c r="L33" s="1606" t="s">
        <v>668</v>
      </c>
      <c r="M33" s="1607"/>
      <c r="N33" s="1607"/>
      <c r="O33" s="1608"/>
    </row>
    <row r="34" spans="1:15" ht="35.25" customHeight="1" thickBot="1">
      <c r="A34" s="1590"/>
      <c r="B34" s="1612"/>
      <c r="C34" s="1601"/>
      <c r="D34" s="1601"/>
      <c r="E34" s="1573"/>
      <c r="F34" s="1573"/>
      <c r="G34" s="1601"/>
      <c r="H34" s="1573"/>
      <c r="I34" s="1573"/>
      <c r="J34" s="1573"/>
      <c r="K34" s="1620"/>
      <c r="L34" s="270" t="s">
        <v>669</v>
      </c>
      <c r="M34" s="277" t="s">
        <v>670</v>
      </c>
      <c r="N34" s="277" t="s">
        <v>671</v>
      </c>
      <c r="O34" s="272" t="s">
        <v>17</v>
      </c>
    </row>
    <row r="35" spans="1:15" ht="25.5" customHeight="1">
      <c r="A35" s="572" t="s">
        <v>27</v>
      </c>
      <c r="B35" s="52" t="s">
        <v>77</v>
      </c>
      <c r="C35" s="52" t="s">
        <v>19</v>
      </c>
      <c r="D35" s="52" t="s">
        <v>55</v>
      </c>
      <c r="E35" s="47">
        <v>173</v>
      </c>
      <c r="F35" s="47" t="s">
        <v>21</v>
      </c>
      <c r="G35" s="47" t="s">
        <v>19</v>
      </c>
      <c r="H35" s="758" t="s">
        <v>78</v>
      </c>
      <c r="I35" s="446">
        <v>568273</v>
      </c>
      <c r="J35" s="391" t="s">
        <v>22</v>
      </c>
      <c r="K35" s="77">
        <v>30</v>
      </c>
      <c r="L35" s="78">
        <f>(23352.2-20584.35)*20</f>
        <v>55357.000000000044</v>
      </c>
      <c r="M35" s="404"/>
      <c r="N35" s="111"/>
      <c r="O35" s="79">
        <f>L35</f>
        <v>55357.000000000044</v>
      </c>
    </row>
    <row r="36" spans="1:15" ht="29.25">
      <c r="A36" s="572" t="s">
        <v>27</v>
      </c>
      <c r="B36" s="3" t="s">
        <v>84</v>
      </c>
      <c r="C36" s="3" t="s">
        <v>19</v>
      </c>
      <c r="D36" s="3" t="s">
        <v>861</v>
      </c>
      <c r="E36" s="3"/>
      <c r="F36" s="3" t="s">
        <v>21</v>
      </c>
      <c r="G36" s="3" t="s">
        <v>19</v>
      </c>
      <c r="H36" s="750" t="s">
        <v>85</v>
      </c>
      <c r="I36" s="25">
        <v>907522</v>
      </c>
      <c r="J36" s="684" t="s">
        <v>67</v>
      </c>
      <c r="K36" s="91">
        <v>20</v>
      </c>
      <c r="L36" s="35"/>
      <c r="M36" s="78">
        <f>11167-8611</f>
        <v>2556</v>
      </c>
      <c r="N36" s="78">
        <f>26544-19683</f>
        <v>6861</v>
      </c>
      <c r="O36" s="78">
        <f>SUM(M36:N36)</f>
        <v>9417</v>
      </c>
    </row>
    <row r="37" spans="1:15" ht="30" thickBot="1">
      <c r="A37" s="572" t="s">
        <v>27</v>
      </c>
      <c r="B37" s="3" t="s">
        <v>1116</v>
      </c>
      <c r="C37" s="3" t="s">
        <v>19</v>
      </c>
      <c r="D37" s="4" t="s">
        <v>55</v>
      </c>
      <c r="E37" s="4">
        <v>173</v>
      </c>
      <c r="F37" s="4" t="s">
        <v>317</v>
      </c>
      <c r="G37" s="9" t="s">
        <v>19</v>
      </c>
      <c r="H37" s="761" t="s">
        <v>1117</v>
      </c>
      <c r="I37" s="24">
        <v>160412</v>
      </c>
      <c r="J37" s="87" t="s">
        <v>67</v>
      </c>
      <c r="K37" s="92">
        <v>33</v>
      </c>
      <c r="L37" s="35"/>
      <c r="M37" s="93">
        <f>10656-4887</f>
        <v>5769</v>
      </c>
      <c r="N37" s="93">
        <f>33661-14205</f>
        <v>19456</v>
      </c>
      <c r="O37" s="78">
        <f>M37+N37</f>
        <v>25225</v>
      </c>
    </row>
    <row r="38" spans="1:15" ht="21.75" customHeight="1">
      <c r="A38" s="80"/>
      <c r="B38" s="69" t="s">
        <v>23</v>
      </c>
      <c r="C38" s="70" t="s">
        <v>77</v>
      </c>
      <c r="D38" s="42"/>
      <c r="E38" s="55"/>
      <c r="F38" s="55"/>
      <c r="G38" s="81" t="s">
        <v>1719</v>
      </c>
      <c r="H38" s="1127" t="s">
        <v>77</v>
      </c>
      <c r="I38" s="55"/>
      <c r="J38" s="55"/>
      <c r="K38" s="68"/>
      <c r="L38" s="83"/>
      <c r="M38" s="405"/>
      <c r="N38" s="199" t="s">
        <v>24</v>
      </c>
      <c r="O38" s="582">
        <f>SUM(O35:O37)</f>
        <v>89999.00000000004</v>
      </c>
    </row>
    <row r="39" spans="1:15" ht="15">
      <c r="A39" s="80"/>
      <c r="B39" s="54"/>
      <c r="C39" s="70" t="s">
        <v>79</v>
      </c>
      <c r="D39" s="42"/>
      <c r="E39" s="84"/>
      <c r="F39" s="55"/>
      <c r="G39" s="1128"/>
      <c r="H39" s="1129" t="s">
        <v>79</v>
      </c>
      <c r="I39" s="55"/>
      <c r="J39" s="55"/>
      <c r="K39" s="55"/>
      <c r="N39" s="85"/>
      <c r="O39" s="405"/>
    </row>
    <row r="40" spans="1:15" ht="15">
      <c r="A40" s="80"/>
      <c r="B40" s="54"/>
      <c r="C40" s="70" t="s">
        <v>26</v>
      </c>
      <c r="D40" s="42"/>
      <c r="E40" s="55"/>
      <c r="F40" s="55"/>
      <c r="G40" s="1128"/>
      <c r="H40" s="1129" t="s">
        <v>26</v>
      </c>
      <c r="I40" s="55"/>
      <c r="J40" s="55"/>
      <c r="K40" s="55"/>
      <c r="L40" s="85"/>
      <c r="M40" s="405"/>
      <c r="N40" s="85"/>
      <c r="O40" s="405"/>
    </row>
    <row r="41" spans="1:15" ht="15">
      <c r="A41" s="80"/>
      <c r="B41" s="571" t="s">
        <v>169</v>
      </c>
      <c r="C41" s="75" t="s">
        <v>1061</v>
      </c>
      <c r="D41" s="42"/>
      <c r="E41" s="55"/>
      <c r="F41" s="55"/>
      <c r="G41" s="571" t="s">
        <v>169</v>
      </c>
      <c r="H41" s="1130" t="s">
        <v>1061</v>
      </c>
      <c r="I41" s="55"/>
      <c r="J41" s="55"/>
      <c r="K41" s="55"/>
      <c r="L41" s="85"/>
      <c r="M41" s="405"/>
      <c r="N41" s="85"/>
      <c r="O41" s="405"/>
    </row>
    <row r="42" spans="1:15" ht="15.75" thickBot="1">
      <c r="A42" s="80"/>
      <c r="B42" s="447" t="s">
        <v>1112</v>
      </c>
      <c r="C42" s="74" t="s">
        <v>1115</v>
      </c>
      <c r="D42" s="43"/>
      <c r="E42" s="55"/>
      <c r="F42" s="55"/>
      <c r="G42" s="447" t="s">
        <v>1112</v>
      </c>
      <c r="H42" s="1131" t="s">
        <v>1115</v>
      </c>
      <c r="I42" s="55"/>
      <c r="J42" s="55"/>
      <c r="K42" s="55"/>
      <c r="L42" s="85"/>
      <c r="M42" s="405"/>
      <c r="N42" s="85"/>
      <c r="O42" s="405"/>
    </row>
    <row r="43" spans="1:15" ht="15">
      <c r="A43" s="80"/>
      <c r="B43" s="20"/>
      <c r="C43" s="75"/>
      <c r="D43" s="20"/>
      <c r="E43" s="55"/>
      <c r="F43" s="55"/>
      <c r="G43" s="55"/>
      <c r="H43" s="55"/>
      <c r="I43" s="55"/>
      <c r="J43" s="55"/>
      <c r="K43" s="55"/>
      <c r="L43" s="85"/>
      <c r="M43" s="405"/>
      <c r="N43" s="85"/>
      <c r="O43" s="405"/>
    </row>
    <row r="44" spans="1:15" ht="15.75" thickBot="1">
      <c r="A44" s="80"/>
      <c r="B44" s="20"/>
      <c r="C44" s="75"/>
      <c r="D44" s="20"/>
      <c r="E44" s="55"/>
      <c r="F44" s="55"/>
      <c r="G44" s="55"/>
      <c r="H44" s="55"/>
      <c r="I44" s="55"/>
      <c r="J44" s="55"/>
      <c r="K44" s="55"/>
      <c r="L44" s="85"/>
      <c r="M44" s="405"/>
      <c r="N44" s="85"/>
      <c r="O44" s="405"/>
    </row>
    <row r="45" spans="1:15" s="27" customFormat="1" ht="43.5" customHeight="1">
      <c r="A45" s="1588" t="s">
        <v>7</v>
      </c>
      <c r="B45" s="1591" t="s">
        <v>664</v>
      </c>
      <c r="C45" s="1594" t="s">
        <v>9</v>
      </c>
      <c r="D45" s="1594" t="s">
        <v>10</v>
      </c>
      <c r="E45" s="1574" t="s">
        <v>844</v>
      </c>
      <c r="F45" s="1574" t="s">
        <v>12</v>
      </c>
      <c r="G45" s="1594" t="s">
        <v>13</v>
      </c>
      <c r="H45" s="1574" t="s">
        <v>14</v>
      </c>
      <c r="I45" s="1574" t="s">
        <v>282</v>
      </c>
      <c r="J45" s="1574" t="s">
        <v>60</v>
      </c>
      <c r="K45" s="1583" t="s">
        <v>666</v>
      </c>
      <c r="L45" s="1586" t="s">
        <v>667</v>
      </c>
      <c r="M45" s="1570"/>
      <c r="N45" s="1570"/>
      <c r="O45" s="1587"/>
    </row>
    <row r="46" spans="1:15" ht="40.5" customHeight="1">
      <c r="A46" s="1589"/>
      <c r="B46" s="1592"/>
      <c r="C46" s="1595"/>
      <c r="D46" s="1595"/>
      <c r="E46" s="1575"/>
      <c r="F46" s="1575"/>
      <c r="G46" s="1595"/>
      <c r="H46" s="1575"/>
      <c r="I46" s="1613"/>
      <c r="J46" s="1575"/>
      <c r="K46" s="1584"/>
      <c r="L46" s="1597" t="s">
        <v>668</v>
      </c>
      <c r="M46" s="1568"/>
      <c r="N46" s="1568"/>
      <c r="O46" s="1598"/>
    </row>
    <row r="47" spans="1:15" ht="35.25" customHeight="1" thickBot="1">
      <c r="A47" s="1590"/>
      <c r="B47" s="1593"/>
      <c r="C47" s="1596"/>
      <c r="D47" s="1596"/>
      <c r="E47" s="1576"/>
      <c r="F47" s="1576"/>
      <c r="G47" s="1596"/>
      <c r="H47" s="1576"/>
      <c r="I47" s="1614"/>
      <c r="J47" s="1576"/>
      <c r="K47" s="1585"/>
      <c r="L47" s="270" t="s">
        <v>669</v>
      </c>
      <c r="M47" s="277" t="s">
        <v>670</v>
      </c>
      <c r="N47" s="277" t="s">
        <v>671</v>
      </c>
      <c r="O47" s="272" t="s">
        <v>17</v>
      </c>
    </row>
    <row r="48" spans="1:15" ht="40.5" customHeight="1" thickBot="1">
      <c r="A48" s="576" t="s">
        <v>27</v>
      </c>
      <c r="B48" s="9" t="s">
        <v>80</v>
      </c>
      <c r="C48" s="9" t="s">
        <v>19</v>
      </c>
      <c r="D48" s="9" t="s">
        <v>1122</v>
      </c>
      <c r="E48" s="4" t="s">
        <v>82</v>
      </c>
      <c r="F48" s="4" t="s">
        <v>21</v>
      </c>
      <c r="G48" s="3" t="s">
        <v>19</v>
      </c>
      <c r="H48" s="750" t="s">
        <v>83</v>
      </c>
      <c r="I48" s="24">
        <v>1786</v>
      </c>
      <c r="J48" s="392" t="s">
        <v>22</v>
      </c>
      <c r="K48" s="88">
        <v>129</v>
      </c>
      <c r="L48" s="286">
        <f>(17369.65-14198.85)*40</f>
        <v>126832.00000000004</v>
      </c>
      <c r="M48" s="402"/>
      <c r="N48" s="96"/>
      <c r="O48" s="286">
        <f>L48</f>
        <v>126832.00000000004</v>
      </c>
    </row>
    <row r="49" spans="1:15" ht="22.5" customHeight="1">
      <c r="A49" s="580"/>
      <c r="B49" s="81" t="s">
        <v>23</v>
      </c>
      <c r="C49" s="89" t="s">
        <v>80</v>
      </c>
      <c r="D49" s="44"/>
      <c r="E49" s="56"/>
      <c r="F49" s="56"/>
      <c r="G49" s="81" t="s">
        <v>1719</v>
      </c>
      <c r="H49" s="1132" t="s">
        <v>80</v>
      </c>
      <c r="I49" s="56"/>
      <c r="J49" s="56"/>
      <c r="K49" s="90"/>
      <c r="L49" s="71"/>
      <c r="M49" s="85"/>
      <c r="N49" s="199" t="s">
        <v>24</v>
      </c>
      <c r="O49" s="582">
        <f>SUM(O48)</f>
        <v>126832.00000000004</v>
      </c>
    </row>
    <row r="50" spans="1:15" ht="15">
      <c r="A50" s="581"/>
      <c r="B50" s="13"/>
      <c r="C50" s="75" t="s">
        <v>1123</v>
      </c>
      <c r="D50" s="42"/>
      <c r="E50" s="84"/>
      <c r="F50" s="56"/>
      <c r="G50" s="1128"/>
      <c r="H50" s="1130" t="s">
        <v>1123</v>
      </c>
      <c r="I50" s="56"/>
      <c r="J50" s="56"/>
      <c r="K50" s="90"/>
      <c r="L50" s="72"/>
      <c r="M50" s="85"/>
      <c r="N50" s="85"/>
      <c r="O50" s="33"/>
    </row>
    <row r="51" spans="1:15" ht="15">
      <c r="A51" s="581"/>
      <c r="B51" s="13"/>
      <c r="C51" s="75" t="s">
        <v>26</v>
      </c>
      <c r="D51" s="42"/>
      <c r="E51" s="56"/>
      <c r="F51" s="56"/>
      <c r="G51" s="1128"/>
      <c r="H51" s="1130" t="s">
        <v>26</v>
      </c>
      <c r="I51" s="56"/>
      <c r="J51" s="56"/>
      <c r="K51" s="90"/>
      <c r="L51" s="72"/>
      <c r="M51" s="85"/>
      <c r="N51" s="85"/>
      <c r="O51" s="33"/>
    </row>
    <row r="52" spans="1:15" ht="15">
      <c r="A52" s="581"/>
      <c r="B52" s="571" t="s">
        <v>851</v>
      </c>
      <c r="C52" s="75" t="s">
        <v>1062</v>
      </c>
      <c r="D52" s="42"/>
      <c r="E52" s="56"/>
      <c r="F52" s="56"/>
      <c r="G52" s="571" t="s">
        <v>169</v>
      </c>
      <c r="H52" s="1130" t="s">
        <v>1062</v>
      </c>
      <c r="I52" s="56"/>
      <c r="J52" s="56"/>
      <c r="K52" s="90"/>
      <c r="L52" s="72"/>
      <c r="M52" s="85"/>
      <c r="N52" s="85"/>
      <c r="O52" s="33"/>
    </row>
    <row r="53" spans="1:15" ht="15.75" thickBot="1">
      <c r="A53" s="57"/>
      <c r="B53" s="447" t="s">
        <v>1112</v>
      </c>
      <c r="C53" s="74" t="s">
        <v>1121</v>
      </c>
      <c r="D53" s="43"/>
      <c r="E53" s="56"/>
      <c r="F53" s="56"/>
      <c r="G53" s="447" t="s">
        <v>1112</v>
      </c>
      <c r="H53" s="1131" t="s">
        <v>1121</v>
      </c>
      <c r="I53" s="56"/>
      <c r="J53" s="56"/>
      <c r="K53" s="90"/>
      <c r="L53" s="72"/>
      <c r="M53" s="85"/>
      <c r="N53" s="85"/>
      <c r="O53" s="33"/>
    </row>
    <row r="54" spans="1:15" ht="15">
      <c r="A54" s="280"/>
      <c r="B54" s="14"/>
      <c r="C54" s="75"/>
      <c r="D54" s="20"/>
      <c r="E54" s="56"/>
      <c r="F54" s="56"/>
      <c r="G54" s="56"/>
      <c r="H54" s="56"/>
      <c r="I54" s="56"/>
      <c r="J54" s="56"/>
      <c r="K54" s="90"/>
      <c r="L54" s="72"/>
      <c r="M54" s="85"/>
      <c r="N54" s="85"/>
      <c r="O54" s="33"/>
    </row>
    <row r="55" spans="1:15" ht="15.75" thickBot="1">
      <c r="A55" s="280"/>
      <c r="B55" s="20"/>
      <c r="C55" s="75"/>
      <c r="D55" s="20"/>
      <c r="E55" s="56"/>
      <c r="F55" s="56"/>
      <c r="G55" s="55"/>
      <c r="H55" s="55"/>
      <c r="I55" s="56"/>
      <c r="J55" s="56"/>
      <c r="K55" s="55"/>
      <c r="L55" s="72"/>
      <c r="M55" s="72"/>
      <c r="N55" s="72"/>
      <c r="O55" s="85"/>
    </row>
    <row r="56" spans="1:15" s="27" customFormat="1" ht="44.25" customHeight="1">
      <c r="A56" s="1588" t="s">
        <v>7</v>
      </c>
      <c r="B56" s="1591" t="s">
        <v>664</v>
      </c>
      <c r="C56" s="1594" t="s">
        <v>9</v>
      </c>
      <c r="D56" s="1594" t="s">
        <v>10</v>
      </c>
      <c r="E56" s="1574" t="s">
        <v>844</v>
      </c>
      <c r="F56" s="1574" t="s">
        <v>12</v>
      </c>
      <c r="G56" s="1594" t="s">
        <v>13</v>
      </c>
      <c r="H56" s="1574" t="s">
        <v>14</v>
      </c>
      <c r="I56" s="1574" t="s">
        <v>282</v>
      </c>
      <c r="J56" s="1574" t="s">
        <v>60</v>
      </c>
      <c r="K56" s="1583" t="s">
        <v>666</v>
      </c>
      <c r="L56" s="1586" t="s">
        <v>667</v>
      </c>
      <c r="M56" s="1570"/>
      <c r="N56" s="1570"/>
      <c r="O56" s="1587"/>
    </row>
    <row r="57" spans="1:15" ht="40.5" customHeight="1">
      <c r="A57" s="1589"/>
      <c r="B57" s="1592"/>
      <c r="C57" s="1595"/>
      <c r="D57" s="1595"/>
      <c r="E57" s="1575"/>
      <c r="F57" s="1575"/>
      <c r="G57" s="1595"/>
      <c r="H57" s="1575"/>
      <c r="I57" s="1613"/>
      <c r="J57" s="1575"/>
      <c r="K57" s="1584"/>
      <c r="L57" s="1597" t="s">
        <v>668</v>
      </c>
      <c r="M57" s="1568"/>
      <c r="N57" s="1568"/>
      <c r="O57" s="1598"/>
    </row>
    <row r="58" spans="1:15" ht="36.75" customHeight="1" thickBot="1">
      <c r="A58" s="1590"/>
      <c r="B58" s="1593"/>
      <c r="C58" s="1596"/>
      <c r="D58" s="1596"/>
      <c r="E58" s="1576"/>
      <c r="F58" s="1576"/>
      <c r="G58" s="1596"/>
      <c r="H58" s="1576"/>
      <c r="I58" s="1614"/>
      <c r="J58" s="1576"/>
      <c r="K58" s="1585"/>
      <c r="L58" s="589" t="s">
        <v>669</v>
      </c>
      <c r="M58" s="954" t="s">
        <v>670</v>
      </c>
      <c r="N58" s="954" t="s">
        <v>671</v>
      </c>
      <c r="O58" s="955" t="s">
        <v>17</v>
      </c>
    </row>
    <row r="59" spans="1:15" ht="30" thickBot="1">
      <c r="A59" s="572" t="s">
        <v>27</v>
      </c>
      <c r="B59" s="9" t="s">
        <v>86</v>
      </c>
      <c r="C59" s="9" t="s">
        <v>19</v>
      </c>
      <c r="D59" s="9" t="s">
        <v>20</v>
      </c>
      <c r="E59" s="3">
        <v>2</v>
      </c>
      <c r="F59" s="3" t="s">
        <v>21</v>
      </c>
      <c r="G59" s="9" t="s">
        <v>19</v>
      </c>
      <c r="H59" s="761" t="s">
        <v>87</v>
      </c>
      <c r="I59" s="25">
        <v>3508568</v>
      </c>
      <c r="J59" s="394" t="s">
        <v>72</v>
      </c>
      <c r="K59" s="91">
        <v>95</v>
      </c>
      <c r="L59" s="35"/>
      <c r="M59" s="78">
        <f>432*2*30</f>
        <v>25920</v>
      </c>
      <c r="N59" s="78">
        <f>830*30*2</f>
        <v>49800</v>
      </c>
      <c r="O59" s="78">
        <f>SUM(M59:N59)</f>
        <v>75720</v>
      </c>
    </row>
    <row r="60" spans="2:15" ht="22.5" customHeight="1">
      <c r="B60" s="10" t="s">
        <v>23</v>
      </c>
      <c r="C60" s="11" t="s">
        <v>145</v>
      </c>
      <c r="D60" s="12"/>
      <c r="E60" s="55"/>
      <c r="F60" s="55"/>
      <c r="G60" s="81" t="s">
        <v>1719</v>
      </c>
      <c r="H60" s="1127" t="s">
        <v>86</v>
      </c>
      <c r="I60" s="55"/>
      <c r="J60" s="55"/>
      <c r="K60" s="55"/>
      <c r="L60" s="94"/>
      <c r="M60" s="72"/>
      <c r="N60" s="199" t="s">
        <v>24</v>
      </c>
      <c r="O60" s="582">
        <f>SUM(O59)</f>
        <v>75720</v>
      </c>
    </row>
    <row r="61" spans="2:15" ht="15">
      <c r="B61" s="13"/>
      <c r="C61" s="14" t="s">
        <v>161</v>
      </c>
      <c r="D61" s="15"/>
      <c r="E61" s="84"/>
      <c r="F61" s="55"/>
      <c r="G61" s="1128"/>
      <c r="H61" s="1130" t="s">
        <v>88</v>
      </c>
      <c r="I61" s="55"/>
      <c r="J61" s="55"/>
      <c r="K61" s="55"/>
      <c r="L61" s="85"/>
      <c r="M61" s="33"/>
      <c r="N61" s="406"/>
      <c r="O61" s="61"/>
    </row>
    <row r="62" spans="2:15" ht="15">
      <c r="B62" s="13"/>
      <c r="C62" s="45" t="s">
        <v>26</v>
      </c>
      <c r="D62" s="15"/>
      <c r="E62" s="55"/>
      <c r="F62" s="55"/>
      <c r="G62" s="1128"/>
      <c r="H62" s="1130" t="s">
        <v>89</v>
      </c>
      <c r="I62" s="55"/>
      <c r="J62" s="55"/>
      <c r="K62" s="55"/>
      <c r="L62" s="85"/>
      <c r="M62" s="33"/>
      <c r="N62" s="406"/>
      <c r="O62" s="61"/>
    </row>
    <row r="63" spans="2:15" ht="15">
      <c r="B63" s="571" t="s">
        <v>169</v>
      </c>
      <c r="C63" s="45" t="s">
        <v>1072</v>
      </c>
      <c r="D63" s="15"/>
      <c r="E63" s="55"/>
      <c r="F63" s="55"/>
      <c r="G63" s="190"/>
      <c r="H63" s="1130" t="s">
        <v>26</v>
      </c>
      <c r="I63" s="55"/>
      <c r="J63" s="55"/>
      <c r="K63" s="393"/>
      <c r="L63" s="85"/>
      <c r="M63" s="33"/>
      <c r="N63" s="406"/>
      <c r="O63" s="61"/>
    </row>
    <row r="64" spans="2:15" ht="15.75" thickBot="1">
      <c r="B64" s="447" t="s">
        <v>1112</v>
      </c>
      <c r="C64" s="116" t="s">
        <v>1137</v>
      </c>
      <c r="D64" s="18"/>
      <c r="G64" s="447" t="s">
        <v>169</v>
      </c>
      <c r="H64" s="1131" t="s">
        <v>1063</v>
      </c>
      <c r="L64" s="33"/>
      <c r="M64" s="33"/>
      <c r="N64" s="61"/>
      <c r="O64" s="61"/>
    </row>
    <row r="65" spans="1:15" ht="15">
      <c r="A65" s="295"/>
      <c r="B65" s="595"/>
      <c r="C65" s="56"/>
      <c r="D65" s="14"/>
      <c r="G65" s="595"/>
      <c r="H65" s="75"/>
      <c r="L65" s="33"/>
      <c r="M65" s="33"/>
      <c r="N65" s="61"/>
      <c r="O65" s="61"/>
    </row>
    <row r="66" spans="1:15" ht="15.75" thickBot="1">
      <c r="A66" s="280"/>
      <c r="B66" s="14"/>
      <c r="C66" s="75"/>
      <c r="D66" s="14"/>
      <c r="L66" s="33"/>
      <c r="M66" s="33"/>
      <c r="N66" s="61"/>
      <c r="O66" s="61"/>
    </row>
    <row r="67" spans="1:15" s="27" customFormat="1" ht="44.25" customHeight="1">
      <c r="A67" s="1588" t="s">
        <v>7</v>
      </c>
      <c r="B67" s="1591" t="s">
        <v>664</v>
      </c>
      <c r="C67" s="1594" t="s">
        <v>9</v>
      </c>
      <c r="D67" s="1594" t="s">
        <v>10</v>
      </c>
      <c r="E67" s="1574" t="s">
        <v>844</v>
      </c>
      <c r="F67" s="1574" t="s">
        <v>12</v>
      </c>
      <c r="G67" s="1594" t="s">
        <v>13</v>
      </c>
      <c r="H67" s="1574" t="s">
        <v>14</v>
      </c>
      <c r="I67" s="1574" t="s">
        <v>282</v>
      </c>
      <c r="J67" s="1574" t="s">
        <v>60</v>
      </c>
      <c r="K67" s="1583" t="s">
        <v>666</v>
      </c>
      <c r="L67" s="1586" t="s">
        <v>667</v>
      </c>
      <c r="M67" s="1570"/>
      <c r="N67" s="1570"/>
      <c r="O67" s="1587"/>
    </row>
    <row r="68" spans="1:15" ht="40.5" customHeight="1">
      <c r="A68" s="1589"/>
      <c r="B68" s="1592"/>
      <c r="C68" s="1595"/>
      <c r="D68" s="1595"/>
      <c r="E68" s="1575"/>
      <c r="F68" s="1575"/>
      <c r="G68" s="1595"/>
      <c r="H68" s="1575"/>
      <c r="I68" s="1613"/>
      <c r="J68" s="1575"/>
      <c r="K68" s="1584"/>
      <c r="L68" s="1597" t="s">
        <v>668</v>
      </c>
      <c r="M68" s="1568"/>
      <c r="N68" s="1568"/>
      <c r="O68" s="1598"/>
    </row>
    <row r="69" spans="1:15" ht="36.75" customHeight="1" thickBot="1">
      <c r="A69" s="1590"/>
      <c r="B69" s="1593"/>
      <c r="C69" s="1596"/>
      <c r="D69" s="1596"/>
      <c r="E69" s="1576"/>
      <c r="F69" s="1576"/>
      <c r="G69" s="1596"/>
      <c r="H69" s="1576"/>
      <c r="I69" s="1614"/>
      <c r="J69" s="1576"/>
      <c r="K69" s="1585"/>
      <c r="L69" s="270" t="s">
        <v>669</v>
      </c>
      <c r="M69" s="277" t="s">
        <v>670</v>
      </c>
      <c r="N69" s="277" t="s">
        <v>671</v>
      </c>
      <c r="O69" s="272" t="s">
        <v>17</v>
      </c>
    </row>
    <row r="70" spans="1:15" ht="26.25" customHeight="1">
      <c r="A70" s="572" t="s">
        <v>27</v>
      </c>
      <c r="B70" s="9"/>
      <c r="C70" s="9" t="s">
        <v>19</v>
      </c>
      <c r="D70" s="9" t="s">
        <v>90</v>
      </c>
      <c r="E70" s="3">
        <v>17</v>
      </c>
      <c r="F70" s="3" t="s">
        <v>21</v>
      </c>
      <c r="G70" s="3" t="s">
        <v>19</v>
      </c>
      <c r="H70" s="750" t="s">
        <v>91</v>
      </c>
      <c r="I70" s="25">
        <v>3516106</v>
      </c>
      <c r="J70" s="394" t="s">
        <v>29</v>
      </c>
      <c r="K70" s="97">
        <v>15</v>
      </c>
      <c r="L70" s="78">
        <v>10</v>
      </c>
      <c r="M70" s="407"/>
      <c r="N70" s="111"/>
      <c r="O70" s="78">
        <f>L70</f>
        <v>10</v>
      </c>
    </row>
    <row r="71" spans="1:15" ht="26.25" customHeight="1" thickBot="1">
      <c r="A71" s="572" t="s">
        <v>27</v>
      </c>
      <c r="B71" s="9"/>
      <c r="C71" s="9" t="s">
        <v>19</v>
      </c>
      <c r="D71" s="6" t="s">
        <v>90</v>
      </c>
      <c r="E71" s="4">
        <v>17</v>
      </c>
      <c r="F71" s="4" t="s">
        <v>21</v>
      </c>
      <c r="G71" s="3" t="s">
        <v>19</v>
      </c>
      <c r="H71" s="750" t="s">
        <v>93</v>
      </c>
      <c r="I71" s="24">
        <v>4099750</v>
      </c>
      <c r="J71" s="392" t="s">
        <v>22</v>
      </c>
      <c r="K71" s="88">
        <v>119</v>
      </c>
      <c r="L71" s="36">
        <f>((12814.29-12557.3)+2113.56)*50</f>
        <v>118527.50000000007</v>
      </c>
      <c r="M71" s="35"/>
      <c r="N71" s="96"/>
      <c r="O71" s="36">
        <f>L71</f>
        <v>118527.50000000007</v>
      </c>
    </row>
    <row r="72" spans="2:15" ht="22.5" customHeight="1">
      <c r="B72" s="10" t="s">
        <v>23</v>
      </c>
      <c r="C72" s="11" t="s">
        <v>145</v>
      </c>
      <c r="D72" s="12"/>
      <c r="E72" s="55"/>
      <c r="F72" s="55"/>
      <c r="G72" s="81" t="s">
        <v>1719</v>
      </c>
      <c r="H72" s="1127" t="s">
        <v>1118</v>
      </c>
      <c r="I72" s="55"/>
      <c r="J72" s="55"/>
      <c r="K72" s="98"/>
      <c r="L72" s="94"/>
      <c r="M72" s="33"/>
      <c r="N72" s="286" t="s">
        <v>24</v>
      </c>
      <c r="O72" s="586">
        <f>SUM(O70:O71)</f>
        <v>118537.50000000007</v>
      </c>
    </row>
    <row r="73" spans="2:15" ht="15">
      <c r="B73" s="13"/>
      <c r="C73" s="14" t="s">
        <v>161</v>
      </c>
      <c r="D73" s="15"/>
      <c r="E73" s="55"/>
      <c r="F73" s="55"/>
      <c r="G73" s="1128"/>
      <c r="H73" s="1130" t="s">
        <v>92</v>
      </c>
      <c r="I73" s="55"/>
      <c r="J73" s="55"/>
      <c r="K73" s="98"/>
      <c r="L73" s="85"/>
      <c r="M73" s="33"/>
      <c r="N73" s="406"/>
      <c r="O73" s="61"/>
    </row>
    <row r="74" spans="2:15" ht="15">
      <c r="B74" s="13"/>
      <c r="C74" s="45" t="s">
        <v>26</v>
      </c>
      <c r="D74" s="15"/>
      <c r="E74" s="55"/>
      <c r="F74" s="55"/>
      <c r="G74" s="1128"/>
      <c r="H74" s="1130" t="s">
        <v>26</v>
      </c>
      <c r="I74" s="55"/>
      <c r="J74" s="55"/>
      <c r="K74" s="98"/>
      <c r="L74" s="85"/>
      <c r="M74" s="33"/>
      <c r="N74" s="406"/>
      <c r="O74" s="61"/>
    </row>
    <row r="75" spans="2:15" ht="15.75" thickBot="1">
      <c r="B75" s="571" t="s">
        <v>169</v>
      </c>
      <c r="C75" s="45" t="s">
        <v>1072</v>
      </c>
      <c r="D75" s="15"/>
      <c r="E75" s="2"/>
      <c r="F75" s="2"/>
      <c r="G75" s="447" t="s">
        <v>169</v>
      </c>
      <c r="H75" s="1133" t="s">
        <v>1119</v>
      </c>
      <c r="I75" s="2"/>
      <c r="J75" s="2"/>
      <c r="K75" s="100"/>
      <c r="L75" s="405"/>
      <c r="M75" s="33"/>
      <c r="N75" s="406"/>
      <c r="O75" s="61"/>
    </row>
    <row r="76" spans="1:15" ht="15.75" thickBot="1">
      <c r="A76" s="295"/>
      <c r="B76" s="447" t="s">
        <v>1112</v>
      </c>
      <c r="C76" s="116" t="s">
        <v>1137</v>
      </c>
      <c r="D76" s="18"/>
      <c r="E76" s="2"/>
      <c r="F76" s="2"/>
      <c r="H76" s="70"/>
      <c r="I76" s="2"/>
      <c r="J76" s="2"/>
      <c r="K76" s="100"/>
      <c r="L76" s="405"/>
      <c r="M76" s="33"/>
      <c r="N76" s="406"/>
      <c r="O76" s="61"/>
    </row>
    <row r="77" spans="1:15" ht="15">
      <c r="A77" s="280"/>
      <c r="B77" s="20"/>
      <c r="C77" s="70"/>
      <c r="D77" s="20"/>
      <c r="E77" s="2"/>
      <c r="F77" s="2"/>
      <c r="G77" s="2"/>
      <c r="H77" s="2"/>
      <c r="I77" s="2"/>
      <c r="J77" s="2"/>
      <c r="K77" s="100"/>
      <c r="L77" s="405"/>
      <c r="M77" s="33"/>
      <c r="N77" s="406"/>
      <c r="O77" s="61"/>
    </row>
    <row r="78" spans="2:15" ht="15.75" thickBot="1">
      <c r="B78" s="20"/>
      <c r="C78" s="70"/>
      <c r="D78" s="20"/>
      <c r="E78" s="2"/>
      <c r="F78" s="2"/>
      <c r="G78" s="2"/>
      <c r="H78" s="2"/>
      <c r="I78" s="2"/>
      <c r="J78" s="2"/>
      <c r="K78" s="100"/>
      <c r="L78" s="405"/>
      <c r="M78" s="33"/>
      <c r="N78" s="406"/>
      <c r="O78" s="61"/>
    </row>
    <row r="79" spans="1:15" ht="43.5" customHeight="1">
      <c r="A79" s="1588" t="s">
        <v>7</v>
      </c>
      <c r="B79" s="1591" t="s">
        <v>664</v>
      </c>
      <c r="C79" s="1594" t="s">
        <v>9</v>
      </c>
      <c r="D79" s="1594" t="s">
        <v>10</v>
      </c>
      <c r="E79" s="1574" t="s">
        <v>844</v>
      </c>
      <c r="F79" s="1574" t="s">
        <v>12</v>
      </c>
      <c r="G79" s="1594" t="s">
        <v>13</v>
      </c>
      <c r="H79" s="1574" t="s">
        <v>14</v>
      </c>
      <c r="I79" s="1574" t="s">
        <v>282</v>
      </c>
      <c r="J79" s="1574" t="s">
        <v>60</v>
      </c>
      <c r="K79" s="1583" t="s">
        <v>666</v>
      </c>
      <c r="L79" s="1586" t="s">
        <v>667</v>
      </c>
      <c r="M79" s="1570"/>
      <c r="N79" s="1570"/>
      <c r="O79" s="1587"/>
    </row>
    <row r="80" spans="1:15" ht="40.5" customHeight="1">
      <c r="A80" s="1589"/>
      <c r="B80" s="1592"/>
      <c r="C80" s="1595"/>
      <c r="D80" s="1595"/>
      <c r="E80" s="1575"/>
      <c r="F80" s="1575"/>
      <c r="G80" s="1595"/>
      <c r="H80" s="1575"/>
      <c r="I80" s="1613"/>
      <c r="J80" s="1575"/>
      <c r="K80" s="1584"/>
      <c r="L80" s="1597" t="s">
        <v>668</v>
      </c>
      <c r="M80" s="1568"/>
      <c r="N80" s="1568"/>
      <c r="O80" s="1598"/>
    </row>
    <row r="81" spans="1:15" ht="37.5" customHeight="1" thickBot="1">
      <c r="A81" s="1590"/>
      <c r="B81" s="1593"/>
      <c r="C81" s="1596"/>
      <c r="D81" s="1596"/>
      <c r="E81" s="1576"/>
      <c r="F81" s="1576"/>
      <c r="G81" s="1596"/>
      <c r="H81" s="1576"/>
      <c r="I81" s="1614"/>
      <c r="J81" s="1576"/>
      <c r="K81" s="1585"/>
      <c r="L81" s="270" t="s">
        <v>669</v>
      </c>
      <c r="M81" s="277" t="s">
        <v>670</v>
      </c>
      <c r="N81" s="277" t="s">
        <v>671</v>
      </c>
      <c r="O81" s="272" t="s">
        <v>17</v>
      </c>
    </row>
    <row r="82" spans="1:15" ht="30" thickBot="1">
      <c r="A82" s="572" t="s">
        <v>27</v>
      </c>
      <c r="B82" s="9" t="s">
        <v>94</v>
      </c>
      <c r="C82" s="9" t="s">
        <v>19</v>
      </c>
      <c r="D82" s="9" t="s">
        <v>30</v>
      </c>
      <c r="E82" s="3">
        <v>22</v>
      </c>
      <c r="F82" s="3" t="s">
        <v>21</v>
      </c>
      <c r="G82" s="3" t="s">
        <v>19</v>
      </c>
      <c r="H82" s="750" t="s">
        <v>96</v>
      </c>
      <c r="I82" s="25">
        <v>871746</v>
      </c>
      <c r="J82" s="394" t="s">
        <v>29</v>
      </c>
      <c r="K82" s="91">
        <v>40</v>
      </c>
      <c r="L82" s="78">
        <f>(13030.97-10749.48)*20</f>
        <v>45629.799999999996</v>
      </c>
      <c r="M82" s="407"/>
      <c r="N82" s="111"/>
      <c r="O82" s="95">
        <f>L82</f>
        <v>45629.799999999996</v>
      </c>
    </row>
    <row r="83" spans="2:15" ht="22.5" customHeight="1">
      <c r="B83" s="10" t="s">
        <v>23</v>
      </c>
      <c r="C83" s="11" t="s">
        <v>145</v>
      </c>
      <c r="D83" s="12"/>
      <c r="E83" s="55"/>
      <c r="F83" s="55"/>
      <c r="G83" s="81" t="s">
        <v>1719</v>
      </c>
      <c r="H83" s="1127" t="s">
        <v>94</v>
      </c>
      <c r="I83" s="55"/>
      <c r="J83" s="55"/>
      <c r="K83" s="55"/>
      <c r="L83" s="94"/>
      <c r="M83" s="33"/>
      <c r="N83" s="286" t="s">
        <v>24</v>
      </c>
      <c r="O83" s="574">
        <f>SUM(O82)</f>
        <v>45629.799999999996</v>
      </c>
    </row>
    <row r="84" spans="2:15" ht="15">
      <c r="B84" s="13"/>
      <c r="C84" s="14" t="s">
        <v>161</v>
      </c>
      <c r="D84" s="15"/>
      <c r="E84" s="84"/>
      <c r="F84" s="55"/>
      <c r="G84" s="1128"/>
      <c r="H84" s="1130" t="s">
        <v>97</v>
      </c>
      <c r="I84" s="55"/>
      <c r="J84" s="55"/>
      <c r="K84" s="55"/>
      <c r="L84" s="85"/>
      <c r="M84" s="33"/>
      <c r="N84" s="406"/>
      <c r="O84" s="61"/>
    </row>
    <row r="85" spans="2:15" ht="15">
      <c r="B85" s="13"/>
      <c r="C85" s="45" t="s">
        <v>26</v>
      </c>
      <c r="D85" s="15"/>
      <c r="E85" s="55"/>
      <c r="F85" s="55"/>
      <c r="G85" s="1128"/>
      <c r="H85" s="1130" t="s">
        <v>98</v>
      </c>
      <c r="I85" s="55"/>
      <c r="J85" s="55"/>
      <c r="K85" s="55"/>
      <c r="L85" s="85"/>
      <c r="M85" s="33"/>
      <c r="N85" s="406"/>
      <c r="O85" s="61"/>
    </row>
    <row r="86" spans="2:15" ht="15">
      <c r="B86" s="571" t="s">
        <v>169</v>
      </c>
      <c r="C86" s="45" t="s">
        <v>1072</v>
      </c>
      <c r="D86" s="15"/>
      <c r="E86" s="55"/>
      <c r="F86" s="55"/>
      <c r="G86" s="190"/>
      <c r="H86" s="1130" t="s">
        <v>26</v>
      </c>
      <c r="I86" s="55"/>
      <c r="J86" s="55"/>
      <c r="K86" s="55"/>
      <c r="L86" s="85"/>
      <c r="M86" s="33"/>
      <c r="N86" s="406"/>
      <c r="O86" s="61"/>
    </row>
    <row r="87" spans="2:15" ht="15.75" thickBot="1">
      <c r="B87" s="447" t="s">
        <v>1112</v>
      </c>
      <c r="C87" s="116" t="s">
        <v>1137</v>
      </c>
      <c r="D87" s="18"/>
      <c r="E87" s="55"/>
      <c r="F87" s="55"/>
      <c r="G87" s="447" t="s">
        <v>169</v>
      </c>
      <c r="H87" s="1131" t="s">
        <v>1064</v>
      </c>
      <c r="I87" s="55"/>
      <c r="J87" s="55"/>
      <c r="K87" s="55"/>
      <c r="L87" s="85"/>
      <c r="M87" s="33"/>
      <c r="N87" s="406"/>
      <c r="O87" s="61"/>
    </row>
    <row r="88" spans="1:15" ht="15">
      <c r="A88" s="295"/>
      <c r="B88" s="595"/>
      <c r="C88" s="56"/>
      <c r="D88" s="20"/>
      <c r="E88" s="55"/>
      <c r="F88" s="55"/>
      <c r="G88" s="55"/>
      <c r="H88" s="75"/>
      <c r="I88" s="55"/>
      <c r="J88" s="55"/>
      <c r="K88" s="55"/>
      <c r="L88" s="85"/>
      <c r="M88" s="33"/>
      <c r="N88" s="406"/>
      <c r="O88" s="61"/>
    </row>
    <row r="89" spans="1:15" ht="15.75" thickBot="1">
      <c r="A89" s="280"/>
      <c r="B89" s="14"/>
      <c r="C89" s="75"/>
      <c r="D89" s="20"/>
      <c r="E89" s="56"/>
      <c r="F89" s="56"/>
      <c r="G89" s="55"/>
      <c r="H89" s="55"/>
      <c r="I89" s="56"/>
      <c r="J89" s="56"/>
      <c r="K89" s="90"/>
      <c r="L89" s="72"/>
      <c r="M89" s="33"/>
      <c r="N89" s="61"/>
      <c r="O89" s="61"/>
    </row>
    <row r="90" spans="1:15" s="27" customFormat="1" ht="46.5" customHeight="1">
      <c r="A90" s="1588" t="s">
        <v>7</v>
      </c>
      <c r="B90" s="1591" t="s">
        <v>664</v>
      </c>
      <c r="C90" s="1594" t="s">
        <v>9</v>
      </c>
      <c r="D90" s="1594" t="s">
        <v>10</v>
      </c>
      <c r="E90" s="1574" t="s">
        <v>844</v>
      </c>
      <c r="F90" s="1574" t="s">
        <v>12</v>
      </c>
      <c r="G90" s="1594" t="s">
        <v>13</v>
      </c>
      <c r="H90" s="1574" t="s">
        <v>14</v>
      </c>
      <c r="I90" s="1574" t="s">
        <v>282</v>
      </c>
      <c r="J90" s="1574" t="s">
        <v>60</v>
      </c>
      <c r="K90" s="1583" t="s">
        <v>666</v>
      </c>
      <c r="L90" s="1586" t="s">
        <v>667</v>
      </c>
      <c r="M90" s="1570"/>
      <c r="N90" s="1570"/>
      <c r="O90" s="1587"/>
    </row>
    <row r="91" spans="1:15" ht="40.5" customHeight="1">
      <c r="A91" s="1589"/>
      <c r="B91" s="1592"/>
      <c r="C91" s="1595"/>
      <c r="D91" s="1595"/>
      <c r="E91" s="1575"/>
      <c r="F91" s="1575"/>
      <c r="G91" s="1595"/>
      <c r="H91" s="1575"/>
      <c r="I91" s="1613"/>
      <c r="J91" s="1575"/>
      <c r="K91" s="1584"/>
      <c r="L91" s="1597" t="s">
        <v>668</v>
      </c>
      <c r="M91" s="1568"/>
      <c r="N91" s="1568"/>
      <c r="O91" s="1598"/>
    </row>
    <row r="92" spans="1:15" ht="34.5" customHeight="1" thickBot="1">
      <c r="A92" s="1590"/>
      <c r="B92" s="1593"/>
      <c r="C92" s="1596"/>
      <c r="D92" s="1596"/>
      <c r="E92" s="1576"/>
      <c r="F92" s="1576"/>
      <c r="G92" s="1596"/>
      <c r="H92" s="1576"/>
      <c r="I92" s="1614"/>
      <c r="J92" s="1576"/>
      <c r="K92" s="1585"/>
      <c r="L92" s="270" t="s">
        <v>669</v>
      </c>
      <c r="M92" s="277" t="s">
        <v>670</v>
      </c>
      <c r="N92" s="277" t="s">
        <v>671</v>
      </c>
      <c r="O92" s="272" t="s">
        <v>17</v>
      </c>
    </row>
    <row r="93" spans="1:15" ht="30" thickBot="1">
      <c r="A93" s="572" t="s">
        <v>27</v>
      </c>
      <c r="B93" s="9" t="s">
        <v>101</v>
      </c>
      <c r="C93" s="9" t="s">
        <v>19</v>
      </c>
      <c r="D93" s="9" t="s">
        <v>32</v>
      </c>
      <c r="E93" s="4">
        <v>10</v>
      </c>
      <c r="F93" s="4" t="s">
        <v>21</v>
      </c>
      <c r="G93" s="9" t="s">
        <v>19</v>
      </c>
      <c r="H93" s="761" t="s">
        <v>102</v>
      </c>
      <c r="I93" s="24">
        <v>907524</v>
      </c>
      <c r="J93" s="395" t="s">
        <v>29</v>
      </c>
      <c r="K93" s="92">
        <v>15</v>
      </c>
      <c r="L93" s="101">
        <f>92498-74281</f>
        <v>18217</v>
      </c>
      <c r="M93" s="408"/>
      <c r="N93" s="111"/>
      <c r="O93" s="95">
        <f>L93</f>
        <v>18217</v>
      </c>
    </row>
    <row r="94" spans="2:15" ht="23.25" customHeight="1">
      <c r="B94" s="10" t="s">
        <v>23</v>
      </c>
      <c r="C94" s="11" t="s">
        <v>145</v>
      </c>
      <c r="D94" s="12"/>
      <c r="E94" s="56"/>
      <c r="F94" s="56"/>
      <c r="G94" s="81" t="s">
        <v>1719</v>
      </c>
      <c r="H94" s="1127" t="s">
        <v>101</v>
      </c>
      <c r="I94" s="56"/>
      <c r="J94" s="56"/>
      <c r="K94" s="56"/>
      <c r="L94" s="71"/>
      <c r="M94" s="33"/>
      <c r="N94" s="36" t="s">
        <v>24</v>
      </c>
      <c r="O94" s="596">
        <f>SUM(O93)</f>
        <v>18217</v>
      </c>
    </row>
    <row r="95" spans="2:15" ht="15">
      <c r="B95" s="13"/>
      <c r="C95" s="14" t="s">
        <v>161</v>
      </c>
      <c r="D95" s="15"/>
      <c r="E95" s="84"/>
      <c r="F95" s="56"/>
      <c r="G95" s="1128"/>
      <c r="H95" s="1130" t="s">
        <v>103</v>
      </c>
      <c r="I95" s="56"/>
      <c r="J95" s="56"/>
      <c r="K95" s="56"/>
      <c r="L95" s="72"/>
      <c r="M95" s="33"/>
      <c r="N95" s="61"/>
      <c r="O95" s="61"/>
    </row>
    <row r="96" spans="2:15" ht="15">
      <c r="B96" s="13"/>
      <c r="C96" s="45" t="s">
        <v>26</v>
      </c>
      <c r="D96" s="15"/>
      <c r="E96" s="56"/>
      <c r="F96" s="56"/>
      <c r="G96" s="1128"/>
      <c r="H96" s="1130" t="s">
        <v>26</v>
      </c>
      <c r="I96" s="56"/>
      <c r="J96" s="56"/>
      <c r="K96" s="56"/>
      <c r="L96" s="72"/>
      <c r="M96" s="33"/>
      <c r="N96" s="61"/>
      <c r="O96" s="61"/>
    </row>
    <row r="97" spans="2:15" ht="15.75" thickBot="1">
      <c r="B97" s="571" t="s">
        <v>169</v>
      </c>
      <c r="C97" s="45" t="s">
        <v>1072</v>
      </c>
      <c r="D97" s="15"/>
      <c r="E97" s="56"/>
      <c r="F97" s="56"/>
      <c r="G97" s="447" t="s">
        <v>169</v>
      </c>
      <c r="H97" s="1131" t="s">
        <v>1065</v>
      </c>
      <c r="I97" s="56"/>
      <c r="J97" s="56"/>
      <c r="K97" s="56"/>
      <c r="L97" s="72"/>
      <c r="M97" s="33"/>
      <c r="N97" s="61"/>
      <c r="O97" s="61"/>
    </row>
    <row r="98" spans="1:15" ht="15.75" thickBot="1">
      <c r="A98" s="295"/>
      <c r="B98" s="447" t="s">
        <v>1112</v>
      </c>
      <c r="C98" s="116" t="s">
        <v>1137</v>
      </c>
      <c r="D98" s="18"/>
      <c r="E98" s="56"/>
      <c r="F98" s="56"/>
      <c r="G98" s="56"/>
      <c r="H98" s="75"/>
      <c r="I98" s="56"/>
      <c r="J98" s="56"/>
      <c r="K98" s="56"/>
      <c r="L98" s="72"/>
      <c r="M98" s="33"/>
      <c r="N98" s="61"/>
      <c r="O98" s="61"/>
    </row>
    <row r="99" spans="1:15" ht="15">
      <c r="A99" s="280"/>
      <c r="B99" s="14"/>
      <c r="C99" s="75"/>
      <c r="D99" s="20"/>
      <c r="E99" s="56"/>
      <c r="F99" s="56"/>
      <c r="G99" s="55"/>
      <c r="H99" s="55"/>
      <c r="I99" s="56"/>
      <c r="J99" s="56"/>
      <c r="K99" s="56"/>
      <c r="L99" s="72"/>
      <c r="M99" s="33"/>
      <c r="N99" s="61"/>
      <c r="O99" s="61"/>
    </row>
    <row r="100" spans="2:15" ht="15.75" thickBot="1">
      <c r="B100" s="14"/>
      <c r="C100" s="75"/>
      <c r="D100" s="20"/>
      <c r="E100" s="56"/>
      <c r="F100" s="56"/>
      <c r="G100" s="55"/>
      <c r="H100" s="55"/>
      <c r="I100" s="56"/>
      <c r="J100" s="56"/>
      <c r="K100" s="56"/>
      <c r="L100" s="72"/>
      <c r="M100" s="33"/>
      <c r="N100" s="61"/>
      <c r="O100" s="61"/>
    </row>
    <row r="101" spans="1:15" ht="44.25" customHeight="1">
      <c r="A101" s="1588" t="s">
        <v>7</v>
      </c>
      <c r="B101" s="1591" t="s">
        <v>664</v>
      </c>
      <c r="C101" s="1594" t="s">
        <v>9</v>
      </c>
      <c r="D101" s="1594" t="s">
        <v>10</v>
      </c>
      <c r="E101" s="1574" t="s">
        <v>844</v>
      </c>
      <c r="F101" s="1574" t="s">
        <v>12</v>
      </c>
      <c r="G101" s="1594" t="s">
        <v>13</v>
      </c>
      <c r="H101" s="1574" t="s">
        <v>14</v>
      </c>
      <c r="I101" s="1574" t="s">
        <v>282</v>
      </c>
      <c r="J101" s="1574" t="s">
        <v>60</v>
      </c>
      <c r="K101" s="1583" t="s">
        <v>666</v>
      </c>
      <c r="L101" s="1586" t="s">
        <v>667</v>
      </c>
      <c r="M101" s="1570"/>
      <c r="N101" s="1570"/>
      <c r="O101" s="1587"/>
    </row>
    <row r="102" spans="1:15" ht="40.5" customHeight="1">
      <c r="A102" s="1589"/>
      <c r="B102" s="1592"/>
      <c r="C102" s="1595"/>
      <c r="D102" s="1595"/>
      <c r="E102" s="1575"/>
      <c r="F102" s="1575"/>
      <c r="G102" s="1595"/>
      <c r="H102" s="1575"/>
      <c r="I102" s="1613"/>
      <c r="J102" s="1575"/>
      <c r="K102" s="1584"/>
      <c r="L102" s="1597" t="s">
        <v>668</v>
      </c>
      <c r="M102" s="1568"/>
      <c r="N102" s="1568"/>
      <c r="O102" s="1598"/>
    </row>
    <row r="103" spans="1:15" ht="35.25" customHeight="1" thickBot="1">
      <c r="A103" s="1590"/>
      <c r="B103" s="1593"/>
      <c r="C103" s="1596"/>
      <c r="D103" s="1596"/>
      <c r="E103" s="1576"/>
      <c r="F103" s="1576"/>
      <c r="G103" s="1596"/>
      <c r="H103" s="1576"/>
      <c r="I103" s="1614"/>
      <c r="J103" s="1576"/>
      <c r="K103" s="1585"/>
      <c r="L103" s="589" t="s">
        <v>669</v>
      </c>
      <c r="M103" s="1117" t="s">
        <v>670</v>
      </c>
      <c r="N103" s="1117" t="s">
        <v>671</v>
      </c>
      <c r="O103" s="1118" t="s">
        <v>17</v>
      </c>
    </row>
    <row r="104" spans="1:15" ht="30" thickBot="1">
      <c r="A104" s="592" t="s">
        <v>27</v>
      </c>
      <c r="B104" s="371" t="s">
        <v>104</v>
      </c>
      <c r="C104" s="371" t="s">
        <v>19</v>
      </c>
      <c r="D104" s="371" t="s">
        <v>1125</v>
      </c>
      <c r="E104" s="273">
        <v>2</v>
      </c>
      <c r="F104" s="273" t="s">
        <v>21</v>
      </c>
      <c r="G104" s="371" t="s">
        <v>19</v>
      </c>
      <c r="H104" s="1134" t="s">
        <v>105</v>
      </c>
      <c r="I104" s="635">
        <v>4099752</v>
      </c>
      <c r="J104" s="1135" t="s">
        <v>22</v>
      </c>
      <c r="K104" s="1136">
        <v>79</v>
      </c>
      <c r="L104" s="1137">
        <f>((3545.23-3447.45)+769.23)*30</f>
        <v>26010.300000000007</v>
      </c>
      <c r="M104" s="276"/>
      <c r="N104" s="1138"/>
      <c r="O104" s="448">
        <f>L104</f>
        <v>26010.300000000007</v>
      </c>
    </row>
    <row r="105" spans="2:15" ht="22.5" customHeight="1">
      <c r="B105" s="10" t="s">
        <v>23</v>
      </c>
      <c r="C105" s="11" t="s">
        <v>145</v>
      </c>
      <c r="D105" s="12"/>
      <c r="E105" s="20"/>
      <c r="F105" s="55"/>
      <c r="G105" s="81" t="s">
        <v>1719</v>
      </c>
      <c r="H105" s="82" t="s">
        <v>106</v>
      </c>
      <c r="I105" s="236"/>
      <c r="J105" s="55"/>
      <c r="K105" s="68"/>
      <c r="L105" s="94"/>
      <c r="M105" s="33"/>
      <c r="N105" s="286" t="s">
        <v>24</v>
      </c>
      <c r="O105" s="574">
        <f>SUM(O104)</f>
        <v>26010.300000000007</v>
      </c>
    </row>
    <row r="106" spans="2:15" ht="15">
      <c r="B106" s="13"/>
      <c r="C106" s="14" t="s">
        <v>161</v>
      </c>
      <c r="D106" s="15"/>
      <c r="E106" s="84"/>
      <c r="F106" s="55"/>
      <c r="G106" s="1128"/>
      <c r="H106" s="75" t="s">
        <v>107</v>
      </c>
      <c r="I106" s="237"/>
      <c r="J106" s="55"/>
      <c r="K106" s="55"/>
      <c r="L106" s="85"/>
      <c r="M106" s="33"/>
      <c r="N106" s="61"/>
      <c r="O106" s="61"/>
    </row>
    <row r="107" spans="2:15" ht="15">
      <c r="B107" s="13"/>
      <c r="C107" s="45" t="s">
        <v>26</v>
      </c>
      <c r="D107" s="15"/>
      <c r="E107" s="1123"/>
      <c r="F107" s="55"/>
      <c r="G107" s="1128"/>
      <c r="H107" s="75" t="s">
        <v>108</v>
      </c>
      <c r="I107" s="237"/>
      <c r="J107" s="55"/>
      <c r="K107" s="55"/>
      <c r="L107" s="85"/>
      <c r="M107" s="33"/>
      <c r="N107" s="61"/>
      <c r="O107" s="61"/>
    </row>
    <row r="108" spans="2:15" ht="15">
      <c r="B108" s="571" t="s">
        <v>169</v>
      </c>
      <c r="C108" s="45" t="s">
        <v>1072</v>
      </c>
      <c r="D108" s="15"/>
      <c r="E108" s="1123"/>
      <c r="F108" s="55"/>
      <c r="G108" s="190"/>
      <c r="H108" s="75" t="s">
        <v>109</v>
      </c>
      <c r="I108" s="237"/>
      <c r="J108" s="55"/>
      <c r="K108" s="55"/>
      <c r="L108" s="85"/>
      <c r="M108" s="33"/>
      <c r="N108" s="61"/>
      <c r="O108" s="61"/>
    </row>
    <row r="109" spans="2:15" ht="15.75" thickBot="1">
      <c r="B109" s="447" t="s">
        <v>1112</v>
      </c>
      <c r="C109" s="116" t="s">
        <v>1137</v>
      </c>
      <c r="D109" s="18"/>
      <c r="E109" s="20"/>
      <c r="F109" s="55"/>
      <c r="G109" s="190"/>
      <c r="H109" s="75" t="s">
        <v>110</v>
      </c>
      <c r="I109" s="237"/>
      <c r="J109" s="55"/>
      <c r="K109" s="55"/>
      <c r="L109" s="85"/>
      <c r="M109" s="33"/>
      <c r="N109" s="61"/>
      <c r="O109" s="61"/>
    </row>
    <row r="110" spans="2:15" ht="15">
      <c r="B110" s="20"/>
      <c r="C110" s="56"/>
      <c r="D110" s="20"/>
      <c r="E110" s="20"/>
      <c r="F110" s="55"/>
      <c r="G110" s="1128"/>
      <c r="H110" s="75" t="s">
        <v>855</v>
      </c>
      <c r="I110" s="237"/>
      <c r="J110" s="55"/>
      <c r="K110" s="55"/>
      <c r="L110" s="85"/>
      <c r="M110" s="33"/>
      <c r="N110" s="61"/>
      <c r="O110" s="61"/>
    </row>
    <row r="111" spans="2:15" ht="15">
      <c r="B111" s="20"/>
      <c r="C111" s="56"/>
      <c r="D111" s="20"/>
      <c r="E111" s="20"/>
      <c r="F111" s="55"/>
      <c r="G111" s="1128"/>
      <c r="H111" s="75" t="s">
        <v>26</v>
      </c>
      <c r="I111" s="237"/>
      <c r="J111" s="55"/>
      <c r="K111" s="55"/>
      <c r="L111" s="85"/>
      <c r="M111" s="33"/>
      <c r="N111" s="61"/>
      <c r="O111" s="61"/>
    </row>
    <row r="112" spans="2:15" ht="15.75" thickBot="1">
      <c r="B112" s="595"/>
      <c r="C112" s="56"/>
      <c r="D112" s="14"/>
      <c r="E112" s="14"/>
      <c r="G112" s="447" t="s">
        <v>169</v>
      </c>
      <c r="H112" s="74" t="s">
        <v>1066</v>
      </c>
      <c r="I112" s="30"/>
      <c r="L112" s="33"/>
      <c r="M112" s="33"/>
      <c r="N112" s="61"/>
      <c r="O112" s="61"/>
    </row>
    <row r="113" spans="1:15" ht="15.75" thickBot="1">
      <c r="A113" s="295"/>
      <c r="B113" s="595"/>
      <c r="C113" s="56"/>
      <c r="D113" s="14"/>
      <c r="E113" s="14"/>
      <c r="H113" s="75"/>
      <c r="L113" s="33"/>
      <c r="M113" s="33"/>
      <c r="N113" s="61"/>
      <c r="O113" s="61"/>
    </row>
    <row r="114" spans="1:15" s="27" customFormat="1" ht="42.75" customHeight="1">
      <c r="A114" s="1588" t="s">
        <v>7</v>
      </c>
      <c r="B114" s="1591" t="s">
        <v>664</v>
      </c>
      <c r="C114" s="1594" t="s">
        <v>9</v>
      </c>
      <c r="D114" s="1594" t="s">
        <v>10</v>
      </c>
      <c r="E114" s="1574" t="s">
        <v>844</v>
      </c>
      <c r="F114" s="1574" t="s">
        <v>12</v>
      </c>
      <c r="G114" s="1594" t="s">
        <v>13</v>
      </c>
      <c r="H114" s="1574" t="s">
        <v>14</v>
      </c>
      <c r="I114" s="1574" t="s">
        <v>282</v>
      </c>
      <c r="J114" s="1574" t="s">
        <v>60</v>
      </c>
      <c r="K114" s="1583" t="s">
        <v>666</v>
      </c>
      <c r="L114" s="1586" t="s">
        <v>667</v>
      </c>
      <c r="M114" s="1570"/>
      <c r="N114" s="1570"/>
      <c r="O114" s="1587"/>
    </row>
    <row r="115" spans="1:15" ht="40.5" customHeight="1">
      <c r="A115" s="1589"/>
      <c r="B115" s="1592"/>
      <c r="C115" s="1595"/>
      <c r="D115" s="1595"/>
      <c r="E115" s="1575"/>
      <c r="F115" s="1575"/>
      <c r="G115" s="1595"/>
      <c r="H115" s="1575"/>
      <c r="I115" s="1613"/>
      <c r="J115" s="1575"/>
      <c r="K115" s="1584"/>
      <c r="L115" s="1597" t="s">
        <v>668</v>
      </c>
      <c r="M115" s="1568"/>
      <c r="N115" s="1568"/>
      <c r="O115" s="1598"/>
    </row>
    <row r="116" spans="1:15" ht="37.5" customHeight="1" thickBot="1">
      <c r="A116" s="1590"/>
      <c r="B116" s="1593"/>
      <c r="C116" s="1596"/>
      <c r="D116" s="1596"/>
      <c r="E116" s="1576"/>
      <c r="F116" s="1576"/>
      <c r="G116" s="1596"/>
      <c r="H116" s="1576"/>
      <c r="I116" s="1614"/>
      <c r="J116" s="1576"/>
      <c r="K116" s="1585"/>
      <c r="L116" s="270" t="s">
        <v>669</v>
      </c>
      <c r="M116" s="277" t="s">
        <v>670</v>
      </c>
      <c r="N116" s="277" t="s">
        <v>671</v>
      </c>
      <c r="O116" s="272" t="s">
        <v>17</v>
      </c>
    </row>
    <row r="117" spans="1:15" ht="30" thickBot="1">
      <c r="A117" s="572" t="s">
        <v>27</v>
      </c>
      <c r="B117" s="9" t="s">
        <v>111</v>
      </c>
      <c r="C117" s="9" t="s">
        <v>19</v>
      </c>
      <c r="D117" s="9" t="s">
        <v>32</v>
      </c>
      <c r="E117" s="3">
        <v>11</v>
      </c>
      <c r="F117" s="3" t="s">
        <v>21</v>
      </c>
      <c r="G117" s="3" t="s">
        <v>19</v>
      </c>
      <c r="H117" s="750" t="s">
        <v>112</v>
      </c>
      <c r="I117" s="25">
        <v>3508566</v>
      </c>
      <c r="J117" s="391" t="s">
        <v>22</v>
      </c>
      <c r="K117" s="91">
        <v>55</v>
      </c>
      <c r="L117" s="78">
        <f>(2131.35-311.52)*60</f>
        <v>109189.79999999999</v>
      </c>
      <c r="M117" s="35"/>
      <c r="N117" s="96"/>
      <c r="O117" s="36">
        <f>L117</f>
        <v>109189.79999999999</v>
      </c>
    </row>
    <row r="118" spans="2:15" ht="23.25" customHeight="1">
      <c r="B118" s="10" t="s">
        <v>23</v>
      </c>
      <c r="C118" s="11" t="s">
        <v>145</v>
      </c>
      <c r="D118" s="12"/>
      <c r="E118" s="55"/>
      <c r="F118" s="55"/>
      <c r="G118" s="81" t="s">
        <v>1719</v>
      </c>
      <c r="H118" s="1127" t="s">
        <v>113</v>
      </c>
      <c r="I118" s="55"/>
      <c r="J118" s="55"/>
      <c r="K118" s="55"/>
      <c r="L118" s="94"/>
      <c r="M118" s="33"/>
      <c r="N118" s="36" t="s">
        <v>24</v>
      </c>
      <c r="O118" s="574">
        <f>SUM(O117)</f>
        <v>109189.79999999999</v>
      </c>
    </row>
    <row r="119" spans="2:15" ht="15">
      <c r="B119" s="13"/>
      <c r="C119" s="14" t="s">
        <v>161</v>
      </c>
      <c r="D119" s="15"/>
      <c r="E119" s="84"/>
      <c r="F119" s="55"/>
      <c r="G119" s="1128"/>
      <c r="H119" s="1130" t="s">
        <v>114</v>
      </c>
      <c r="I119" s="55"/>
      <c r="J119" s="55"/>
      <c r="K119" s="55"/>
      <c r="L119" s="85"/>
      <c r="M119" s="33"/>
      <c r="N119" s="61"/>
      <c r="O119" s="61"/>
    </row>
    <row r="120" spans="2:15" ht="15">
      <c r="B120" s="13"/>
      <c r="C120" s="45" t="s">
        <v>26</v>
      </c>
      <c r="D120" s="15"/>
      <c r="E120" s="55"/>
      <c r="F120" s="55"/>
      <c r="G120" s="1128"/>
      <c r="H120" s="1130" t="s">
        <v>115</v>
      </c>
      <c r="I120" s="55"/>
      <c r="J120" s="55"/>
      <c r="K120" s="55"/>
      <c r="L120" s="85"/>
      <c r="M120" s="33"/>
      <c r="N120" s="61"/>
      <c r="O120" s="61"/>
    </row>
    <row r="121" spans="2:15" ht="15">
      <c r="B121" s="571" t="s">
        <v>169</v>
      </c>
      <c r="C121" s="45" t="s">
        <v>1072</v>
      </c>
      <c r="D121" s="15"/>
      <c r="E121" s="55"/>
      <c r="F121" s="55"/>
      <c r="G121" s="190"/>
      <c r="H121" s="1130" t="s">
        <v>26</v>
      </c>
      <c r="I121" s="55"/>
      <c r="J121" s="55"/>
      <c r="K121" s="55"/>
      <c r="L121" s="85"/>
      <c r="M121" s="33"/>
      <c r="N121" s="61"/>
      <c r="O121" s="61"/>
    </row>
    <row r="122" spans="2:15" ht="15.75" thickBot="1">
      <c r="B122" s="447" t="s">
        <v>1112</v>
      </c>
      <c r="C122" s="116" t="s">
        <v>1137</v>
      </c>
      <c r="D122" s="18"/>
      <c r="G122" s="447" t="s">
        <v>169</v>
      </c>
      <c r="H122" s="1131" t="s">
        <v>1067</v>
      </c>
      <c r="L122" s="33"/>
      <c r="M122" s="33"/>
      <c r="N122" s="61"/>
      <c r="O122" s="61"/>
    </row>
    <row r="123" spans="1:15" ht="15.75" thickBot="1">
      <c r="A123" s="295"/>
      <c r="B123" s="595"/>
      <c r="C123" s="56"/>
      <c r="D123" s="14"/>
      <c r="H123" s="75"/>
      <c r="L123" s="33"/>
      <c r="M123" s="33"/>
      <c r="N123" s="61"/>
      <c r="O123" s="61"/>
    </row>
    <row r="124" spans="1:15" s="27" customFormat="1" ht="40.5" customHeight="1">
      <c r="A124" s="1588" t="s">
        <v>7</v>
      </c>
      <c r="B124" s="1591" t="s">
        <v>664</v>
      </c>
      <c r="C124" s="1594" t="s">
        <v>9</v>
      </c>
      <c r="D124" s="1594" t="s">
        <v>10</v>
      </c>
      <c r="E124" s="1574" t="s">
        <v>844</v>
      </c>
      <c r="F124" s="1574" t="s">
        <v>12</v>
      </c>
      <c r="G124" s="1594" t="s">
        <v>13</v>
      </c>
      <c r="H124" s="1574" t="s">
        <v>14</v>
      </c>
      <c r="I124" s="1574" t="s">
        <v>282</v>
      </c>
      <c r="J124" s="1574" t="s">
        <v>60</v>
      </c>
      <c r="K124" s="1583" t="s">
        <v>666</v>
      </c>
      <c r="L124" s="1586" t="s">
        <v>667</v>
      </c>
      <c r="M124" s="1570"/>
      <c r="N124" s="1570"/>
      <c r="O124" s="1587"/>
    </row>
    <row r="125" spans="1:15" ht="40.5" customHeight="1">
      <c r="A125" s="1589"/>
      <c r="B125" s="1592"/>
      <c r="C125" s="1595"/>
      <c r="D125" s="1595"/>
      <c r="E125" s="1575"/>
      <c r="F125" s="1575"/>
      <c r="G125" s="1595"/>
      <c r="H125" s="1575"/>
      <c r="I125" s="1613"/>
      <c r="J125" s="1575"/>
      <c r="K125" s="1584"/>
      <c r="L125" s="1597" t="s">
        <v>668</v>
      </c>
      <c r="M125" s="1568"/>
      <c r="N125" s="1568"/>
      <c r="O125" s="1598"/>
    </row>
    <row r="126" spans="1:15" ht="37.5" customHeight="1" thickBot="1">
      <c r="A126" s="1590"/>
      <c r="B126" s="1593"/>
      <c r="C126" s="1596"/>
      <c r="D126" s="1596"/>
      <c r="E126" s="1576"/>
      <c r="F126" s="1576"/>
      <c r="G126" s="1596"/>
      <c r="H126" s="1576"/>
      <c r="I126" s="1614"/>
      <c r="J126" s="1576"/>
      <c r="K126" s="1585"/>
      <c r="L126" s="270" t="s">
        <v>669</v>
      </c>
      <c r="M126" s="277" t="s">
        <v>670</v>
      </c>
      <c r="N126" s="277" t="s">
        <v>671</v>
      </c>
      <c r="O126" s="272" t="s">
        <v>17</v>
      </c>
    </row>
    <row r="127" spans="1:15" ht="30" thickBot="1">
      <c r="A127" s="572" t="s">
        <v>27</v>
      </c>
      <c r="B127" s="9" t="s">
        <v>116</v>
      </c>
      <c r="C127" s="9" t="s">
        <v>19</v>
      </c>
      <c r="D127" s="6" t="s">
        <v>55</v>
      </c>
      <c r="E127" s="4">
        <v>250</v>
      </c>
      <c r="F127" s="4" t="s">
        <v>21</v>
      </c>
      <c r="G127" s="3" t="s">
        <v>19</v>
      </c>
      <c r="H127" s="750" t="s">
        <v>117</v>
      </c>
      <c r="I127" s="24">
        <v>4099746</v>
      </c>
      <c r="J127" s="392" t="s">
        <v>22</v>
      </c>
      <c r="K127" s="88">
        <v>38</v>
      </c>
      <c r="L127" s="93">
        <f>((5598.54-5510.96)+785.48*40)</f>
        <v>31506.78</v>
      </c>
      <c r="M127" s="51"/>
      <c r="N127" s="111"/>
      <c r="O127" s="93">
        <f>L127</f>
        <v>31506.78</v>
      </c>
    </row>
    <row r="128" spans="2:15" ht="22.5" customHeight="1">
      <c r="B128" s="10" t="s">
        <v>23</v>
      </c>
      <c r="C128" s="11" t="s">
        <v>145</v>
      </c>
      <c r="D128" s="12"/>
      <c r="E128" s="56"/>
      <c r="F128" s="56"/>
      <c r="G128" s="81" t="s">
        <v>1719</v>
      </c>
      <c r="H128" s="1127" t="s">
        <v>116</v>
      </c>
      <c r="I128" s="56"/>
      <c r="J128" s="56"/>
      <c r="K128" s="90"/>
      <c r="L128" s="71"/>
      <c r="M128" s="33"/>
      <c r="N128" s="286" t="s">
        <v>24</v>
      </c>
      <c r="O128" s="574">
        <f>SUM(O127)</f>
        <v>31506.78</v>
      </c>
    </row>
    <row r="129" spans="2:15" ht="15">
      <c r="B129" s="13"/>
      <c r="C129" s="14" t="s">
        <v>161</v>
      </c>
      <c r="D129" s="15"/>
      <c r="E129" s="84"/>
      <c r="F129" s="56"/>
      <c r="G129" s="1128"/>
      <c r="H129" s="1130" t="s">
        <v>118</v>
      </c>
      <c r="I129" s="56"/>
      <c r="J129" s="56"/>
      <c r="K129" s="90"/>
      <c r="L129" s="72"/>
      <c r="M129" s="33"/>
      <c r="N129" s="61"/>
      <c r="O129" s="61"/>
    </row>
    <row r="130" spans="2:15" ht="15">
      <c r="B130" s="13"/>
      <c r="C130" s="45" t="s">
        <v>26</v>
      </c>
      <c r="D130" s="15"/>
      <c r="E130" s="56"/>
      <c r="F130" s="56"/>
      <c r="G130" s="1128"/>
      <c r="H130" s="1130" t="s">
        <v>26</v>
      </c>
      <c r="I130" s="56"/>
      <c r="J130" s="56"/>
      <c r="K130" s="90"/>
      <c r="L130" s="72"/>
      <c r="M130" s="33"/>
      <c r="N130" s="61"/>
      <c r="O130" s="61"/>
    </row>
    <row r="131" spans="2:15" ht="15.75" thickBot="1">
      <c r="B131" s="571" t="s">
        <v>169</v>
      </c>
      <c r="C131" s="45" t="s">
        <v>1072</v>
      </c>
      <c r="D131" s="15"/>
      <c r="E131" s="56"/>
      <c r="F131" s="56"/>
      <c r="G131" s="447" t="s">
        <v>169</v>
      </c>
      <c r="H131" s="1139">
        <v>8222326858</v>
      </c>
      <c r="I131" s="56"/>
      <c r="J131" s="56"/>
      <c r="K131" s="90"/>
      <c r="L131" s="72"/>
      <c r="M131" s="33"/>
      <c r="N131" s="61"/>
      <c r="O131" s="61"/>
    </row>
    <row r="132" spans="1:15" ht="15.75" thickBot="1">
      <c r="A132" s="295"/>
      <c r="B132" s="447" t="s">
        <v>1112</v>
      </c>
      <c r="C132" s="116" t="s">
        <v>1137</v>
      </c>
      <c r="D132" s="18"/>
      <c r="E132" s="56"/>
      <c r="F132" s="56"/>
      <c r="H132" s="75"/>
      <c r="I132" s="56"/>
      <c r="J132" s="56"/>
      <c r="K132" s="90"/>
      <c r="L132" s="72"/>
      <c r="M132" s="33"/>
      <c r="N132" s="61"/>
      <c r="O132" s="61"/>
    </row>
    <row r="133" spans="2:15" ht="14.25">
      <c r="B133" s="56"/>
      <c r="C133" s="102"/>
      <c r="D133" s="55"/>
      <c r="E133" s="56"/>
      <c r="F133" s="56"/>
      <c r="G133" s="56"/>
      <c r="H133" s="56"/>
      <c r="I133" s="56"/>
      <c r="J133" s="56"/>
      <c r="K133" s="90"/>
      <c r="L133" s="72"/>
      <c r="M133" s="33"/>
      <c r="N133" s="61"/>
      <c r="O133" s="61"/>
    </row>
    <row r="134" spans="1:15" ht="15.75" thickBot="1">
      <c r="A134" s="280"/>
      <c r="B134" s="20"/>
      <c r="C134" s="75"/>
      <c r="D134" s="20"/>
      <c r="E134" s="20"/>
      <c r="F134" s="55"/>
      <c r="G134" s="55"/>
      <c r="H134" s="55"/>
      <c r="I134" s="55"/>
      <c r="J134" s="55"/>
      <c r="K134" s="55"/>
      <c r="L134" s="85"/>
      <c r="M134" s="33"/>
      <c r="N134" s="61"/>
      <c r="O134" s="61"/>
    </row>
    <row r="135" spans="1:15" s="27" customFormat="1" ht="39" customHeight="1">
      <c r="A135" s="1588" t="s">
        <v>7</v>
      </c>
      <c r="B135" s="1591" t="s">
        <v>664</v>
      </c>
      <c r="C135" s="1594" t="s">
        <v>9</v>
      </c>
      <c r="D135" s="1594" t="s">
        <v>10</v>
      </c>
      <c r="E135" s="1574" t="s">
        <v>844</v>
      </c>
      <c r="F135" s="1574" t="s">
        <v>12</v>
      </c>
      <c r="G135" s="1594" t="s">
        <v>13</v>
      </c>
      <c r="H135" s="1574" t="s">
        <v>14</v>
      </c>
      <c r="I135" s="1574" t="s">
        <v>282</v>
      </c>
      <c r="J135" s="1574" t="s">
        <v>60</v>
      </c>
      <c r="K135" s="1583" t="s">
        <v>666</v>
      </c>
      <c r="L135" s="1586" t="s">
        <v>667</v>
      </c>
      <c r="M135" s="1570"/>
      <c r="N135" s="1570"/>
      <c r="O135" s="1587"/>
    </row>
    <row r="136" spans="1:15" ht="32.25" customHeight="1">
      <c r="A136" s="1589"/>
      <c r="B136" s="1592"/>
      <c r="C136" s="1595"/>
      <c r="D136" s="1595"/>
      <c r="E136" s="1575"/>
      <c r="F136" s="1575"/>
      <c r="G136" s="1595"/>
      <c r="H136" s="1575"/>
      <c r="I136" s="1613"/>
      <c r="J136" s="1575"/>
      <c r="K136" s="1584"/>
      <c r="L136" s="1597" t="s">
        <v>668</v>
      </c>
      <c r="M136" s="1568"/>
      <c r="N136" s="1568"/>
      <c r="O136" s="1598"/>
    </row>
    <row r="137" spans="1:15" ht="36.75" customHeight="1" thickBot="1">
      <c r="A137" s="1590"/>
      <c r="B137" s="1593"/>
      <c r="C137" s="1596"/>
      <c r="D137" s="1596"/>
      <c r="E137" s="1576"/>
      <c r="F137" s="1576"/>
      <c r="G137" s="1596"/>
      <c r="H137" s="1576"/>
      <c r="I137" s="1614"/>
      <c r="J137" s="1576"/>
      <c r="K137" s="1585"/>
      <c r="L137" s="270" t="s">
        <v>669</v>
      </c>
      <c r="M137" s="277" t="s">
        <v>670</v>
      </c>
      <c r="N137" s="277" t="s">
        <v>671</v>
      </c>
      <c r="O137" s="272" t="s">
        <v>17</v>
      </c>
    </row>
    <row r="138" spans="1:15" ht="33" customHeight="1" thickBot="1">
      <c r="A138" s="572" t="s">
        <v>27</v>
      </c>
      <c r="B138" s="9"/>
      <c r="C138" s="9" t="s">
        <v>19</v>
      </c>
      <c r="D138" s="6" t="s">
        <v>1277</v>
      </c>
      <c r="E138" s="4">
        <v>9</v>
      </c>
      <c r="F138" s="4" t="s">
        <v>21</v>
      </c>
      <c r="G138" s="3" t="s">
        <v>19</v>
      </c>
      <c r="H138" s="750" t="s">
        <v>122</v>
      </c>
      <c r="I138" s="24">
        <v>4099698</v>
      </c>
      <c r="J138" s="392" t="s">
        <v>22</v>
      </c>
      <c r="K138" s="88">
        <v>80</v>
      </c>
      <c r="L138" s="93">
        <f>(11420.01-11171.17)+2019.76*60</f>
        <v>121434.44</v>
      </c>
      <c r="M138" s="35"/>
      <c r="N138" s="96"/>
      <c r="O138" s="36">
        <f>L138</f>
        <v>121434.44</v>
      </c>
    </row>
    <row r="139" spans="2:15" ht="21.75" customHeight="1">
      <c r="B139" s="10" t="s">
        <v>23</v>
      </c>
      <c r="C139" s="11" t="s">
        <v>145</v>
      </c>
      <c r="D139" s="12"/>
      <c r="E139" s="56"/>
      <c r="F139" s="56"/>
      <c r="G139" s="81" t="s">
        <v>1719</v>
      </c>
      <c r="H139" s="1127" t="s">
        <v>849</v>
      </c>
      <c r="I139" s="56"/>
      <c r="J139" s="56"/>
      <c r="K139" s="90"/>
      <c r="L139" s="71"/>
      <c r="M139" s="33"/>
      <c r="N139" s="286" t="s">
        <v>24</v>
      </c>
      <c r="O139" s="574">
        <f>SUM(O138)</f>
        <v>121434.44</v>
      </c>
    </row>
    <row r="140" spans="2:15" ht="15">
      <c r="B140" s="13"/>
      <c r="C140" s="14" t="s">
        <v>161</v>
      </c>
      <c r="D140" s="15"/>
      <c r="E140" s="56"/>
      <c r="F140" s="56"/>
      <c r="G140" s="1128"/>
      <c r="H140" s="1130" t="s">
        <v>850</v>
      </c>
      <c r="I140" s="56"/>
      <c r="J140" s="56"/>
      <c r="K140" s="90"/>
      <c r="L140" s="72"/>
      <c r="M140" s="33"/>
      <c r="N140" s="61"/>
      <c r="O140" s="61"/>
    </row>
    <row r="141" spans="1:15" ht="15">
      <c r="A141" s="295"/>
      <c r="B141" s="13"/>
      <c r="C141" s="45" t="s">
        <v>26</v>
      </c>
      <c r="D141" s="15"/>
      <c r="E141" s="56"/>
      <c r="F141" s="56"/>
      <c r="G141" s="1128"/>
      <c r="H141" s="1130" t="s">
        <v>26</v>
      </c>
      <c r="I141" s="56"/>
      <c r="J141" s="56"/>
      <c r="K141" s="90"/>
      <c r="L141" s="72"/>
      <c r="M141" s="33"/>
      <c r="N141" s="61"/>
      <c r="O141" s="61"/>
    </row>
    <row r="142" spans="2:15" ht="15.75" thickBot="1">
      <c r="B142" s="571" t="s">
        <v>169</v>
      </c>
      <c r="C142" s="45" t="s">
        <v>1072</v>
      </c>
      <c r="D142" s="15"/>
      <c r="E142" s="56"/>
      <c r="F142" s="56"/>
      <c r="G142" s="447" t="s">
        <v>169</v>
      </c>
      <c r="H142" s="1139">
        <v>8222343360</v>
      </c>
      <c r="I142" s="56"/>
      <c r="J142" s="56"/>
      <c r="K142" s="90"/>
      <c r="L142" s="72"/>
      <c r="M142" s="33"/>
      <c r="N142" s="61"/>
      <c r="O142" s="61"/>
    </row>
    <row r="143" spans="2:15" ht="15.75" thickBot="1">
      <c r="B143" s="447" t="s">
        <v>1112</v>
      </c>
      <c r="C143" s="116" t="s">
        <v>1137</v>
      </c>
      <c r="D143" s="18"/>
      <c r="E143" s="56"/>
      <c r="F143" s="56"/>
      <c r="H143" s="56"/>
      <c r="I143" s="56"/>
      <c r="J143" s="56"/>
      <c r="K143" s="90"/>
      <c r="L143" s="72"/>
      <c r="M143" s="33"/>
      <c r="N143" s="61"/>
      <c r="O143" s="61"/>
    </row>
    <row r="144" spans="2:15" ht="15">
      <c r="B144" s="14"/>
      <c r="C144" s="75"/>
      <c r="D144" s="14"/>
      <c r="E144" s="56"/>
      <c r="F144" s="56"/>
      <c r="G144" s="55"/>
      <c r="H144" s="55"/>
      <c r="I144" s="56"/>
      <c r="J144" s="56"/>
      <c r="K144" s="90"/>
      <c r="L144" s="72"/>
      <c r="M144" s="33"/>
      <c r="N144" s="61"/>
      <c r="O144" s="61"/>
    </row>
    <row r="145" spans="1:15" ht="15.75" thickBot="1">
      <c r="A145" s="280"/>
      <c r="B145" s="20"/>
      <c r="C145" s="75"/>
      <c r="D145" s="20"/>
      <c r="E145" s="104"/>
      <c r="F145" s="55"/>
      <c r="G145" s="55"/>
      <c r="H145" s="55"/>
      <c r="I145" s="55"/>
      <c r="J145" s="55"/>
      <c r="K145" s="55"/>
      <c r="L145" s="85"/>
      <c r="M145" s="33"/>
      <c r="N145" s="61"/>
      <c r="O145" s="61"/>
    </row>
    <row r="146" spans="1:15" s="27" customFormat="1" ht="47.25" customHeight="1">
      <c r="A146" s="1588" t="s">
        <v>7</v>
      </c>
      <c r="B146" s="1591" t="s">
        <v>664</v>
      </c>
      <c r="C146" s="1594" t="s">
        <v>9</v>
      </c>
      <c r="D146" s="1594" t="s">
        <v>10</v>
      </c>
      <c r="E146" s="1574" t="s">
        <v>844</v>
      </c>
      <c r="F146" s="1574" t="s">
        <v>12</v>
      </c>
      <c r="G146" s="1594" t="s">
        <v>13</v>
      </c>
      <c r="H146" s="1574" t="s">
        <v>14</v>
      </c>
      <c r="I146" s="1574" t="s">
        <v>282</v>
      </c>
      <c r="J146" s="1574" t="s">
        <v>60</v>
      </c>
      <c r="K146" s="1583" t="s">
        <v>666</v>
      </c>
      <c r="L146" s="1586" t="s">
        <v>667</v>
      </c>
      <c r="M146" s="1570"/>
      <c r="N146" s="1570"/>
      <c r="O146" s="1587"/>
    </row>
    <row r="147" spans="1:15" ht="48.75" customHeight="1">
      <c r="A147" s="1589"/>
      <c r="B147" s="1592"/>
      <c r="C147" s="1595"/>
      <c r="D147" s="1595"/>
      <c r="E147" s="1575"/>
      <c r="F147" s="1575"/>
      <c r="G147" s="1595"/>
      <c r="H147" s="1575"/>
      <c r="I147" s="1613"/>
      <c r="J147" s="1575"/>
      <c r="K147" s="1584"/>
      <c r="L147" s="1597" t="s">
        <v>668</v>
      </c>
      <c r="M147" s="1568"/>
      <c r="N147" s="1568"/>
      <c r="O147" s="1598"/>
    </row>
    <row r="148" spans="1:15" ht="34.5" customHeight="1" thickBot="1">
      <c r="A148" s="1590"/>
      <c r="B148" s="1593"/>
      <c r="C148" s="1596"/>
      <c r="D148" s="1596"/>
      <c r="E148" s="1576"/>
      <c r="F148" s="1576"/>
      <c r="G148" s="1596"/>
      <c r="H148" s="1576"/>
      <c r="I148" s="1614"/>
      <c r="J148" s="1576"/>
      <c r="K148" s="1585"/>
      <c r="L148" s="270" t="s">
        <v>669</v>
      </c>
      <c r="M148" s="277" t="s">
        <v>670</v>
      </c>
      <c r="N148" s="277" t="s">
        <v>671</v>
      </c>
      <c r="O148" s="272" t="s">
        <v>17</v>
      </c>
    </row>
    <row r="149" spans="1:15" s="27" customFormat="1" ht="18">
      <c r="A149" s="576" t="s">
        <v>27</v>
      </c>
      <c r="B149" s="23" t="s">
        <v>351</v>
      </c>
      <c r="C149" s="23" t="s">
        <v>19</v>
      </c>
      <c r="D149" s="23" t="s">
        <v>123</v>
      </c>
      <c r="E149" s="23">
        <v>10</v>
      </c>
      <c r="F149" s="23" t="s">
        <v>21</v>
      </c>
      <c r="G149" s="23" t="s">
        <v>19</v>
      </c>
      <c r="H149" s="761" t="s">
        <v>126</v>
      </c>
      <c r="I149" s="23">
        <v>50436075</v>
      </c>
      <c r="J149" s="583" t="s">
        <v>22</v>
      </c>
      <c r="K149" s="584">
        <v>65</v>
      </c>
      <c r="L149" s="285">
        <f>(8037.3-3970.3)*30</f>
        <v>122010</v>
      </c>
      <c r="M149" s="39"/>
      <c r="N149" s="96"/>
      <c r="O149" s="36">
        <f>L149</f>
        <v>122010</v>
      </c>
    </row>
    <row r="150" spans="1:16" s="27" customFormat="1" ht="18">
      <c r="A150" s="572" t="s">
        <v>27</v>
      </c>
      <c r="B150" s="25" t="s">
        <v>351</v>
      </c>
      <c r="C150" s="25" t="s">
        <v>19</v>
      </c>
      <c r="D150" s="25" t="s">
        <v>123</v>
      </c>
      <c r="E150" s="25">
        <v>10</v>
      </c>
      <c r="F150" s="25" t="s">
        <v>21</v>
      </c>
      <c r="G150" s="25" t="s">
        <v>19</v>
      </c>
      <c r="H150" s="750" t="s">
        <v>124</v>
      </c>
      <c r="I150" s="25">
        <v>1494931</v>
      </c>
      <c r="J150" s="396" t="s">
        <v>29</v>
      </c>
      <c r="K150" s="103">
        <v>3</v>
      </c>
      <c r="L150" s="110">
        <v>10</v>
      </c>
      <c r="M150" s="287"/>
      <c r="N150" s="111"/>
      <c r="O150" s="292">
        <f>L150</f>
        <v>10</v>
      </c>
      <c r="P150" s="1"/>
    </row>
    <row r="151" spans="1:16" s="27" customFormat="1" ht="18.75" thickBot="1">
      <c r="A151" s="572" t="s">
        <v>27</v>
      </c>
      <c r="B151" s="3" t="s">
        <v>524</v>
      </c>
      <c r="C151" s="3" t="s">
        <v>19</v>
      </c>
      <c r="D151" s="3" t="s">
        <v>99</v>
      </c>
      <c r="E151" s="4">
        <v>3</v>
      </c>
      <c r="F151" s="4" t="s">
        <v>21</v>
      </c>
      <c r="G151" s="9" t="s">
        <v>19</v>
      </c>
      <c r="H151" s="761" t="s">
        <v>100</v>
      </c>
      <c r="I151" s="22">
        <v>2349</v>
      </c>
      <c r="J151" s="392" t="s">
        <v>22</v>
      </c>
      <c r="K151" s="88">
        <v>26</v>
      </c>
      <c r="L151" s="93">
        <f>(13664.84-13145.57)*40</f>
        <v>20770.800000000017</v>
      </c>
      <c r="M151" s="1125"/>
      <c r="N151" s="1126"/>
      <c r="O151" s="1124">
        <f>L151</f>
        <v>20770.800000000017</v>
      </c>
      <c r="P151" s="1"/>
    </row>
    <row r="152" spans="2:15" ht="21.75" customHeight="1">
      <c r="B152" s="13" t="s">
        <v>23</v>
      </c>
      <c r="C152" s="14" t="s">
        <v>145</v>
      </c>
      <c r="D152" s="15"/>
      <c r="E152" s="55"/>
      <c r="F152" s="55"/>
      <c r="G152" s="81" t="s">
        <v>1719</v>
      </c>
      <c r="H152" s="82" t="s">
        <v>1752</v>
      </c>
      <c r="I152" s="236"/>
      <c r="J152" s="55"/>
      <c r="K152" s="55"/>
      <c r="L152" s="94"/>
      <c r="M152" s="85"/>
      <c r="N152" s="275" t="s">
        <v>24</v>
      </c>
      <c r="O152" s="585">
        <f>SUM(O149:O151)</f>
        <v>142790.80000000002</v>
      </c>
    </row>
    <row r="153" spans="2:15" ht="15">
      <c r="B153" s="13"/>
      <c r="C153" s="14" t="s">
        <v>161</v>
      </c>
      <c r="D153" s="15"/>
      <c r="E153" s="84"/>
      <c r="F153" s="55"/>
      <c r="G153" s="1128"/>
      <c r="H153" s="68" t="s">
        <v>43</v>
      </c>
      <c r="I153" s="237"/>
      <c r="J153" s="55"/>
      <c r="K153" s="55"/>
      <c r="L153" s="85"/>
      <c r="M153" s="85"/>
      <c r="N153" s="33"/>
      <c r="O153" s="33"/>
    </row>
    <row r="154" spans="2:15" ht="15">
      <c r="B154" s="13"/>
      <c r="C154" s="45" t="s">
        <v>26</v>
      </c>
      <c r="D154" s="15"/>
      <c r="E154" s="55"/>
      <c r="F154" s="55"/>
      <c r="G154" s="1128"/>
      <c r="H154" s="70" t="s">
        <v>125</v>
      </c>
      <c r="I154" s="237"/>
      <c r="J154" s="55"/>
      <c r="K154" s="55"/>
      <c r="L154" s="85"/>
      <c r="M154" s="85"/>
      <c r="N154" s="33"/>
      <c r="O154" s="33"/>
    </row>
    <row r="155" spans="2:15" ht="15.75" thickBot="1">
      <c r="B155" s="571" t="s">
        <v>169</v>
      </c>
      <c r="C155" s="45" t="s">
        <v>1072</v>
      </c>
      <c r="D155" s="15"/>
      <c r="E155" s="55"/>
      <c r="F155" s="55"/>
      <c r="G155" s="193"/>
      <c r="H155" s="99" t="s">
        <v>26</v>
      </c>
      <c r="I155" s="238"/>
      <c r="J155" s="55"/>
      <c r="K155" s="55"/>
      <c r="L155" s="85"/>
      <c r="M155" s="85"/>
      <c r="N155" s="33"/>
      <c r="O155" s="33"/>
    </row>
    <row r="156" spans="2:15" ht="15.75" thickBot="1">
      <c r="B156" s="447" t="s">
        <v>1112</v>
      </c>
      <c r="C156" s="116" t="s">
        <v>1137</v>
      </c>
      <c r="D156" s="18"/>
      <c r="G156" s="595"/>
      <c r="L156" s="33"/>
      <c r="M156" s="33"/>
      <c r="N156" s="33"/>
      <c r="O156" s="33"/>
    </row>
    <row r="157" spans="1:15" ht="15">
      <c r="A157" s="295"/>
      <c r="B157" s="595"/>
      <c r="C157" s="56"/>
      <c r="D157" s="20"/>
      <c r="H157" s="75"/>
      <c r="L157" s="33"/>
      <c r="M157" s="33"/>
      <c r="N157" s="33"/>
      <c r="O157" s="33"/>
    </row>
    <row r="158" spans="1:15" ht="15.75" thickBot="1">
      <c r="A158" s="280"/>
      <c r="B158" s="14"/>
      <c r="C158" s="75"/>
      <c r="D158" s="14"/>
      <c r="L158" s="33"/>
      <c r="M158" s="33"/>
      <c r="N158" s="33"/>
      <c r="O158" s="33"/>
    </row>
    <row r="159" spans="1:15" s="27" customFormat="1" ht="48" customHeight="1">
      <c r="A159" s="1588" t="s">
        <v>7</v>
      </c>
      <c r="B159" s="1591" t="s">
        <v>664</v>
      </c>
      <c r="C159" s="1594" t="s">
        <v>9</v>
      </c>
      <c r="D159" s="1594" t="s">
        <v>10</v>
      </c>
      <c r="E159" s="1574" t="s">
        <v>844</v>
      </c>
      <c r="F159" s="1574" t="s">
        <v>12</v>
      </c>
      <c r="G159" s="1594" t="s">
        <v>13</v>
      </c>
      <c r="H159" s="1574" t="s">
        <v>14</v>
      </c>
      <c r="I159" s="1574" t="s">
        <v>282</v>
      </c>
      <c r="J159" s="1574" t="s">
        <v>60</v>
      </c>
      <c r="K159" s="1583" t="s">
        <v>666</v>
      </c>
      <c r="L159" s="1586" t="s">
        <v>667</v>
      </c>
      <c r="M159" s="1570"/>
      <c r="N159" s="1570"/>
      <c r="O159" s="1587"/>
    </row>
    <row r="160" spans="1:15" ht="48.75" customHeight="1">
      <c r="A160" s="1589"/>
      <c r="B160" s="1592"/>
      <c r="C160" s="1595"/>
      <c r="D160" s="1595"/>
      <c r="E160" s="1575"/>
      <c r="F160" s="1575"/>
      <c r="G160" s="1595"/>
      <c r="H160" s="1575"/>
      <c r="I160" s="1613"/>
      <c r="J160" s="1575"/>
      <c r="K160" s="1584"/>
      <c r="L160" s="1597" t="s">
        <v>668</v>
      </c>
      <c r="M160" s="1568"/>
      <c r="N160" s="1568"/>
      <c r="O160" s="1598"/>
    </row>
    <row r="161" spans="1:15" ht="33.75" customHeight="1" thickBot="1">
      <c r="A161" s="1590"/>
      <c r="B161" s="1631"/>
      <c r="C161" s="1632"/>
      <c r="D161" s="1632"/>
      <c r="E161" s="1576"/>
      <c r="F161" s="1576"/>
      <c r="G161" s="1596"/>
      <c r="H161" s="1576"/>
      <c r="I161" s="1614"/>
      <c r="J161" s="1576"/>
      <c r="K161" s="1585"/>
      <c r="L161" s="270" t="s">
        <v>669</v>
      </c>
      <c r="M161" s="277" t="s">
        <v>670</v>
      </c>
      <c r="N161" s="277" t="s">
        <v>671</v>
      </c>
      <c r="O161" s="272" t="s">
        <v>17</v>
      </c>
    </row>
    <row r="162" spans="1:15" s="27" customFormat="1" ht="29.25">
      <c r="A162" s="572" t="s">
        <v>27</v>
      </c>
      <c r="B162" s="25" t="s">
        <v>132</v>
      </c>
      <c r="C162" s="25" t="s">
        <v>19</v>
      </c>
      <c r="D162" s="24" t="s">
        <v>128</v>
      </c>
      <c r="E162" s="24">
        <v>11</v>
      </c>
      <c r="F162" s="24" t="s">
        <v>21</v>
      </c>
      <c r="G162" s="25" t="s">
        <v>19</v>
      </c>
      <c r="H162" s="750" t="s">
        <v>133</v>
      </c>
      <c r="I162" s="24">
        <v>4099758</v>
      </c>
      <c r="J162" s="390" t="s">
        <v>22</v>
      </c>
      <c r="K162" s="114">
        <v>45</v>
      </c>
      <c r="L162" s="36">
        <f>((27769.79-27561.14)+2125.85)*30</f>
        <v>70035.00000000004</v>
      </c>
      <c r="M162" s="35"/>
      <c r="N162" s="96"/>
      <c r="O162" s="36">
        <f>L162</f>
        <v>70035.00000000004</v>
      </c>
    </row>
    <row r="163" spans="1:15" s="27" customFormat="1" ht="18">
      <c r="A163" s="576" t="s">
        <v>27</v>
      </c>
      <c r="B163" s="6"/>
      <c r="C163" s="9" t="s">
        <v>19</v>
      </c>
      <c r="D163" s="6" t="s">
        <v>128</v>
      </c>
      <c r="E163" s="4">
        <v>11</v>
      </c>
      <c r="F163" s="24" t="s">
        <v>21</v>
      </c>
      <c r="G163" s="24" t="s">
        <v>19</v>
      </c>
      <c r="H163" s="719" t="s">
        <v>129</v>
      </c>
      <c r="I163" s="106">
        <v>1500688</v>
      </c>
      <c r="J163" s="763" t="s">
        <v>67</v>
      </c>
      <c r="K163" s="577">
        <v>2</v>
      </c>
      <c r="L163" s="578"/>
      <c r="M163" s="579">
        <f>398-259</f>
        <v>139</v>
      </c>
      <c r="N163" s="448">
        <f>704-453</f>
        <v>251</v>
      </c>
      <c r="O163" s="275">
        <f>SUM(M163:N163)</f>
        <v>390</v>
      </c>
    </row>
    <row r="164" spans="1:15" s="27" customFormat="1" ht="18.75" thickBot="1">
      <c r="A164" s="572" t="s">
        <v>27</v>
      </c>
      <c r="B164" s="4"/>
      <c r="C164" s="3" t="s">
        <v>19</v>
      </c>
      <c r="D164" s="4" t="s">
        <v>128</v>
      </c>
      <c r="E164" s="24">
        <v>11</v>
      </c>
      <c r="F164" s="24" t="s">
        <v>317</v>
      </c>
      <c r="G164" s="22" t="s">
        <v>19</v>
      </c>
      <c r="H164" s="797" t="s">
        <v>1114</v>
      </c>
      <c r="I164" s="24">
        <v>4146244</v>
      </c>
      <c r="J164" s="389" t="s">
        <v>22</v>
      </c>
      <c r="K164" s="92">
        <v>16</v>
      </c>
      <c r="L164" s="34">
        <f>((822.23-709.77)+29.13)*15</f>
        <v>2123.8500000000004</v>
      </c>
      <c r="M164" s="35"/>
      <c r="N164" s="276"/>
      <c r="O164" s="275">
        <f>L164</f>
        <v>2123.8500000000004</v>
      </c>
    </row>
    <row r="165" spans="2:15" ht="22.5" customHeight="1">
      <c r="B165" s="10" t="s">
        <v>23</v>
      </c>
      <c r="C165" s="11" t="s">
        <v>145</v>
      </c>
      <c r="D165" s="12"/>
      <c r="E165" s="56"/>
      <c r="F165" s="56"/>
      <c r="G165" s="81" t="s">
        <v>1719</v>
      </c>
      <c r="H165" s="1127" t="s">
        <v>127</v>
      </c>
      <c r="I165" s="56"/>
      <c r="J165" s="56"/>
      <c r="K165" s="575"/>
      <c r="L165" s="71"/>
      <c r="M165" s="33"/>
      <c r="N165" s="36" t="s">
        <v>24</v>
      </c>
      <c r="O165" s="574">
        <f>SUM(O162:O164)</f>
        <v>72548.85000000005</v>
      </c>
    </row>
    <row r="166" spans="2:15" ht="15">
      <c r="B166" s="13"/>
      <c r="C166" s="14" t="s">
        <v>161</v>
      </c>
      <c r="D166" s="15"/>
      <c r="E166" s="84"/>
      <c r="F166" s="56"/>
      <c r="G166" s="1128"/>
      <c r="H166" s="1130" t="s">
        <v>130</v>
      </c>
      <c r="I166" s="56"/>
      <c r="J166" s="56"/>
      <c r="K166" s="575"/>
      <c r="L166" s="72"/>
      <c r="M166" s="33"/>
      <c r="N166" s="61"/>
      <c r="O166" s="61"/>
    </row>
    <row r="167" spans="1:15" ht="15">
      <c r="A167" s="295"/>
      <c r="B167" s="13"/>
      <c r="C167" s="45" t="s">
        <v>26</v>
      </c>
      <c r="D167" s="15"/>
      <c r="E167" s="84"/>
      <c r="F167" s="56"/>
      <c r="G167" s="1128"/>
      <c r="H167" s="1130" t="s">
        <v>131</v>
      </c>
      <c r="I167" s="56"/>
      <c r="J167" s="56"/>
      <c r="K167" s="90"/>
      <c r="L167" s="72"/>
      <c r="M167" s="33"/>
      <c r="N167" s="61"/>
      <c r="O167" s="61"/>
    </row>
    <row r="168" spans="1:15" ht="15">
      <c r="A168" s="295"/>
      <c r="B168" s="571" t="s">
        <v>169</v>
      </c>
      <c r="C168" s="45" t="s">
        <v>1072</v>
      </c>
      <c r="D168" s="15"/>
      <c r="E168" s="84"/>
      <c r="F168" s="56"/>
      <c r="G168" s="190"/>
      <c r="H168" s="1130" t="s">
        <v>26</v>
      </c>
      <c r="I168" s="56"/>
      <c r="J168" s="56"/>
      <c r="K168" s="90"/>
      <c r="L168" s="72"/>
      <c r="M168" s="33"/>
      <c r="N168" s="61"/>
      <c r="O168" s="61"/>
    </row>
    <row r="169" spans="2:15" ht="15.75" thickBot="1">
      <c r="B169" s="447" t="s">
        <v>1112</v>
      </c>
      <c r="C169" s="116" t="s">
        <v>1137</v>
      </c>
      <c r="D169" s="18"/>
      <c r="E169" s="56"/>
      <c r="F169" s="56"/>
      <c r="G169" s="447" t="s">
        <v>169</v>
      </c>
      <c r="H169" s="1131" t="s">
        <v>1069</v>
      </c>
      <c r="I169" s="56"/>
      <c r="J169" s="56"/>
      <c r="K169" s="90"/>
      <c r="L169" s="72"/>
      <c r="M169" s="33"/>
      <c r="N169" s="61"/>
      <c r="O169" s="61"/>
    </row>
    <row r="170" spans="2:15" ht="15">
      <c r="B170" s="614"/>
      <c r="C170" s="56"/>
      <c r="D170" s="14"/>
      <c r="E170" s="56"/>
      <c r="F170" s="56"/>
      <c r="G170" s="55"/>
      <c r="H170" s="56"/>
      <c r="I170" s="56"/>
      <c r="J170" s="56"/>
      <c r="K170" s="90"/>
      <c r="L170" s="72"/>
      <c r="M170" s="33"/>
      <c r="N170" s="61"/>
      <c r="O170" s="61"/>
    </row>
    <row r="171" spans="1:15" ht="15.75" thickBot="1">
      <c r="A171" s="280"/>
      <c r="B171" s="14"/>
      <c r="C171" s="75"/>
      <c r="D171" s="14"/>
      <c r="L171" s="33"/>
      <c r="M171" s="33"/>
      <c r="N171" s="61"/>
      <c r="O171" s="61"/>
    </row>
    <row r="172" spans="1:15" s="27" customFormat="1" ht="48" customHeight="1">
      <c r="A172" s="1588" t="s">
        <v>7</v>
      </c>
      <c r="B172" s="1591" t="s">
        <v>664</v>
      </c>
      <c r="C172" s="1594" t="s">
        <v>9</v>
      </c>
      <c r="D172" s="1594" t="s">
        <v>10</v>
      </c>
      <c r="E172" s="1574" t="s">
        <v>844</v>
      </c>
      <c r="F172" s="1574" t="s">
        <v>12</v>
      </c>
      <c r="G172" s="1594" t="s">
        <v>13</v>
      </c>
      <c r="H172" s="1574" t="s">
        <v>14</v>
      </c>
      <c r="I172" s="1574" t="s">
        <v>282</v>
      </c>
      <c r="J172" s="1574" t="s">
        <v>60</v>
      </c>
      <c r="K172" s="1583" t="s">
        <v>666</v>
      </c>
      <c r="L172" s="1586" t="s">
        <v>667</v>
      </c>
      <c r="M172" s="1570"/>
      <c r="N172" s="1570"/>
      <c r="O172" s="1587"/>
    </row>
    <row r="173" spans="1:15" ht="48.75" customHeight="1">
      <c r="A173" s="1589"/>
      <c r="B173" s="1592"/>
      <c r="C173" s="1595"/>
      <c r="D173" s="1595"/>
      <c r="E173" s="1575"/>
      <c r="F173" s="1575"/>
      <c r="G173" s="1595"/>
      <c r="H173" s="1575"/>
      <c r="I173" s="1613"/>
      <c r="J173" s="1575"/>
      <c r="K173" s="1584"/>
      <c r="L173" s="1597" t="s">
        <v>668</v>
      </c>
      <c r="M173" s="1568"/>
      <c r="N173" s="1568"/>
      <c r="O173" s="1598"/>
    </row>
    <row r="174" spans="1:15" ht="33.75" customHeight="1" thickBot="1">
      <c r="A174" s="1590"/>
      <c r="B174" s="1593"/>
      <c r="C174" s="1596"/>
      <c r="D174" s="1596"/>
      <c r="E174" s="1576"/>
      <c r="F174" s="1576"/>
      <c r="G174" s="1596"/>
      <c r="H174" s="1576"/>
      <c r="I174" s="1614"/>
      <c r="J174" s="1576"/>
      <c r="K174" s="1585"/>
      <c r="L174" s="270" t="s">
        <v>669</v>
      </c>
      <c r="M174" s="277" t="s">
        <v>670</v>
      </c>
      <c r="N174" s="277" t="s">
        <v>671</v>
      </c>
      <c r="O174" s="272" t="s">
        <v>17</v>
      </c>
    </row>
    <row r="175" spans="1:15" ht="29.25">
      <c r="A175" s="572" t="s">
        <v>27</v>
      </c>
      <c r="B175" s="23" t="s">
        <v>134</v>
      </c>
      <c r="C175" s="23" t="s">
        <v>19</v>
      </c>
      <c r="D175" s="23" t="s">
        <v>141</v>
      </c>
      <c r="E175" s="25">
        <v>1</v>
      </c>
      <c r="F175" s="25" t="s">
        <v>21</v>
      </c>
      <c r="G175" s="25" t="s">
        <v>19</v>
      </c>
      <c r="H175" s="750" t="s">
        <v>135</v>
      </c>
      <c r="I175" s="25">
        <v>2237</v>
      </c>
      <c r="J175" s="399" t="s">
        <v>22</v>
      </c>
      <c r="K175" s="109">
        <v>80</v>
      </c>
      <c r="L175" s="110">
        <f>(16984.97-13607.55)*30</f>
        <v>101322.60000000006</v>
      </c>
      <c r="M175" s="51"/>
      <c r="N175" s="111"/>
      <c r="O175" s="50">
        <f>L175</f>
        <v>101322.60000000006</v>
      </c>
    </row>
    <row r="176" spans="1:15" ht="30" thickBot="1">
      <c r="A176" s="572" t="s">
        <v>27</v>
      </c>
      <c r="B176" s="23" t="s">
        <v>134</v>
      </c>
      <c r="C176" s="23" t="s">
        <v>19</v>
      </c>
      <c r="D176" s="23" t="s">
        <v>141</v>
      </c>
      <c r="E176" s="25">
        <v>1</v>
      </c>
      <c r="F176" s="25" t="s">
        <v>21</v>
      </c>
      <c r="G176" s="25" t="s">
        <v>19</v>
      </c>
      <c r="H176" s="750" t="s">
        <v>854</v>
      </c>
      <c r="I176" s="25">
        <v>908352</v>
      </c>
      <c r="J176" s="399" t="s">
        <v>22</v>
      </c>
      <c r="K176" s="109">
        <v>40</v>
      </c>
      <c r="L176" s="110">
        <f>(2156.62-1449.69)*15</f>
        <v>10603.949999999997</v>
      </c>
      <c r="M176" s="51"/>
      <c r="N176" s="111"/>
      <c r="O176" s="50">
        <f>L176</f>
        <v>10603.949999999997</v>
      </c>
    </row>
    <row r="177" spans="2:15" ht="21.75" customHeight="1">
      <c r="B177" s="10" t="s">
        <v>23</v>
      </c>
      <c r="C177" s="11" t="s">
        <v>145</v>
      </c>
      <c r="D177" s="12"/>
      <c r="E177" s="55"/>
      <c r="F177" s="55"/>
      <c r="G177" s="81" t="s">
        <v>1719</v>
      </c>
      <c r="H177" s="1127" t="s">
        <v>134</v>
      </c>
      <c r="I177" s="55"/>
      <c r="J177" s="55"/>
      <c r="K177" s="98"/>
      <c r="L177" s="94"/>
      <c r="M177" s="33"/>
      <c r="N177" s="448" t="s">
        <v>24</v>
      </c>
      <c r="O177" s="573">
        <f>SUM(O175:O176)</f>
        <v>111926.55000000006</v>
      </c>
    </row>
    <row r="178" spans="2:15" ht="15">
      <c r="B178" s="13"/>
      <c r="C178" s="14" t="s">
        <v>161</v>
      </c>
      <c r="D178" s="15"/>
      <c r="E178" s="84"/>
      <c r="F178" s="55"/>
      <c r="G178" s="1128"/>
      <c r="H178" s="1130" t="s">
        <v>136</v>
      </c>
      <c r="I178" s="55"/>
      <c r="J178" s="55"/>
      <c r="K178" s="98"/>
      <c r="L178" s="85"/>
      <c r="M178" s="33"/>
      <c r="N178" s="61"/>
      <c r="O178" s="61"/>
    </row>
    <row r="179" spans="2:15" ht="15">
      <c r="B179" s="13"/>
      <c r="C179" s="45" t="s">
        <v>26</v>
      </c>
      <c r="D179" s="15"/>
      <c r="E179" s="55"/>
      <c r="F179" s="55"/>
      <c r="G179" s="1128"/>
      <c r="H179" s="1130" t="s">
        <v>137</v>
      </c>
      <c r="I179" s="55"/>
      <c r="J179" s="55"/>
      <c r="K179" s="98"/>
      <c r="L179" s="85"/>
      <c r="M179" s="33"/>
      <c r="N179" s="61"/>
      <c r="O179" s="61"/>
    </row>
    <row r="180" spans="1:15" ht="15">
      <c r="A180" s="953"/>
      <c r="B180" s="571" t="s">
        <v>169</v>
      </c>
      <c r="C180" s="45" t="s">
        <v>1072</v>
      </c>
      <c r="D180" s="15"/>
      <c r="E180" s="55"/>
      <c r="F180" s="55"/>
      <c r="G180" s="190"/>
      <c r="H180" s="1130" t="s">
        <v>26</v>
      </c>
      <c r="I180" s="55"/>
      <c r="J180" s="55"/>
      <c r="K180" s="98"/>
      <c r="L180" s="85"/>
      <c r="M180" s="33"/>
      <c r="N180" s="61"/>
      <c r="O180" s="61"/>
    </row>
    <row r="181" spans="1:15" ht="15.75" thickBot="1">
      <c r="A181" s="295"/>
      <c r="B181" s="447" t="s">
        <v>1112</v>
      </c>
      <c r="C181" s="116" t="s">
        <v>1137</v>
      </c>
      <c r="D181" s="18"/>
      <c r="E181" s="55"/>
      <c r="F181" s="55"/>
      <c r="G181" s="447" t="s">
        <v>169</v>
      </c>
      <c r="H181" s="1131" t="s">
        <v>1070</v>
      </c>
      <c r="I181" s="55"/>
      <c r="J181" s="55"/>
      <c r="K181" s="98"/>
      <c r="L181" s="85"/>
      <c r="M181" s="33"/>
      <c r="N181" s="61"/>
      <c r="O181" s="61"/>
    </row>
    <row r="182" spans="2:15" ht="15">
      <c r="B182" s="614"/>
      <c r="C182" s="56"/>
      <c r="D182" s="20"/>
      <c r="E182" s="55"/>
      <c r="F182" s="55"/>
      <c r="G182" s="55"/>
      <c r="H182" s="56"/>
      <c r="I182" s="55"/>
      <c r="J182" s="55"/>
      <c r="K182" s="98"/>
      <c r="L182" s="85"/>
      <c r="M182" s="33"/>
      <c r="N182" s="61"/>
      <c r="O182" s="61"/>
    </row>
    <row r="183" spans="1:15" ht="15.75" thickBot="1">
      <c r="A183" s="280"/>
      <c r="B183" s="20"/>
      <c r="C183" s="75"/>
      <c r="D183" s="20"/>
      <c r="E183" s="55"/>
      <c r="F183" s="55"/>
      <c r="G183" s="55"/>
      <c r="H183" s="55"/>
      <c r="I183" s="55"/>
      <c r="J183" s="55"/>
      <c r="K183" s="98"/>
      <c r="L183" s="85"/>
      <c r="M183" s="33"/>
      <c r="N183" s="61"/>
      <c r="O183" s="61"/>
    </row>
    <row r="184" spans="1:15" s="27" customFormat="1" ht="48" customHeight="1">
      <c r="A184" s="1588" t="s">
        <v>7</v>
      </c>
      <c r="B184" s="1591" t="s">
        <v>664</v>
      </c>
      <c r="C184" s="1594" t="s">
        <v>9</v>
      </c>
      <c r="D184" s="1594" t="s">
        <v>10</v>
      </c>
      <c r="E184" s="1574" t="s">
        <v>844</v>
      </c>
      <c r="F184" s="1574" t="s">
        <v>12</v>
      </c>
      <c r="G184" s="1594" t="s">
        <v>13</v>
      </c>
      <c r="H184" s="1574" t="s">
        <v>14</v>
      </c>
      <c r="I184" s="1574" t="s">
        <v>282</v>
      </c>
      <c r="J184" s="1574" t="s">
        <v>60</v>
      </c>
      <c r="K184" s="1628" t="s">
        <v>666</v>
      </c>
      <c r="L184" s="1586" t="s">
        <v>667</v>
      </c>
      <c r="M184" s="1570"/>
      <c r="N184" s="1570"/>
      <c r="O184" s="1587"/>
    </row>
    <row r="185" spans="1:15" ht="48.75" customHeight="1">
      <c r="A185" s="1589"/>
      <c r="B185" s="1592"/>
      <c r="C185" s="1595"/>
      <c r="D185" s="1595"/>
      <c r="E185" s="1575"/>
      <c r="F185" s="1575"/>
      <c r="G185" s="1595"/>
      <c r="H185" s="1575"/>
      <c r="I185" s="1613"/>
      <c r="J185" s="1575"/>
      <c r="K185" s="1629"/>
      <c r="L185" s="1597" t="s">
        <v>668</v>
      </c>
      <c r="M185" s="1568"/>
      <c r="N185" s="1568"/>
      <c r="O185" s="1598"/>
    </row>
    <row r="186" spans="1:15" ht="33" customHeight="1" thickBot="1">
      <c r="A186" s="1590"/>
      <c r="B186" s="1593"/>
      <c r="C186" s="1596"/>
      <c r="D186" s="1596"/>
      <c r="E186" s="1576"/>
      <c r="F186" s="1576"/>
      <c r="G186" s="1596"/>
      <c r="H186" s="1576"/>
      <c r="I186" s="1614"/>
      <c r="J186" s="1576"/>
      <c r="K186" s="1630"/>
      <c r="L186" s="270" t="s">
        <v>669</v>
      </c>
      <c r="M186" s="277" t="s">
        <v>670</v>
      </c>
      <c r="N186" s="277" t="s">
        <v>671</v>
      </c>
      <c r="O186" s="272" t="s">
        <v>17</v>
      </c>
    </row>
    <row r="187" spans="1:15" s="59" customFormat="1" ht="29.25">
      <c r="A187" s="592" t="s">
        <v>27</v>
      </c>
      <c r="B187" s="108" t="s">
        <v>138</v>
      </c>
      <c r="C187" s="108" t="s">
        <v>19</v>
      </c>
      <c r="D187" s="107" t="s">
        <v>852</v>
      </c>
      <c r="E187" s="107">
        <v>16</v>
      </c>
      <c r="F187" s="107" t="s">
        <v>21</v>
      </c>
      <c r="G187" s="108" t="s">
        <v>19</v>
      </c>
      <c r="H187" s="759" t="s">
        <v>140</v>
      </c>
      <c r="I187" s="107">
        <v>69659</v>
      </c>
      <c r="J187" s="590" t="s">
        <v>29</v>
      </c>
      <c r="K187" s="591">
        <v>9</v>
      </c>
      <c r="L187" s="67">
        <f>8379-7055</f>
        <v>1324</v>
      </c>
      <c r="M187" s="409"/>
      <c r="N187" s="96"/>
      <c r="O187" s="36">
        <f>L187</f>
        <v>1324</v>
      </c>
    </row>
    <row r="188" spans="1:15" s="59" customFormat="1" ht="29.25">
      <c r="A188" s="572" t="s">
        <v>27</v>
      </c>
      <c r="B188" s="25" t="s">
        <v>138</v>
      </c>
      <c r="C188" s="25" t="s">
        <v>19</v>
      </c>
      <c r="D188" s="25" t="s">
        <v>853</v>
      </c>
      <c r="E188" s="24">
        <v>4</v>
      </c>
      <c r="F188" s="24" t="s">
        <v>21</v>
      </c>
      <c r="G188" s="25" t="s">
        <v>19</v>
      </c>
      <c r="H188" s="750" t="s">
        <v>142</v>
      </c>
      <c r="I188" s="24">
        <v>70960963</v>
      </c>
      <c r="J188" s="397" t="s">
        <v>29</v>
      </c>
      <c r="K188" s="66">
        <v>23</v>
      </c>
      <c r="L188" s="67">
        <f>44168-36858</f>
        <v>7310</v>
      </c>
      <c r="M188" s="409"/>
      <c r="N188" s="96"/>
      <c r="O188" s="36">
        <f>L188</f>
        <v>7310</v>
      </c>
    </row>
    <row r="189" spans="1:15" ht="30" thickBot="1">
      <c r="A189" s="593" t="s">
        <v>27</v>
      </c>
      <c r="B189" s="23" t="s">
        <v>138</v>
      </c>
      <c r="C189" s="23" t="s">
        <v>19</v>
      </c>
      <c r="D189" s="22" t="s">
        <v>139</v>
      </c>
      <c r="E189" s="107">
        <v>16</v>
      </c>
      <c r="F189" s="107" t="s">
        <v>21</v>
      </c>
      <c r="G189" s="107" t="s">
        <v>19</v>
      </c>
      <c r="H189" s="734" t="s">
        <v>1120</v>
      </c>
      <c r="I189" s="107">
        <v>318103</v>
      </c>
      <c r="J189" s="501" t="s">
        <v>67</v>
      </c>
      <c r="K189" s="760">
        <v>17</v>
      </c>
      <c r="L189" s="276"/>
      <c r="M189" s="275">
        <f>6573-4607</f>
        <v>1966</v>
      </c>
      <c r="N189" s="275">
        <f>15177-10736</f>
        <v>4441</v>
      </c>
      <c r="O189" s="34">
        <f>SUM(M189:N189)</f>
        <v>6407</v>
      </c>
    </row>
    <row r="190" spans="2:15" ht="24.75" customHeight="1">
      <c r="B190" s="81" t="s">
        <v>23</v>
      </c>
      <c r="C190" s="82" t="s">
        <v>138</v>
      </c>
      <c r="D190" s="44"/>
      <c r="G190" s="81" t="s">
        <v>1719</v>
      </c>
      <c r="H190" s="1127" t="s">
        <v>138</v>
      </c>
      <c r="K190" s="112"/>
      <c r="L190" s="71"/>
      <c r="M190" s="33"/>
      <c r="N190" s="36" t="s">
        <v>24</v>
      </c>
      <c r="O190" s="574">
        <f>SUM(O187:O189)</f>
        <v>15041</v>
      </c>
    </row>
    <row r="191" spans="1:15" ht="15">
      <c r="A191" s="295"/>
      <c r="B191" s="13"/>
      <c r="C191" s="75" t="s">
        <v>1276</v>
      </c>
      <c r="D191" s="42"/>
      <c r="G191" s="1128"/>
      <c r="H191" s="1130" t="s">
        <v>1276</v>
      </c>
      <c r="K191" s="112"/>
      <c r="L191" s="71"/>
      <c r="M191" s="33"/>
      <c r="N191" s="61"/>
      <c r="O191" s="61"/>
    </row>
    <row r="192" spans="2:15" ht="15">
      <c r="B192" s="13"/>
      <c r="C192" s="75" t="s">
        <v>26</v>
      </c>
      <c r="D192" s="42"/>
      <c r="E192" s="84"/>
      <c r="G192" s="1128"/>
      <c r="H192" s="1130" t="s">
        <v>26</v>
      </c>
      <c r="K192" s="112"/>
      <c r="L192" s="33"/>
      <c r="M192" s="33"/>
      <c r="N192" s="61"/>
      <c r="O192" s="61"/>
    </row>
    <row r="193" spans="2:15" ht="14.25" customHeight="1" thickBot="1">
      <c r="B193" s="571" t="s">
        <v>851</v>
      </c>
      <c r="C193" s="75" t="s">
        <v>1071</v>
      </c>
      <c r="D193" s="42"/>
      <c r="G193" s="447" t="s">
        <v>169</v>
      </c>
      <c r="H193" s="1131" t="s">
        <v>1071</v>
      </c>
      <c r="K193" s="112"/>
      <c r="L193" s="33"/>
      <c r="M193" s="33"/>
      <c r="N193" s="61"/>
      <c r="O193" s="61"/>
    </row>
    <row r="194" spans="2:15" ht="15.75" thickBot="1">
      <c r="B194" s="447" t="s">
        <v>1112</v>
      </c>
      <c r="C194" s="17" t="s">
        <v>1113</v>
      </c>
      <c r="D194" s="43"/>
      <c r="H194" s="56"/>
      <c r="K194" s="112"/>
      <c r="L194" s="33"/>
      <c r="M194" s="33"/>
      <c r="N194" s="61"/>
      <c r="O194" s="61"/>
    </row>
    <row r="195" spans="2:15" ht="15.75" thickBot="1">
      <c r="B195" s="14"/>
      <c r="C195" s="75"/>
      <c r="D195" s="20"/>
      <c r="K195" s="112"/>
      <c r="L195" s="33"/>
      <c r="M195" s="33"/>
      <c r="N195" s="61"/>
      <c r="O195" s="61"/>
    </row>
    <row r="196" spans="1:15" ht="42.75" customHeight="1">
      <c r="A196" s="1588" t="s">
        <v>7</v>
      </c>
      <c r="B196" s="1591" t="s">
        <v>664</v>
      </c>
      <c r="C196" s="1594" t="s">
        <v>9</v>
      </c>
      <c r="D196" s="1594" t="s">
        <v>10</v>
      </c>
      <c r="E196" s="1574" t="s">
        <v>844</v>
      </c>
      <c r="F196" s="1574" t="s">
        <v>12</v>
      </c>
      <c r="G196" s="1594" t="s">
        <v>13</v>
      </c>
      <c r="H196" s="1574" t="s">
        <v>14</v>
      </c>
      <c r="I196" s="1574" t="s">
        <v>282</v>
      </c>
      <c r="J196" s="1574" t="s">
        <v>60</v>
      </c>
      <c r="K196" s="1583" t="s">
        <v>666</v>
      </c>
      <c r="L196" s="1586" t="s">
        <v>667</v>
      </c>
      <c r="M196" s="1570"/>
      <c r="N196" s="1570"/>
      <c r="O196" s="1587"/>
    </row>
    <row r="197" spans="1:15" ht="40.5" customHeight="1">
      <c r="A197" s="1589"/>
      <c r="B197" s="1592"/>
      <c r="C197" s="1595"/>
      <c r="D197" s="1595"/>
      <c r="E197" s="1575"/>
      <c r="F197" s="1575"/>
      <c r="G197" s="1595"/>
      <c r="H197" s="1575"/>
      <c r="I197" s="1613"/>
      <c r="J197" s="1575"/>
      <c r="K197" s="1584"/>
      <c r="L197" s="1597" t="s">
        <v>668</v>
      </c>
      <c r="M197" s="1568"/>
      <c r="N197" s="1568"/>
      <c r="O197" s="1598"/>
    </row>
    <row r="198" spans="1:15" ht="37.5" customHeight="1" thickBot="1">
      <c r="A198" s="1590"/>
      <c r="B198" s="1593"/>
      <c r="C198" s="1596"/>
      <c r="D198" s="1596"/>
      <c r="E198" s="1576"/>
      <c r="F198" s="1576"/>
      <c r="G198" s="1596"/>
      <c r="H198" s="1576"/>
      <c r="I198" s="1614"/>
      <c r="J198" s="1576"/>
      <c r="K198" s="1585"/>
      <c r="L198" s="589" t="s">
        <v>669</v>
      </c>
      <c r="M198" s="746" t="s">
        <v>670</v>
      </c>
      <c r="N198" s="746" t="s">
        <v>671</v>
      </c>
      <c r="O198" s="747" t="s">
        <v>17</v>
      </c>
    </row>
    <row r="199" spans="1:15" ht="30" thickBot="1">
      <c r="A199" s="572" t="s">
        <v>27</v>
      </c>
      <c r="B199" s="23" t="s">
        <v>143</v>
      </c>
      <c r="C199" s="23" t="s">
        <v>19</v>
      </c>
      <c r="D199" s="23" t="s">
        <v>32</v>
      </c>
      <c r="E199" s="24">
        <v>1</v>
      </c>
      <c r="F199" s="24" t="s">
        <v>21</v>
      </c>
      <c r="G199" s="25" t="s">
        <v>19</v>
      </c>
      <c r="H199" s="750" t="s">
        <v>144</v>
      </c>
      <c r="I199" s="800">
        <v>3508561</v>
      </c>
      <c r="J199" s="390" t="s">
        <v>22</v>
      </c>
      <c r="K199" s="66">
        <v>70</v>
      </c>
      <c r="L199" s="752">
        <f>(3274.3-412.13)*30</f>
        <v>85865.1</v>
      </c>
      <c r="M199" s="753"/>
      <c r="N199" s="754"/>
      <c r="O199" s="755">
        <f>L199</f>
        <v>85865.1</v>
      </c>
    </row>
    <row r="200" spans="2:15" ht="22.5" customHeight="1">
      <c r="B200" s="81" t="s">
        <v>23</v>
      </c>
      <c r="C200" s="89" t="s">
        <v>145</v>
      </c>
      <c r="D200" s="12"/>
      <c r="E200" s="56"/>
      <c r="F200" s="56"/>
      <c r="G200" s="81" t="s">
        <v>1719</v>
      </c>
      <c r="H200" s="1132" t="s">
        <v>145</v>
      </c>
      <c r="I200" s="20"/>
      <c r="J200" s="56"/>
      <c r="K200" s="56"/>
      <c r="M200" s="33"/>
      <c r="N200" s="36" t="s">
        <v>24</v>
      </c>
      <c r="O200" s="574">
        <f>SUM(O199)</f>
        <v>85865.1</v>
      </c>
    </row>
    <row r="201" spans="1:15" ht="15">
      <c r="A201" s="295"/>
      <c r="B201" s="13"/>
      <c r="C201" s="75" t="s">
        <v>146</v>
      </c>
      <c r="D201" s="15"/>
      <c r="E201" s="56"/>
      <c r="F201" s="56"/>
      <c r="G201" s="1128"/>
      <c r="H201" s="1130" t="s">
        <v>146</v>
      </c>
      <c r="I201" s="20"/>
      <c r="J201" s="56"/>
      <c r="K201" s="56"/>
      <c r="L201" s="71"/>
      <c r="M201" s="33"/>
      <c r="N201" s="61"/>
      <c r="O201" s="61"/>
    </row>
    <row r="202" spans="1:15" ht="15">
      <c r="A202" s="295"/>
      <c r="B202" s="13"/>
      <c r="C202" s="75" t="s">
        <v>26</v>
      </c>
      <c r="D202" s="15"/>
      <c r="E202" s="56"/>
      <c r="F202" s="56"/>
      <c r="G202" s="1128"/>
      <c r="H202" s="1130" t="s">
        <v>26</v>
      </c>
      <c r="I202" s="14"/>
      <c r="J202" s="56"/>
      <c r="K202" s="56"/>
      <c r="L202" s="71"/>
      <c r="M202" s="33"/>
      <c r="N202" s="61"/>
      <c r="O202" s="61"/>
    </row>
    <row r="203" spans="2:15" ht="15.75" thickBot="1">
      <c r="B203" s="571" t="s">
        <v>851</v>
      </c>
      <c r="C203" s="75" t="s">
        <v>1072</v>
      </c>
      <c r="D203" s="15"/>
      <c r="E203" s="84"/>
      <c r="F203" s="56"/>
      <c r="G203" s="447" t="s">
        <v>169</v>
      </c>
      <c r="H203" s="1131" t="s">
        <v>1072</v>
      </c>
      <c r="I203" s="14"/>
      <c r="J203" s="56"/>
      <c r="K203" s="56"/>
      <c r="L203" s="72"/>
      <c r="M203" s="33"/>
      <c r="N203" s="33"/>
      <c r="O203" s="33"/>
    </row>
    <row r="204" spans="2:15" ht="15.75" thickBot="1">
      <c r="B204" s="447" t="s">
        <v>1112</v>
      </c>
      <c r="C204" s="74" t="s">
        <v>1137</v>
      </c>
      <c r="D204" s="18"/>
      <c r="E204" s="56"/>
      <c r="F204" s="56"/>
      <c r="G204" s="55"/>
      <c r="H204" s="14"/>
      <c r="I204" s="14"/>
      <c r="K204" s="56"/>
      <c r="L204" s="72"/>
      <c r="M204" s="33"/>
      <c r="N204" s="33"/>
      <c r="O204" s="33"/>
    </row>
    <row r="205" spans="1:15" ht="15.75" thickBot="1">
      <c r="A205" s="280"/>
      <c r="B205" s="14"/>
      <c r="C205" s="75"/>
      <c r="D205" s="14"/>
      <c r="L205" s="33"/>
      <c r="M205" s="33"/>
      <c r="N205" s="33"/>
      <c r="O205" s="33"/>
    </row>
    <row r="206" spans="1:15" ht="47.25" customHeight="1">
      <c r="A206" s="1588" t="s">
        <v>7</v>
      </c>
      <c r="B206" s="1591" t="s">
        <v>664</v>
      </c>
      <c r="C206" s="1594" t="s">
        <v>9</v>
      </c>
      <c r="D206" s="1594" t="s">
        <v>10</v>
      </c>
      <c r="E206" s="1574" t="s">
        <v>844</v>
      </c>
      <c r="F206" s="1574" t="s">
        <v>12</v>
      </c>
      <c r="G206" s="1594" t="s">
        <v>13</v>
      </c>
      <c r="H206" s="1574" t="s">
        <v>14</v>
      </c>
      <c r="I206" s="1574" t="s">
        <v>282</v>
      </c>
      <c r="J206" s="1574" t="s">
        <v>60</v>
      </c>
      <c r="K206" s="1583" t="s">
        <v>666</v>
      </c>
      <c r="L206" s="1586" t="s">
        <v>667</v>
      </c>
      <c r="M206" s="1570"/>
      <c r="N206" s="1570"/>
      <c r="O206" s="1587"/>
    </row>
    <row r="207" spans="1:15" ht="40.5" customHeight="1">
      <c r="A207" s="1589"/>
      <c r="B207" s="1592"/>
      <c r="C207" s="1595"/>
      <c r="D207" s="1595"/>
      <c r="E207" s="1575"/>
      <c r="F207" s="1575"/>
      <c r="G207" s="1595"/>
      <c r="H207" s="1575"/>
      <c r="I207" s="1613"/>
      <c r="J207" s="1575"/>
      <c r="K207" s="1584"/>
      <c r="L207" s="1597" t="s">
        <v>668</v>
      </c>
      <c r="M207" s="1568"/>
      <c r="N207" s="1568"/>
      <c r="O207" s="1598"/>
    </row>
    <row r="208" spans="1:15" ht="35.25" customHeight="1" thickBot="1">
      <c r="A208" s="1590"/>
      <c r="B208" s="1593"/>
      <c r="C208" s="1596"/>
      <c r="D208" s="1596"/>
      <c r="E208" s="1576"/>
      <c r="F208" s="1576"/>
      <c r="G208" s="1596"/>
      <c r="H208" s="1576"/>
      <c r="I208" s="1614"/>
      <c r="J208" s="1576"/>
      <c r="K208" s="1585"/>
      <c r="L208" s="270" t="s">
        <v>669</v>
      </c>
      <c r="M208" s="277" t="s">
        <v>670</v>
      </c>
      <c r="N208" s="277" t="s">
        <v>671</v>
      </c>
      <c r="O208" s="272" t="s">
        <v>17</v>
      </c>
    </row>
    <row r="209" spans="1:15" s="27" customFormat="1" ht="29.25">
      <c r="A209" s="572" t="s">
        <v>27</v>
      </c>
      <c r="B209" s="25" t="s">
        <v>147</v>
      </c>
      <c r="C209" s="25" t="s">
        <v>19</v>
      </c>
      <c r="D209" s="24" t="s">
        <v>148</v>
      </c>
      <c r="E209" s="24"/>
      <c r="F209" s="24" t="s">
        <v>21</v>
      </c>
      <c r="G209" s="25" t="s">
        <v>19</v>
      </c>
      <c r="H209" s="750" t="s">
        <v>149</v>
      </c>
      <c r="I209" s="24">
        <v>70968324</v>
      </c>
      <c r="J209" s="397" t="s">
        <v>29</v>
      </c>
      <c r="K209" s="114">
        <v>3</v>
      </c>
      <c r="L209" s="67">
        <f>1731-1333</f>
        <v>398</v>
      </c>
      <c r="M209" s="287"/>
      <c r="N209" s="288"/>
      <c r="O209" s="289">
        <v>356</v>
      </c>
    </row>
    <row r="210" spans="1:15" s="27" customFormat="1" ht="29.25">
      <c r="A210" s="572" t="s">
        <v>27</v>
      </c>
      <c r="B210" s="25" t="s">
        <v>150</v>
      </c>
      <c r="C210" s="25" t="s">
        <v>19</v>
      </c>
      <c r="D210" s="24" t="s">
        <v>120</v>
      </c>
      <c r="E210" s="25"/>
      <c r="F210" s="25" t="s">
        <v>21</v>
      </c>
      <c r="G210" s="25" t="s">
        <v>19</v>
      </c>
      <c r="H210" s="750" t="s">
        <v>151</v>
      </c>
      <c r="I210" s="25">
        <v>907525</v>
      </c>
      <c r="J210" s="396" t="s">
        <v>29</v>
      </c>
      <c r="K210" s="103">
        <v>21</v>
      </c>
      <c r="L210" s="67">
        <f>1013-561</f>
        <v>452</v>
      </c>
      <c r="M210" s="287"/>
      <c r="N210" s="288"/>
      <c r="O210" s="289">
        <f>L210</f>
        <v>452</v>
      </c>
    </row>
    <row r="211" spans="1:15" s="27" customFormat="1" ht="29.25">
      <c r="A211" s="572" t="s">
        <v>27</v>
      </c>
      <c r="B211" s="25" t="s">
        <v>147</v>
      </c>
      <c r="C211" s="25" t="s">
        <v>19</v>
      </c>
      <c r="D211" s="24" t="s">
        <v>152</v>
      </c>
      <c r="E211" s="24"/>
      <c r="F211" s="24" t="s">
        <v>21</v>
      </c>
      <c r="G211" s="25" t="s">
        <v>19</v>
      </c>
      <c r="H211" s="750" t="s">
        <v>153</v>
      </c>
      <c r="I211" s="24">
        <v>73035</v>
      </c>
      <c r="J211" s="397" t="s">
        <v>29</v>
      </c>
      <c r="K211" s="114">
        <v>7</v>
      </c>
      <c r="L211" s="67">
        <f>1378-1227</f>
        <v>151</v>
      </c>
      <c r="M211" s="287"/>
      <c r="N211" s="290"/>
      <c r="O211" s="289">
        <f>L211</f>
        <v>151</v>
      </c>
    </row>
    <row r="212" spans="1:15" s="27" customFormat="1" ht="30" thickBot="1">
      <c r="A212" s="572" t="s">
        <v>27</v>
      </c>
      <c r="B212" s="25" t="s">
        <v>154</v>
      </c>
      <c r="C212" s="25" t="s">
        <v>19</v>
      </c>
      <c r="D212" s="25" t="s">
        <v>853</v>
      </c>
      <c r="E212" s="24"/>
      <c r="F212" s="24" t="s">
        <v>21</v>
      </c>
      <c r="G212" s="25" t="s">
        <v>19</v>
      </c>
      <c r="H212" s="750" t="s">
        <v>155</v>
      </c>
      <c r="I212" s="24">
        <v>20556332</v>
      </c>
      <c r="J212" s="397" t="s">
        <v>29</v>
      </c>
      <c r="K212" s="114">
        <v>1</v>
      </c>
      <c r="L212" s="67">
        <f>9235-8217</f>
        <v>1018</v>
      </c>
      <c r="M212" s="287"/>
      <c r="N212" s="290"/>
      <c r="O212" s="289">
        <f>L212</f>
        <v>1018</v>
      </c>
    </row>
    <row r="213" spans="2:15" ht="23.25" customHeight="1">
      <c r="B213" s="81" t="s">
        <v>23</v>
      </c>
      <c r="C213" s="89" t="s">
        <v>145</v>
      </c>
      <c r="D213" s="12"/>
      <c r="G213" s="81" t="s">
        <v>1719</v>
      </c>
      <c r="H213" s="1132" t="s">
        <v>145</v>
      </c>
      <c r="L213" s="71"/>
      <c r="M213" s="33"/>
      <c r="N213" s="34" t="s">
        <v>24</v>
      </c>
      <c r="O213" s="574">
        <f>SUM(O209:O212)</f>
        <v>1977</v>
      </c>
    </row>
    <row r="214" spans="2:15" ht="15">
      <c r="B214" s="13"/>
      <c r="C214" s="75" t="s">
        <v>146</v>
      </c>
      <c r="D214" s="15"/>
      <c r="E214" s="84"/>
      <c r="G214" s="1128"/>
      <c r="H214" s="1130" t="s">
        <v>146</v>
      </c>
      <c r="L214" s="33"/>
      <c r="M214" s="33"/>
      <c r="N214" s="33"/>
      <c r="O214" s="33"/>
    </row>
    <row r="215" spans="2:15" ht="15">
      <c r="B215" s="13"/>
      <c r="C215" s="75" t="s">
        <v>26</v>
      </c>
      <c r="D215" s="15"/>
      <c r="G215" s="1128"/>
      <c r="H215" s="1130" t="s">
        <v>26</v>
      </c>
      <c r="L215" s="33"/>
      <c r="M215" s="33"/>
      <c r="N215" s="33"/>
      <c r="O215" s="33"/>
    </row>
    <row r="216" spans="2:15" ht="15.75" thickBot="1">
      <c r="B216" s="571" t="s">
        <v>851</v>
      </c>
      <c r="C216" s="75" t="s">
        <v>1072</v>
      </c>
      <c r="D216" s="15"/>
      <c r="G216" s="447" t="s">
        <v>169</v>
      </c>
      <c r="H216" s="1131" t="s">
        <v>1072</v>
      </c>
      <c r="L216" s="33"/>
      <c r="M216" s="33"/>
      <c r="N216" s="33"/>
      <c r="O216" s="33"/>
    </row>
    <row r="217" spans="1:15" ht="15.75" thickBot="1">
      <c r="A217" s="280"/>
      <c r="B217" s="447" t="s">
        <v>1112</v>
      </c>
      <c r="C217" s="74" t="s">
        <v>1137</v>
      </c>
      <c r="D217" s="18"/>
      <c r="L217" s="33"/>
      <c r="M217" s="33"/>
      <c r="N217" s="33"/>
      <c r="O217" s="33"/>
    </row>
    <row r="218" spans="1:15" ht="15.75" thickBot="1">
      <c r="A218" s="295"/>
      <c r="B218" s="20"/>
      <c r="C218" s="75"/>
      <c r="D218" s="20"/>
      <c r="L218" s="33"/>
      <c r="M218" s="33"/>
      <c r="N218" s="33"/>
      <c r="O218" s="33"/>
    </row>
    <row r="219" spans="1:15" ht="51" customHeight="1">
      <c r="A219" s="1580" t="s">
        <v>7</v>
      </c>
      <c r="B219" s="1574" t="s">
        <v>8</v>
      </c>
      <c r="C219" s="1574" t="s">
        <v>9</v>
      </c>
      <c r="D219" s="1574" t="s">
        <v>10</v>
      </c>
      <c r="E219" s="1574" t="s">
        <v>844</v>
      </c>
      <c r="F219" s="1574" t="s">
        <v>12</v>
      </c>
      <c r="G219" s="1574" t="s">
        <v>13</v>
      </c>
      <c r="H219" s="1574" t="s">
        <v>14</v>
      </c>
      <c r="I219" s="1594" t="s">
        <v>282</v>
      </c>
      <c r="J219" s="1574" t="s">
        <v>60</v>
      </c>
      <c r="K219" s="1634" t="s">
        <v>16</v>
      </c>
      <c r="L219" s="1586" t="s">
        <v>667</v>
      </c>
      <c r="M219" s="1570"/>
      <c r="N219" s="1570"/>
      <c r="O219" s="1587"/>
    </row>
    <row r="220" spans="1:15" ht="39.75" customHeight="1">
      <c r="A220" s="1581"/>
      <c r="B220" s="1575"/>
      <c r="C220" s="1575"/>
      <c r="D220" s="1575"/>
      <c r="E220" s="1575"/>
      <c r="F220" s="1575"/>
      <c r="G220" s="1575"/>
      <c r="H220" s="1575"/>
      <c r="I220" s="1595"/>
      <c r="J220" s="1575"/>
      <c r="K220" s="1635"/>
      <c r="L220" s="1597" t="s">
        <v>668</v>
      </c>
      <c r="M220" s="1568"/>
      <c r="N220" s="1568"/>
      <c r="O220" s="1598"/>
    </row>
    <row r="221" spans="1:15" ht="25.5" customHeight="1" thickBot="1">
      <c r="A221" s="1582"/>
      <c r="B221" s="1576"/>
      <c r="C221" s="1576"/>
      <c r="D221" s="1576"/>
      <c r="E221" s="1576"/>
      <c r="F221" s="1576"/>
      <c r="G221" s="1576"/>
      <c r="H221" s="1576"/>
      <c r="I221" s="1596"/>
      <c r="J221" s="1576"/>
      <c r="K221" s="1636"/>
      <c r="L221" s="270" t="s">
        <v>669</v>
      </c>
      <c r="M221" s="471" t="s">
        <v>670</v>
      </c>
      <c r="N221" s="471" t="s">
        <v>671</v>
      </c>
      <c r="O221" s="272" t="s">
        <v>17</v>
      </c>
    </row>
    <row r="222" spans="1:15" ht="33.75" customHeight="1" thickBot="1">
      <c r="A222" s="592" t="s">
        <v>27</v>
      </c>
      <c r="B222" s="6" t="s">
        <v>159</v>
      </c>
      <c r="C222" s="195" t="s">
        <v>19</v>
      </c>
      <c r="D222" s="6"/>
      <c r="E222" s="4"/>
      <c r="F222" s="4" t="s">
        <v>21</v>
      </c>
      <c r="G222" s="4" t="s">
        <v>19</v>
      </c>
      <c r="H222" s="719" t="s">
        <v>763</v>
      </c>
      <c r="I222" s="107" t="s">
        <v>828</v>
      </c>
      <c r="J222" s="501" t="s">
        <v>160</v>
      </c>
      <c r="K222" s="347">
        <v>0.6</v>
      </c>
      <c r="L222" s="275">
        <f>432*12</f>
        <v>5184</v>
      </c>
      <c r="M222" s="276"/>
      <c r="N222" s="276"/>
      <c r="O222" s="275">
        <f>L222</f>
        <v>5184</v>
      </c>
    </row>
    <row r="223" spans="1:15" ht="23.25" customHeight="1">
      <c r="A223" s="295"/>
      <c r="B223" s="10" t="s">
        <v>23</v>
      </c>
      <c r="C223" s="11" t="s">
        <v>145</v>
      </c>
      <c r="D223" s="12"/>
      <c r="G223" s="81" t="s">
        <v>1719</v>
      </c>
      <c r="H223" s="1132" t="s">
        <v>145</v>
      </c>
      <c r="L223" s="33"/>
      <c r="M223" s="33"/>
      <c r="N223" s="34" t="s">
        <v>24</v>
      </c>
      <c r="O223" s="574">
        <f>SUM(O222:O222)</f>
        <v>5184</v>
      </c>
    </row>
    <row r="224" spans="1:15" ht="15">
      <c r="A224" s="295"/>
      <c r="B224" s="13"/>
      <c r="C224" s="14" t="s">
        <v>161</v>
      </c>
      <c r="D224" s="15"/>
      <c r="G224" s="1128"/>
      <c r="H224" s="1130" t="s">
        <v>146</v>
      </c>
      <c r="L224" s="33"/>
      <c r="M224" s="33"/>
      <c r="N224" s="33"/>
      <c r="O224" s="33"/>
    </row>
    <row r="225" spans="1:15" ht="15">
      <c r="A225" s="295"/>
      <c r="B225" s="13"/>
      <c r="C225" s="45" t="s">
        <v>26</v>
      </c>
      <c r="D225" s="15"/>
      <c r="G225" s="1128"/>
      <c r="H225" s="1130" t="s">
        <v>26</v>
      </c>
      <c r="L225" s="33"/>
      <c r="M225" s="33"/>
      <c r="N225" s="33"/>
      <c r="O225" s="33"/>
    </row>
    <row r="226" spans="1:15" ht="15.75" thickBot="1">
      <c r="A226" s="295"/>
      <c r="B226" s="571" t="s">
        <v>851</v>
      </c>
      <c r="C226" s="45" t="s">
        <v>1072</v>
      </c>
      <c r="D226" s="15"/>
      <c r="G226" s="447" t="s">
        <v>169</v>
      </c>
      <c r="H226" s="1131" t="s">
        <v>1072</v>
      </c>
      <c r="L226" s="33"/>
      <c r="M226" s="33"/>
      <c r="N226" s="33"/>
      <c r="O226" s="33"/>
    </row>
    <row r="227" spans="1:15" ht="15.75" thickBot="1">
      <c r="A227" s="295"/>
      <c r="B227" s="447" t="s">
        <v>1112</v>
      </c>
      <c r="C227" s="116" t="s">
        <v>1137</v>
      </c>
      <c r="D227" s="18"/>
      <c r="L227" s="33"/>
      <c r="M227" s="33"/>
      <c r="N227" s="33"/>
      <c r="O227" s="33"/>
    </row>
    <row r="228" spans="1:15" ht="15.75" thickBot="1">
      <c r="A228" s="745"/>
      <c r="B228" s="595"/>
      <c r="C228" s="45"/>
      <c r="D228" s="14"/>
      <c r="L228" s="33"/>
      <c r="M228" s="33"/>
      <c r="N228" s="33"/>
      <c r="O228" s="33"/>
    </row>
    <row r="229" spans="1:15" ht="43.5" customHeight="1">
      <c r="A229" s="1580" t="s">
        <v>7</v>
      </c>
      <c r="B229" s="1574" t="s">
        <v>8</v>
      </c>
      <c r="C229" s="1574" t="s">
        <v>9</v>
      </c>
      <c r="D229" s="1574" t="s">
        <v>10</v>
      </c>
      <c r="E229" s="1574" t="s">
        <v>11</v>
      </c>
      <c r="F229" s="1574" t="s">
        <v>12</v>
      </c>
      <c r="G229" s="1574" t="s">
        <v>13</v>
      </c>
      <c r="H229" s="1574" t="s">
        <v>14</v>
      </c>
      <c r="I229" s="1574" t="s">
        <v>282</v>
      </c>
      <c r="J229" s="1574" t="s">
        <v>60</v>
      </c>
      <c r="K229" s="1577" t="s">
        <v>16</v>
      </c>
      <c r="L229" s="1570" t="s">
        <v>672</v>
      </c>
      <c r="M229" s="1570"/>
      <c r="N229" s="1570"/>
      <c r="O229" s="1570"/>
    </row>
    <row r="230" spans="1:15" ht="36.75" customHeight="1">
      <c r="A230" s="1581"/>
      <c r="B230" s="1575"/>
      <c r="C230" s="1575"/>
      <c r="D230" s="1575"/>
      <c r="E230" s="1575"/>
      <c r="F230" s="1575"/>
      <c r="G230" s="1575"/>
      <c r="H230" s="1575"/>
      <c r="I230" s="1575"/>
      <c r="J230" s="1575"/>
      <c r="K230" s="1578"/>
      <c r="L230" s="1568" t="s">
        <v>669</v>
      </c>
      <c r="M230" s="1568" t="s">
        <v>670</v>
      </c>
      <c r="N230" s="1568" t="s">
        <v>671</v>
      </c>
      <c r="O230" s="1568" t="s">
        <v>674</v>
      </c>
    </row>
    <row r="231" spans="1:15" ht="7.5" customHeight="1" thickBot="1">
      <c r="A231" s="1582"/>
      <c r="B231" s="1576"/>
      <c r="C231" s="1576"/>
      <c r="D231" s="1576"/>
      <c r="E231" s="1576"/>
      <c r="F231" s="1576"/>
      <c r="G231" s="1576"/>
      <c r="H231" s="1576"/>
      <c r="I231" s="1576"/>
      <c r="J231" s="1576"/>
      <c r="K231" s="1579"/>
      <c r="L231" s="1569"/>
      <c r="M231" s="1569"/>
      <c r="N231" s="1569"/>
      <c r="O231" s="1569"/>
    </row>
    <row r="232" spans="1:15" ht="18">
      <c r="A232" s="621" t="s">
        <v>27</v>
      </c>
      <c r="B232" s="751" t="s">
        <v>1269</v>
      </c>
      <c r="C232" s="187" t="s">
        <v>19</v>
      </c>
      <c r="D232" s="682" t="s">
        <v>123</v>
      </c>
      <c r="E232" s="187" t="s">
        <v>1270</v>
      </c>
      <c r="F232" s="187" t="s">
        <v>21</v>
      </c>
      <c r="G232" s="187" t="s">
        <v>19</v>
      </c>
      <c r="H232" s="719" t="s">
        <v>1484</v>
      </c>
      <c r="I232" s="187">
        <v>1481455</v>
      </c>
      <c r="J232" s="552" t="s">
        <v>29</v>
      </c>
      <c r="K232" s="425">
        <v>0.1</v>
      </c>
      <c r="L232" s="275">
        <f>724-420</f>
        <v>304</v>
      </c>
      <c r="M232" s="276"/>
      <c r="N232" s="276"/>
      <c r="O232" s="275">
        <f>L232</f>
        <v>304</v>
      </c>
    </row>
    <row r="233" spans="1:15" ht="18">
      <c r="A233" s="621" t="s">
        <v>27</v>
      </c>
      <c r="B233" s="751" t="s">
        <v>1269</v>
      </c>
      <c r="C233" s="187" t="s">
        <v>19</v>
      </c>
      <c r="D233" s="682" t="s">
        <v>1271</v>
      </c>
      <c r="E233" s="187" t="s">
        <v>1272</v>
      </c>
      <c r="F233" s="187" t="s">
        <v>21</v>
      </c>
      <c r="G233" s="187" t="s">
        <v>19</v>
      </c>
      <c r="H233" s="719" t="s">
        <v>1483</v>
      </c>
      <c r="I233" s="187">
        <v>1481462</v>
      </c>
      <c r="J233" s="552" t="s">
        <v>29</v>
      </c>
      <c r="K233" s="425">
        <v>0.1</v>
      </c>
      <c r="L233" s="275">
        <f>1690-1069</f>
        <v>621</v>
      </c>
      <c r="M233" s="276"/>
      <c r="N233" s="276"/>
      <c r="O233" s="275">
        <f>L233</f>
        <v>621</v>
      </c>
    </row>
    <row r="234" spans="1:15" ht="18">
      <c r="A234" s="621" t="s">
        <v>27</v>
      </c>
      <c r="B234" s="751" t="s">
        <v>1269</v>
      </c>
      <c r="C234" s="187" t="s">
        <v>19</v>
      </c>
      <c r="D234" s="682" t="s">
        <v>55</v>
      </c>
      <c r="E234" s="187">
        <v>212</v>
      </c>
      <c r="F234" s="187" t="s">
        <v>21</v>
      </c>
      <c r="G234" s="187" t="s">
        <v>19</v>
      </c>
      <c r="H234" s="719" t="s">
        <v>1482</v>
      </c>
      <c r="I234" s="187">
        <v>1481449</v>
      </c>
      <c r="J234" s="552" t="s">
        <v>29</v>
      </c>
      <c r="K234" s="425">
        <v>1</v>
      </c>
      <c r="L234" s="275">
        <f>799-417</f>
        <v>382</v>
      </c>
      <c r="M234" s="276"/>
      <c r="N234" s="276"/>
      <c r="O234" s="275">
        <f>L234</f>
        <v>382</v>
      </c>
    </row>
    <row r="235" spans="1:15" ht="18.75" thickBot="1">
      <c r="A235" s="621" t="s">
        <v>27</v>
      </c>
      <c r="B235" s="956" t="s">
        <v>1269</v>
      </c>
      <c r="C235" s="372" t="s">
        <v>19</v>
      </c>
      <c r="D235" s="957" t="s">
        <v>1273</v>
      </c>
      <c r="E235" s="187" t="s">
        <v>1274</v>
      </c>
      <c r="F235" s="187" t="s">
        <v>21</v>
      </c>
      <c r="G235" s="187" t="s">
        <v>19</v>
      </c>
      <c r="H235" s="719" t="s">
        <v>1485</v>
      </c>
      <c r="I235" s="187">
        <v>1481456</v>
      </c>
      <c r="J235" s="552" t="s">
        <v>29</v>
      </c>
      <c r="K235" s="425">
        <v>0.1</v>
      </c>
      <c r="L235" s="275">
        <f>720-420</f>
        <v>300</v>
      </c>
      <c r="M235" s="276"/>
      <c r="N235" s="276"/>
      <c r="O235" s="275">
        <f>L235</f>
        <v>300</v>
      </c>
    </row>
    <row r="236" spans="1:15" ht="23.25" customHeight="1">
      <c r="A236" s="745"/>
      <c r="B236" s="10" t="s">
        <v>23</v>
      </c>
      <c r="C236" s="11" t="s">
        <v>145</v>
      </c>
      <c r="D236" s="12"/>
      <c r="G236" s="81" t="s">
        <v>1719</v>
      </c>
      <c r="H236" s="1132" t="s">
        <v>145</v>
      </c>
      <c r="L236" s="33"/>
      <c r="M236" s="33"/>
      <c r="N236" s="34" t="s">
        <v>24</v>
      </c>
      <c r="O236" s="574">
        <f>SUM(O232:O235)</f>
        <v>1607</v>
      </c>
    </row>
    <row r="237" spans="1:15" ht="15">
      <c r="A237" s="745"/>
      <c r="B237" s="13"/>
      <c r="C237" s="14" t="s">
        <v>161</v>
      </c>
      <c r="D237" s="15"/>
      <c r="G237" s="1128"/>
      <c r="H237" s="1130" t="s">
        <v>146</v>
      </c>
      <c r="L237" s="33"/>
      <c r="M237" s="33"/>
      <c r="N237" s="33"/>
      <c r="O237" s="33"/>
    </row>
    <row r="238" spans="1:15" ht="15">
      <c r="A238" s="745"/>
      <c r="B238" s="13"/>
      <c r="C238" s="45" t="s">
        <v>26</v>
      </c>
      <c r="D238" s="15"/>
      <c r="G238" s="1128"/>
      <c r="H238" s="1130" t="s">
        <v>26</v>
      </c>
      <c r="L238" s="33"/>
      <c r="M238" s="33"/>
      <c r="N238" s="33"/>
      <c r="O238" s="33"/>
    </row>
    <row r="239" spans="1:15" ht="15.75" thickBot="1">
      <c r="A239" s="745"/>
      <c r="B239" s="571" t="s">
        <v>169</v>
      </c>
      <c r="C239" s="45" t="s">
        <v>1072</v>
      </c>
      <c r="D239" s="15"/>
      <c r="G239" s="447" t="s">
        <v>169</v>
      </c>
      <c r="H239" s="1131" t="s">
        <v>1072</v>
      </c>
      <c r="L239" s="33"/>
      <c r="M239" s="33"/>
      <c r="N239" s="33"/>
      <c r="O239" s="33"/>
    </row>
    <row r="240" spans="1:15" ht="15.75" thickBot="1">
      <c r="A240" s="745"/>
      <c r="B240" s="447" t="s">
        <v>1112</v>
      </c>
      <c r="C240" s="116" t="s">
        <v>1137</v>
      </c>
      <c r="D240" s="18"/>
      <c r="L240" s="33"/>
      <c r="M240" s="33"/>
      <c r="N240" s="33"/>
      <c r="O240" s="33"/>
    </row>
    <row r="241" spans="1:15" ht="15.75" thickBot="1">
      <c r="A241" s="745"/>
      <c r="B241" s="595"/>
      <c r="C241" s="45"/>
      <c r="D241" s="14"/>
      <c r="L241" s="33"/>
      <c r="M241" s="33"/>
      <c r="N241" s="33"/>
      <c r="O241" s="33"/>
    </row>
    <row r="242" spans="1:15" ht="39.75" customHeight="1">
      <c r="A242" s="1588" t="s">
        <v>7</v>
      </c>
      <c r="B242" s="1591" t="s">
        <v>664</v>
      </c>
      <c r="C242" s="1594" t="s">
        <v>9</v>
      </c>
      <c r="D242" s="1594" t="s">
        <v>10</v>
      </c>
      <c r="E242" s="1574" t="s">
        <v>844</v>
      </c>
      <c r="F242" s="1574" t="s">
        <v>12</v>
      </c>
      <c r="G242" s="1594" t="s">
        <v>13</v>
      </c>
      <c r="H242" s="1574" t="s">
        <v>14</v>
      </c>
      <c r="I242" s="1574" t="s">
        <v>282</v>
      </c>
      <c r="J242" s="1574" t="s">
        <v>60</v>
      </c>
      <c r="K242" s="1583" t="s">
        <v>666</v>
      </c>
      <c r="L242" s="1586" t="s">
        <v>667</v>
      </c>
      <c r="M242" s="1570"/>
      <c r="N242" s="1570"/>
      <c r="O242" s="1587"/>
    </row>
    <row r="243" spans="1:15" ht="36.75" customHeight="1">
      <c r="A243" s="1589"/>
      <c r="B243" s="1592"/>
      <c r="C243" s="1595"/>
      <c r="D243" s="1595"/>
      <c r="E243" s="1575"/>
      <c r="F243" s="1575"/>
      <c r="G243" s="1595"/>
      <c r="H243" s="1575"/>
      <c r="I243" s="1613"/>
      <c r="J243" s="1575"/>
      <c r="K243" s="1584"/>
      <c r="L243" s="1597" t="s">
        <v>668</v>
      </c>
      <c r="M243" s="1568"/>
      <c r="N243" s="1568"/>
      <c r="O243" s="1598"/>
    </row>
    <row r="244" spans="1:15" ht="22.5" customHeight="1" thickBot="1">
      <c r="A244" s="1590"/>
      <c r="B244" s="1593"/>
      <c r="C244" s="1596"/>
      <c r="D244" s="1596"/>
      <c r="E244" s="1576"/>
      <c r="F244" s="1576"/>
      <c r="G244" s="1596"/>
      <c r="H244" s="1576"/>
      <c r="I244" s="1614"/>
      <c r="J244" s="1576"/>
      <c r="K244" s="1585"/>
      <c r="L244" s="589" t="s">
        <v>669</v>
      </c>
      <c r="M244" s="1161" t="s">
        <v>670</v>
      </c>
      <c r="N244" s="1161" t="s">
        <v>671</v>
      </c>
      <c r="O244" s="1162" t="s">
        <v>17</v>
      </c>
    </row>
    <row r="245" spans="1:16" ht="30" thickBot="1">
      <c r="A245" s="593" t="s">
        <v>27</v>
      </c>
      <c r="B245" s="25" t="s">
        <v>119</v>
      </c>
      <c r="C245" s="25" t="s">
        <v>19</v>
      </c>
      <c r="D245" s="25" t="s">
        <v>1275</v>
      </c>
      <c r="E245" s="25">
        <v>23</v>
      </c>
      <c r="F245" s="25" t="s">
        <v>21</v>
      </c>
      <c r="G245" s="23" t="s">
        <v>19</v>
      </c>
      <c r="H245" s="1181" t="s">
        <v>1753</v>
      </c>
      <c r="I245" s="23"/>
      <c r="J245" s="399" t="s">
        <v>22</v>
      </c>
      <c r="K245" s="103">
        <v>144</v>
      </c>
      <c r="L245" s="36">
        <v>180000</v>
      </c>
      <c r="M245" s="35"/>
      <c r="N245" s="35"/>
      <c r="O245" s="36">
        <f>L245</f>
        <v>180000</v>
      </c>
      <c r="P245" s="27"/>
    </row>
    <row r="246" spans="1:21" ht="21" customHeight="1">
      <c r="A246" s="461"/>
      <c r="B246" s="10" t="s">
        <v>23</v>
      </c>
      <c r="C246" s="11" t="s">
        <v>145</v>
      </c>
      <c r="D246" s="12"/>
      <c r="E246" s="461"/>
      <c r="F246" s="461"/>
      <c r="G246" s="81" t="s">
        <v>1719</v>
      </c>
      <c r="H246" s="89" t="s">
        <v>119</v>
      </c>
      <c r="I246" s="649"/>
      <c r="J246" s="461"/>
      <c r="K246" s="851"/>
      <c r="L246" s="465"/>
      <c r="M246" s="465"/>
      <c r="N246" s="34" t="s">
        <v>24</v>
      </c>
      <c r="O246" s="574">
        <f>O245</f>
        <v>180000</v>
      </c>
      <c r="P246" s="465"/>
      <c r="Q246" s="465"/>
      <c r="T246" s="461"/>
      <c r="U246" s="27"/>
    </row>
    <row r="247" spans="1:21" ht="15">
      <c r="A247" s="461"/>
      <c r="B247" s="13"/>
      <c r="C247" s="14" t="s">
        <v>161</v>
      </c>
      <c r="D247" s="15"/>
      <c r="E247" s="461"/>
      <c r="F247" s="461"/>
      <c r="G247" s="1128"/>
      <c r="H247" s="75" t="s">
        <v>121</v>
      </c>
      <c r="I247" s="650"/>
      <c r="J247" s="461"/>
      <c r="K247" s="851"/>
      <c r="L247" s="465"/>
      <c r="M247" s="465"/>
      <c r="N247" s="465"/>
      <c r="O247" s="465"/>
      <c r="P247" s="465"/>
      <c r="Q247" s="465"/>
      <c r="R247" s="465"/>
      <c r="S247" s="465"/>
      <c r="T247" s="461"/>
      <c r="U247" s="27"/>
    </row>
    <row r="248" spans="1:21" ht="15">
      <c r="A248" s="461"/>
      <c r="B248" s="13"/>
      <c r="C248" s="45" t="s">
        <v>26</v>
      </c>
      <c r="D248" s="15"/>
      <c r="E248" s="461"/>
      <c r="F248" s="461"/>
      <c r="G248" s="1128"/>
      <c r="H248" s="75" t="s">
        <v>26</v>
      </c>
      <c r="I248" s="650"/>
      <c r="J248" s="461"/>
      <c r="K248" s="851"/>
      <c r="L248" s="465"/>
      <c r="M248" s="465"/>
      <c r="N248" s="465"/>
      <c r="O248" s="465"/>
      <c r="P248" s="465"/>
      <c r="Q248" s="465"/>
      <c r="R248" s="465"/>
      <c r="S248" s="465"/>
      <c r="T248" s="461"/>
      <c r="U248" s="27"/>
    </row>
    <row r="249" spans="1:21" ht="15.75" thickBot="1">
      <c r="A249" s="461"/>
      <c r="B249" s="571" t="s">
        <v>169</v>
      </c>
      <c r="C249" s="45" t="s">
        <v>1072</v>
      </c>
      <c r="D249" s="15"/>
      <c r="E249" s="461"/>
      <c r="F249" s="461"/>
      <c r="G249" s="447" t="s">
        <v>169</v>
      </c>
      <c r="H249" s="74" t="s">
        <v>1068</v>
      </c>
      <c r="I249" s="653"/>
      <c r="J249" s="461"/>
      <c r="K249" s="851"/>
      <c r="L249" s="465"/>
      <c r="M249" s="465"/>
      <c r="N249" s="465"/>
      <c r="O249" s="465"/>
      <c r="P249" s="465"/>
      <c r="Q249" s="465"/>
      <c r="R249" s="465"/>
      <c r="S249" s="465"/>
      <c r="T249" s="461"/>
      <c r="U249" s="27"/>
    </row>
    <row r="250" spans="1:21" ht="15.75" thickBot="1">
      <c r="A250" s="461"/>
      <c r="B250" s="447" t="s">
        <v>1112</v>
      </c>
      <c r="C250" s="116" t="s">
        <v>1137</v>
      </c>
      <c r="D250" s="18"/>
      <c r="E250" s="461"/>
      <c r="F250" s="461"/>
      <c r="H250" s="461"/>
      <c r="I250" s="461"/>
      <c r="J250" s="461"/>
      <c r="K250" s="851"/>
      <c r="L250" s="465"/>
      <c r="M250" s="465"/>
      <c r="N250" s="465"/>
      <c r="O250" s="465"/>
      <c r="P250" s="465"/>
      <c r="Q250" s="465"/>
      <c r="R250" s="465"/>
      <c r="S250" s="465"/>
      <c r="T250" s="461"/>
      <c r="U250" s="27"/>
    </row>
    <row r="251" spans="1:15" ht="15.75" thickBot="1">
      <c r="A251" s="295"/>
      <c r="B251" s="20"/>
      <c r="C251" s="75"/>
      <c r="D251" s="20"/>
      <c r="L251" s="33"/>
      <c r="M251" s="33"/>
      <c r="N251" s="33"/>
      <c r="O251" s="33"/>
    </row>
    <row r="252" spans="1:15" ht="45" customHeight="1">
      <c r="A252" s="1580" t="s">
        <v>7</v>
      </c>
      <c r="B252" s="1574" t="s">
        <v>8</v>
      </c>
      <c r="C252" s="1574" t="s">
        <v>9</v>
      </c>
      <c r="D252" s="1574" t="s">
        <v>10</v>
      </c>
      <c r="E252" s="1574" t="s">
        <v>844</v>
      </c>
      <c r="F252" s="1574" t="s">
        <v>12</v>
      </c>
      <c r="G252" s="1574" t="s">
        <v>13</v>
      </c>
      <c r="H252" s="1574" t="s">
        <v>14</v>
      </c>
      <c r="I252" s="1594" t="s">
        <v>282</v>
      </c>
      <c r="J252" s="1574" t="s">
        <v>60</v>
      </c>
      <c r="K252" s="1634" t="s">
        <v>16</v>
      </c>
      <c r="L252" s="1586" t="s">
        <v>667</v>
      </c>
      <c r="M252" s="1570"/>
      <c r="N252" s="1570"/>
      <c r="O252" s="1587"/>
    </row>
    <row r="253" spans="1:15" ht="41.25" customHeight="1">
      <c r="A253" s="1581"/>
      <c r="B253" s="1575"/>
      <c r="C253" s="1575"/>
      <c r="D253" s="1575"/>
      <c r="E253" s="1575"/>
      <c r="F253" s="1575"/>
      <c r="G253" s="1575"/>
      <c r="H253" s="1575"/>
      <c r="I253" s="1595"/>
      <c r="J253" s="1575"/>
      <c r="K253" s="1635"/>
      <c r="L253" s="1597" t="s">
        <v>668</v>
      </c>
      <c r="M253" s="1568"/>
      <c r="N253" s="1568"/>
      <c r="O253" s="1598"/>
    </row>
    <row r="254" spans="1:15" ht="21.75" customHeight="1" thickBot="1">
      <c r="A254" s="1633"/>
      <c r="B254" s="1576"/>
      <c r="C254" s="1576"/>
      <c r="D254" s="1576"/>
      <c r="E254" s="1576"/>
      <c r="F254" s="1576"/>
      <c r="G254" s="1576"/>
      <c r="H254" s="1576"/>
      <c r="I254" s="1596"/>
      <c r="J254" s="1576"/>
      <c r="K254" s="1636"/>
      <c r="L254" s="589" t="s">
        <v>669</v>
      </c>
      <c r="M254" s="587" t="s">
        <v>670</v>
      </c>
      <c r="N254" s="587" t="s">
        <v>671</v>
      </c>
      <c r="O254" s="588" t="s">
        <v>17</v>
      </c>
    </row>
    <row r="255" spans="1:15" ht="29.25">
      <c r="A255" s="593" t="s">
        <v>27</v>
      </c>
      <c r="B255" s="472" t="s">
        <v>843</v>
      </c>
      <c r="C255" s="473" t="s">
        <v>19</v>
      </c>
      <c r="D255" s="472" t="s">
        <v>30</v>
      </c>
      <c r="E255" s="473" t="s">
        <v>845</v>
      </c>
      <c r="F255" s="107" t="s">
        <v>21</v>
      </c>
      <c r="G255" s="107" t="s">
        <v>19</v>
      </c>
      <c r="H255" s="719" t="s">
        <v>1126</v>
      </c>
      <c r="I255" s="107">
        <v>237349</v>
      </c>
      <c r="J255" s="552" t="s">
        <v>29</v>
      </c>
      <c r="K255" s="425">
        <v>7</v>
      </c>
      <c r="L255" s="275">
        <f>20919-11279</f>
        <v>9640</v>
      </c>
      <c r="M255" s="276"/>
      <c r="N255" s="276"/>
      <c r="O255" s="275">
        <f>L255</f>
        <v>9640</v>
      </c>
    </row>
    <row r="256" spans="1:15" ht="29.25">
      <c r="A256" s="593" t="s">
        <v>27</v>
      </c>
      <c r="B256" s="47" t="s">
        <v>843</v>
      </c>
      <c r="C256" s="446" t="s">
        <v>19</v>
      </c>
      <c r="D256" s="47" t="s">
        <v>30</v>
      </c>
      <c r="E256" s="446" t="s">
        <v>846</v>
      </c>
      <c r="F256" s="24" t="s">
        <v>21</v>
      </c>
      <c r="G256" s="24" t="s">
        <v>19</v>
      </c>
      <c r="H256" s="719" t="s">
        <v>1127</v>
      </c>
      <c r="I256" s="24">
        <v>239938</v>
      </c>
      <c r="J256" s="505" t="s">
        <v>29</v>
      </c>
      <c r="K256" s="92">
        <v>11</v>
      </c>
      <c r="L256" s="34">
        <f>13475-7361</f>
        <v>6114</v>
      </c>
      <c r="M256" s="35"/>
      <c r="N256" s="35"/>
      <c r="O256" s="34">
        <f>L256</f>
        <v>6114</v>
      </c>
    </row>
    <row r="257" spans="1:15" ht="30" thickBot="1">
      <c r="A257" s="593" t="s">
        <v>27</v>
      </c>
      <c r="B257" s="52" t="s">
        <v>843</v>
      </c>
      <c r="C257" s="457" t="s">
        <v>19</v>
      </c>
      <c r="D257" s="52" t="s">
        <v>30</v>
      </c>
      <c r="E257" s="446" t="s">
        <v>847</v>
      </c>
      <c r="F257" s="24" t="s">
        <v>21</v>
      </c>
      <c r="G257" s="22" t="s">
        <v>19</v>
      </c>
      <c r="H257" s="797" t="s">
        <v>1128</v>
      </c>
      <c r="I257" s="22">
        <v>239931</v>
      </c>
      <c r="J257" s="1140" t="s">
        <v>29</v>
      </c>
      <c r="K257" s="92">
        <v>7</v>
      </c>
      <c r="L257" s="34">
        <f>8934-5179</f>
        <v>3755</v>
      </c>
      <c r="M257" s="35"/>
      <c r="N257" s="35"/>
      <c r="O257" s="118">
        <f>L257</f>
        <v>3755</v>
      </c>
    </row>
    <row r="258" spans="1:15" ht="23.25" customHeight="1">
      <c r="A258" s="295"/>
      <c r="B258" s="10" t="s">
        <v>23</v>
      </c>
      <c r="C258" s="11" t="s">
        <v>145</v>
      </c>
      <c r="D258" s="12"/>
      <c r="E258" s="56"/>
      <c r="F258" s="56"/>
      <c r="G258" s="81" t="s">
        <v>1719</v>
      </c>
      <c r="H258" s="89" t="s">
        <v>1129</v>
      </c>
      <c r="I258" s="268"/>
      <c r="J258" s="28"/>
      <c r="L258" s="33"/>
      <c r="M258" s="33"/>
      <c r="N258" s="34" t="s">
        <v>24</v>
      </c>
      <c r="O258" s="574">
        <f>SUM(O255:O257)</f>
        <v>19509</v>
      </c>
    </row>
    <row r="259" spans="1:15" ht="15">
      <c r="A259" s="295"/>
      <c r="B259" s="13"/>
      <c r="C259" s="14" t="s">
        <v>161</v>
      </c>
      <c r="D259" s="15"/>
      <c r="E259" s="56"/>
      <c r="F259" s="56"/>
      <c r="G259" s="1128"/>
      <c r="H259" s="75" t="s">
        <v>848</v>
      </c>
      <c r="I259" s="56"/>
      <c r="J259" s="29"/>
      <c r="L259" s="33"/>
      <c r="M259" s="33"/>
      <c r="N259" s="33"/>
      <c r="O259" s="33"/>
    </row>
    <row r="260" spans="1:15" ht="15">
      <c r="A260" s="295"/>
      <c r="B260" s="13"/>
      <c r="C260" s="45" t="s">
        <v>26</v>
      </c>
      <c r="D260" s="15"/>
      <c r="E260" s="56"/>
      <c r="F260" s="56"/>
      <c r="G260" s="1128"/>
      <c r="H260" s="75" t="s">
        <v>26</v>
      </c>
      <c r="I260" s="56"/>
      <c r="J260" s="29"/>
      <c r="L260" s="33"/>
      <c r="M260" s="33"/>
      <c r="N260" s="33"/>
      <c r="O260" s="33"/>
    </row>
    <row r="261" spans="2:10" ht="15.75" thickBot="1">
      <c r="B261" s="571" t="s">
        <v>169</v>
      </c>
      <c r="C261" s="45" t="s">
        <v>1072</v>
      </c>
      <c r="D261" s="15"/>
      <c r="E261" s="56"/>
      <c r="F261" s="56"/>
      <c r="G261" s="447" t="s">
        <v>169</v>
      </c>
      <c r="H261" s="456">
        <v>8221135079</v>
      </c>
      <c r="I261" s="233"/>
      <c r="J261" s="30"/>
    </row>
    <row r="262" spans="1:8" ht="15.75" thickBot="1">
      <c r="A262" s="295"/>
      <c r="B262" s="447" t="s">
        <v>1112</v>
      </c>
      <c r="C262" s="116" t="s">
        <v>1137</v>
      </c>
      <c r="D262" s="18"/>
      <c r="E262" s="56"/>
      <c r="F262" s="56"/>
      <c r="H262" s="75"/>
    </row>
    <row r="263" spans="1:6" ht="15">
      <c r="A263" s="295"/>
      <c r="B263" s="595"/>
      <c r="C263" s="75"/>
      <c r="D263" s="56"/>
      <c r="E263" s="56"/>
      <c r="F263" s="56"/>
    </row>
    <row r="264" spans="1:15" ht="15.75" thickBot="1">
      <c r="A264" s="1"/>
      <c r="B264" s="595"/>
      <c r="C264" s="45"/>
      <c r="D264" s="14"/>
      <c r="L264" s="33"/>
      <c r="M264" s="33"/>
      <c r="N264" s="401"/>
      <c r="O264" s="33"/>
    </row>
    <row r="265" spans="1:15" ht="32.25" customHeight="1">
      <c r="A265" s="1580" t="s">
        <v>7</v>
      </c>
      <c r="B265" s="1574" t="s">
        <v>8</v>
      </c>
      <c r="C265" s="1574" t="s">
        <v>9</v>
      </c>
      <c r="D265" s="1574" t="s">
        <v>10</v>
      </c>
      <c r="E265" s="1574" t="s">
        <v>844</v>
      </c>
      <c r="F265" s="1574" t="s">
        <v>12</v>
      </c>
      <c r="G265" s="1574" t="s">
        <v>13</v>
      </c>
      <c r="H265" s="1574" t="s">
        <v>14</v>
      </c>
      <c r="I265" s="1594" t="s">
        <v>282</v>
      </c>
      <c r="J265" s="1574" t="s">
        <v>60</v>
      </c>
      <c r="K265" s="1634" t="s">
        <v>16</v>
      </c>
      <c r="L265" s="1586" t="s">
        <v>667</v>
      </c>
      <c r="M265" s="1570"/>
      <c r="N265" s="1570"/>
      <c r="O265" s="1587"/>
    </row>
    <row r="266" spans="1:15" ht="32.25" customHeight="1">
      <c r="A266" s="1581"/>
      <c r="B266" s="1575"/>
      <c r="C266" s="1575"/>
      <c r="D266" s="1575"/>
      <c r="E266" s="1575"/>
      <c r="F266" s="1575"/>
      <c r="G266" s="1575"/>
      <c r="H266" s="1575"/>
      <c r="I266" s="1595"/>
      <c r="J266" s="1575"/>
      <c r="K266" s="1635"/>
      <c r="L266" s="1597" t="s">
        <v>668</v>
      </c>
      <c r="M266" s="1568"/>
      <c r="N266" s="1568"/>
      <c r="O266" s="1598"/>
    </row>
    <row r="267" spans="1:15" ht="32.25" customHeight="1" thickBot="1">
      <c r="A267" s="1633"/>
      <c r="B267" s="1576"/>
      <c r="C267" s="1576"/>
      <c r="D267" s="1576"/>
      <c r="E267" s="1576"/>
      <c r="F267" s="1576"/>
      <c r="G267" s="1576"/>
      <c r="H267" s="1576"/>
      <c r="I267" s="1596"/>
      <c r="J267" s="1576"/>
      <c r="K267" s="1636"/>
      <c r="L267" s="589" t="s">
        <v>669</v>
      </c>
      <c r="M267" s="756" t="s">
        <v>670</v>
      </c>
      <c r="N267" s="756" t="s">
        <v>671</v>
      </c>
      <c r="O267" s="757" t="s">
        <v>17</v>
      </c>
    </row>
    <row r="268" spans="1:15" ht="29.25">
      <c r="A268" s="593" t="s">
        <v>27</v>
      </c>
      <c r="B268" s="765" t="s">
        <v>1278</v>
      </c>
      <c r="C268" s="446" t="s">
        <v>19</v>
      </c>
      <c r="D268" s="4" t="s">
        <v>30</v>
      </c>
      <c r="E268" s="4" t="s">
        <v>1204</v>
      </c>
      <c r="F268" s="4" t="s">
        <v>21</v>
      </c>
      <c r="G268" s="4" t="s">
        <v>19</v>
      </c>
      <c r="H268" s="719" t="s">
        <v>1279</v>
      </c>
      <c r="I268" s="4">
        <v>213762</v>
      </c>
      <c r="J268" s="505" t="s">
        <v>29</v>
      </c>
      <c r="K268" s="92">
        <v>11</v>
      </c>
      <c r="L268" s="34">
        <f>14218-9883</f>
        <v>4335</v>
      </c>
      <c r="M268" s="35"/>
      <c r="N268" s="35"/>
      <c r="O268" s="34">
        <f aca="true" t="shared" si="1" ref="O268:O281">L268</f>
        <v>4335</v>
      </c>
    </row>
    <row r="269" spans="1:15" ht="29.25">
      <c r="A269" s="572" t="s">
        <v>27</v>
      </c>
      <c r="B269" s="25" t="s">
        <v>156</v>
      </c>
      <c r="C269" s="25" t="s">
        <v>19</v>
      </c>
      <c r="D269" s="24" t="s">
        <v>157</v>
      </c>
      <c r="E269" s="24"/>
      <c r="F269" s="24" t="s">
        <v>21</v>
      </c>
      <c r="G269" s="25" t="s">
        <v>19</v>
      </c>
      <c r="H269" s="750" t="s">
        <v>158</v>
      </c>
      <c r="I269" s="24">
        <v>70543162</v>
      </c>
      <c r="J269" s="397" t="s">
        <v>29</v>
      </c>
      <c r="K269" s="114">
        <v>10</v>
      </c>
      <c r="L269" s="67">
        <v>10</v>
      </c>
      <c r="M269" s="287"/>
      <c r="N269" s="291"/>
      <c r="O269" s="34">
        <f t="shared" si="1"/>
        <v>10</v>
      </c>
    </row>
    <row r="270" spans="1:15" ht="33" customHeight="1">
      <c r="A270" s="593" t="s">
        <v>27</v>
      </c>
      <c r="B270" s="668" t="s">
        <v>649</v>
      </c>
      <c r="C270" s="446" t="s">
        <v>19</v>
      </c>
      <c r="D270" s="4" t="s">
        <v>1203</v>
      </c>
      <c r="E270" s="4" t="s">
        <v>1280</v>
      </c>
      <c r="F270" s="4" t="s">
        <v>21</v>
      </c>
      <c r="G270" s="4" t="s">
        <v>19</v>
      </c>
      <c r="H270" s="750" t="s">
        <v>1281</v>
      </c>
      <c r="I270" s="4">
        <v>880172</v>
      </c>
      <c r="J270" s="389" t="s">
        <v>22</v>
      </c>
      <c r="K270" s="92">
        <v>42</v>
      </c>
      <c r="L270" s="34">
        <f>(35589.98-26817.09)*15</f>
        <v>131593.35000000003</v>
      </c>
      <c r="M270" s="35"/>
      <c r="N270" s="35"/>
      <c r="O270" s="34">
        <f t="shared" si="1"/>
        <v>131593.35000000003</v>
      </c>
    </row>
    <row r="271" spans="1:15" ht="40.5" customHeight="1">
      <c r="A271" s="593" t="s">
        <v>27</v>
      </c>
      <c r="B271" s="765" t="s">
        <v>1282</v>
      </c>
      <c r="C271" s="446" t="s">
        <v>19</v>
      </c>
      <c r="D271" s="4" t="s">
        <v>157</v>
      </c>
      <c r="E271" s="4"/>
      <c r="F271" s="4" t="s">
        <v>21</v>
      </c>
      <c r="G271" s="4" t="s">
        <v>19</v>
      </c>
      <c r="H271" s="750" t="s">
        <v>1283</v>
      </c>
      <c r="I271" s="4">
        <v>70653303</v>
      </c>
      <c r="J271" s="505" t="s">
        <v>29</v>
      </c>
      <c r="K271" s="92">
        <v>12</v>
      </c>
      <c r="L271" s="34">
        <f>56052-44504</f>
        <v>11548</v>
      </c>
      <c r="M271" s="35"/>
      <c r="N271" s="35"/>
      <c r="O271" s="34">
        <f t="shared" si="1"/>
        <v>11548</v>
      </c>
    </row>
    <row r="272" spans="1:15" ht="35.25" customHeight="1">
      <c r="A272" s="593" t="s">
        <v>27</v>
      </c>
      <c r="B272" s="389"/>
      <c r="C272" s="446" t="s">
        <v>19</v>
      </c>
      <c r="D272" s="4" t="s">
        <v>536</v>
      </c>
      <c r="E272" s="4">
        <v>27</v>
      </c>
      <c r="F272" s="4" t="s">
        <v>21</v>
      </c>
      <c r="G272" s="4" t="s">
        <v>19</v>
      </c>
      <c r="H272" s="750" t="s">
        <v>1284</v>
      </c>
      <c r="I272" s="4">
        <v>7837251</v>
      </c>
      <c r="J272" s="505" t="s">
        <v>29</v>
      </c>
      <c r="K272" s="92">
        <v>2.2</v>
      </c>
      <c r="L272" s="34">
        <f>22479-21126</f>
        <v>1353</v>
      </c>
      <c r="M272" s="35"/>
      <c r="N272" s="35"/>
      <c r="O272" s="34">
        <f t="shared" si="1"/>
        <v>1353</v>
      </c>
    </row>
    <row r="273" spans="1:15" ht="43.5" customHeight="1">
      <c r="A273" s="593" t="s">
        <v>27</v>
      </c>
      <c r="B273" s="765" t="s">
        <v>1201</v>
      </c>
      <c r="C273" s="446" t="s">
        <v>19</v>
      </c>
      <c r="D273" s="4" t="s">
        <v>1285</v>
      </c>
      <c r="E273" s="4">
        <v>11</v>
      </c>
      <c r="F273" s="4" t="s">
        <v>21</v>
      </c>
      <c r="G273" s="4" t="s">
        <v>19</v>
      </c>
      <c r="H273" s="750" t="s">
        <v>1286</v>
      </c>
      <c r="I273" s="4">
        <v>1395736</v>
      </c>
      <c r="J273" s="31" t="s">
        <v>747</v>
      </c>
      <c r="K273" s="92">
        <v>4</v>
      </c>
      <c r="L273" s="34">
        <f>1497-784</f>
        <v>713</v>
      </c>
      <c r="M273" s="35"/>
      <c r="N273" s="35"/>
      <c r="O273" s="34">
        <f t="shared" si="1"/>
        <v>713</v>
      </c>
    </row>
    <row r="274" spans="1:15" ht="36" customHeight="1">
      <c r="A274" s="593" t="s">
        <v>27</v>
      </c>
      <c r="B274" s="389"/>
      <c r="C274" s="446" t="s">
        <v>19</v>
      </c>
      <c r="D274" s="4" t="s">
        <v>333</v>
      </c>
      <c r="E274" s="4">
        <v>2</v>
      </c>
      <c r="F274" s="4" t="s">
        <v>21</v>
      </c>
      <c r="G274" s="4" t="s">
        <v>19</v>
      </c>
      <c r="H274" s="750" t="s">
        <v>1287</v>
      </c>
      <c r="I274" s="4">
        <v>70968272</v>
      </c>
      <c r="J274" s="505" t="s">
        <v>29</v>
      </c>
      <c r="K274" s="92">
        <v>6.6</v>
      </c>
      <c r="L274" s="34">
        <f>3723-22</f>
        <v>3701</v>
      </c>
      <c r="M274" s="35"/>
      <c r="N274" s="35"/>
      <c r="O274" s="34">
        <f t="shared" si="1"/>
        <v>3701</v>
      </c>
    </row>
    <row r="275" spans="1:15" ht="32.25" customHeight="1">
      <c r="A275" s="593" t="s">
        <v>27</v>
      </c>
      <c r="B275" s="389"/>
      <c r="C275" s="446" t="s">
        <v>19</v>
      </c>
      <c r="D275" s="4" t="s">
        <v>311</v>
      </c>
      <c r="E275" s="4">
        <v>75</v>
      </c>
      <c r="F275" s="4" t="s">
        <v>21</v>
      </c>
      <c r="G275" s="4" t="s">
        <v>19</v>
      </c>
      <c r="H275" s="750" t="s">
        <v>1288</v>
      </c>
      <c r="I275" s="4">
        <v>44203</v>
      </c>
      <c r="J275" s="31" t="s">
        <v>747</v>
      </c>
      <c r="K275" s="92">
        <v>13</v>
      </c>
      <c r="L275" s="34">
        <f>30412-24988</f>
        <v>5424</v>
      </c>
      <c r="M275" s="35"/>
      <c r="N275" s="35"/>
      <c r="O275" s="34">
        <f t="shared" si="1"/>
        <v>5424</v>
      </c>
    </row>
    <row r="276" spans="1:15" ht="35.25" customHeight="1">
      <c r="A276" s="593" t="s">
        <v>27</v>
      </c>
      <c r="B276" s="668" t="s">
        <v>1179</v>
      </c>
      <c r="C276" s="446" t="s">
        <v>19</v>
      </c>
      <c r="D276" s="4" t="s">
        <v>1285</v>
      </c>
      <c r="E276" s="4">
        <v>7</v>
      </c>
      <c r="F276" s="4" t="s">
        <v>21</v>
      </c>
      <c r="G276" s="4" t="s">
        <v>19</v>
      </c>
      <c r="H276" s="750" t="s">
        <v>1289</v>
      </c>
      <c r="I276" s="4">
        <v>25559019</v>
      </c>
      <c r="J276" s="31" t="s">
        <v>747</v>
      </c>
      <c r="K276" s="92">
        <v>3</v>
      </c>
      <c r="L276" s="34">
        <f>19419-14618</f>
        <v>4801</v>
      </c>
      <c r="M276" s="35"/>
      <c r="N276" s="35"/>
      <c r="O276" s="34">
        <f t="shared" si="1"/>
        <v>4801</v>
      </c>
    </row>
    <row r="277" spans="1:15" ht="35.25" customHeight="1">
      <c r="A277" s="593" t="s">
        <v>27</v>
      </c>
      <c r="B277" s="389"/>
      <c r="C277" s="446" t="s">
        <v>19</v>
      </c>
      <c r="D277" s="4" t="s">
        <v>1202</v>
      </c>
      <c r="E277" s="4">
        <v>19</v>
      </c>
      <c r="F277" s="4" t="s">
        <v>21</v>
      </c>
      <c r="G277" s="4" t="s">
        <v>19</v>
      </c>
      <c r="H277" s="750" t="s">
        <v>1290</v>
      </c>
      <c r="I277" s="4">
        <v>1481789</v>
      </c>
      <c r="J277" s="31" t="s">
        <v>747</v>
      </c>
      <c r="K277" s="92">
        <v>10</v>
      </c>
      <c r="L277" s="34">
        <f>1611-870</f>
        <v>741</v>
      </c>
      <c r="M277" s="35"/>
      <c r="N277" s="35"/>
      <c r="O277" s="34">
        <f t="shared" si="1"/>
        <v>741</v>
      </c>
    </row>
    <row r="278" spans="1:15" ht="33" customHeight="1">
      <c r="A278" s="593" t="s">
        <v>27</v>
      </c>
      <c r="B278" s="389"/>
      <c r="C278" s="446" t="s">
        <v>19</v>
      </c>
      <c r="D278" s="4" t="s">
        <v>55</v>
      </c>
      <c r="E278" s="4">
        <v>191</v>
      </c>
      <c r="F278" s="4" t="s">
        <v>21</v>
      </c>
      <c r="G278" s="4" t="s">
        <v>19</v>
      </c>
      <c r="H278" s="750" t="s">
        <v>1291</v>
      </c>
      <c r="I278" s="4">
        <v>28295472</v>
      </c>
      <c r="J278" s="31" t="s">
        <v>747</v>
      </c>
      <c r="K278" s="92">
        <v>3</v>
      </c>
      <c r="L278" s="34">
        <f>2907-2804</f>
        <v>103</v>
      </c>
      <c r="M278" s="35"/>
      <c r="N278" s="35"/>
      <c r="O278" s="34">
        <f t="shared" si="1"/>
        <v>103</v>
      </c>
    </row>
    <row r="279" spans="1:15" ht="36" customHeight="1">
      <c r="A279" s="593" t="s">
        <v>27</v>
      </c>
      <c r="B279" s="389"/>
      <c r="C279" s="446" t="s">
        <v>19</v>
      </c>
      <c r="D279" s="4" t="s">
        <v>99</v>
      </c>
      <c r="E279" s="4">
        <v>4</v>
      </c>
      <c r="F279" s="4" t="s">
        <v>21</v>
      </c>
      <c r="G279" s="4" t="s">
        <v>19</v>
      </c>
      <c r="H279" s="750" t="s">
        <v>1292</v>
      </c>
      <c r="I279" s="4">
        <v>58763</v>
      </c>
      <c r="J279" s="31" t="s">
        <v>747</v>
      </c>
      <c r="K279" s="92">
        <v>3</v>
      </c>
      <c r="L279" s="34">
        <f>1483-1183</f>
        <v>300</v>
      </c>
      <c r="M279" s="35"/>
      <c r="N279" s="35"/>
      <c r="O279" s="34">
        <f t="shared" si="1"/>
        <v>300</v>
      </c>
    </row>
    <row r="280" spans="1:15" ht="30" customHeight="1">
      <c r="A280" s="593" t="s">
        <v>27</v>
      </c>
      <c r="B280" s="556"/>
      <c r="C280" s="187" t="s">
        <v>19</v>
      </c>
      <c r="D280" s="682" t="s">
        <v>311</v>
      </c>
      <c r="E280" s="187">
        <v>75</v>
      </c>
      <c r="F280" s="187" t="s">
        <v>21</v>
      </c>
      <c r="G280" s="187" t="s">
        <v>19</v>
      </c>
      <c r="H280" s="750" t="s">
        <v>1293</v>
      </c>
      <c r="I280" s="187">
        <v>218245</v>
      </c>
      <c r="J280" s="552" t="s">
        <v>29</v>
      </c>
      <c r="K280" s="425">
        <v>13</v>
      </c>
      <c r="L280" s="275">
        <f>6805-3610</f>
        <v>3195</v>
      </c>
      <c r="M280" s="276"/>
      <c r="N280" s="276"/>
      <c r="O280" s="275">
        <f t="shared" si="1"/>
        <v>3195</v>
      </c>
    </row>
    <row r="281" spans="1:15" ht="36" customHeight="1">
      <c r="A281" s="593" t="s">
        <v>27</v>
      </c>
      <c r="B281" s="389"/>
      <c r="C281" s="446" t="s">
        <v>19</v>
      </c>
      <c r="D281" s="4" t="s">
        <v>536</v>
      </c>
      <c r="E281" s="4">
        <v>27</v>
      </c>
      <c r="F281" s="4" t="s">
        <v>21</v>
      </c>
      <c r="G281" s="4" t="s">
        <v>19</v>
      </c>
      <c r="H281" s="750" t="s">
        <v>1294</v>
      </c>
      <c r="I281" s="4">
        <v>1494761</v>
      </c>
      <c r="J281" s="505" t="s">
        <v>29</v>
      </c>
      <c r="K281" s="92">
        <v>4</v>
      </c>
      <c r="L281" s="34">
        <f>218-102</f>
        <v>116</v>
      </c>
      <c r="M281" s="35"/>
      <c r="N281" s="35"/>
      <c r="O281" s="34">
        <f t="shared" si="1"/>
        <v>116</v>
      </c>
    </row>
    <row r="282" spans="1:15" ht="36" customHeight="1">
      <c r="A282" s="621" t="s">
        <v>27</v>
      </c>
      <c r="B282" s="1112" t="s">
        <v>1296</v>
      </c>
      <c r="C282" s="4" t="s">
        <v>19</v>
      </c>
      <c r="D282" s="1113" t="s">
        <v>1297</v>
      </c>
      <c r="E282" s="4">
        <v>1</v>
      </c>
      <c r="F282" s="4" t="s">
        <v>21</v>
      </c>
      <c r="G282" s="4" t="s">
        <v>19</v>
      </c>
      <c r="H282" s="719" t="s">
        <v>1710</v>
      </c>
      <c r="I282" s="4">
        <v>312666</v>
      </c>
      <c r="J282" s="505" t="s">
        <v>29</v>
      </c>
      <c r="K282" s="92">
        <v>10</v>
      </c>
      <c r="L282" s="34">
        <f>(10179-6870)+195</f>
        <v>3504</v>
      </c>
      <c r="M282" s="35"/>
      <c r="N282" s="35"/>
      <c r="O282" s="34">
        <f>L282</f>
        <v>3504</v>
      </c>
    </row>
    <row r="283" spans="1:15" ht="36" customHeight="1">
      <c r="A283" s="621" t="s">
        <v>27</v>
      </c>
      <c r="B283" s="1112" t="s">
        <v>1298</v>
      </c>
      <c r="C283" s="4" t="s">
        <v>19</v>
      </c>
      <c r="D283" s="1113" t="s">
        <v>1297</v>
      </c>
      <c r="E283" s="4">
        <v>1</v>
      </c>
      <c r="F283" s="4" t="s">
        <v>21</v>
      </c>
      <c r="G283" s="4" t="s">
        <v>19</v>
      </c>
      <c r="H283" s="719" t="s">
        <v>1711</v>
      </c>
      <c r="I283" s="4">
        <v>2670301</v>
      </c>
      <c r="J283" s="505" t="s">
        <v>29</v>
      </c>
      <c r="K283" s="92">
        <v>40</v>
      </c>
      <c r="L283" s="34">
        <f>547011-442950</f>
        <v>104061</v>
      </c>
      <c r="M283" s="35"/>
      <c r="N283" s="35"/>
      <c r="O283" s="34">
        <f>L283</f>
        <v>104061</v>
      </c>
    </row>
    <row r="284" spans="1:15" ht="36" customHeight="1" thickBot="1">
      <c r="A284" s="593" t="s">
        <v>27</v>
      </c>
      <c r="B284" s="1121" t="s">
        <v>1299</v>
      </c>
      <c r="C284" s="6" t="s">
        <v>19</v>
      </c>
      <c r="D284" s="1122" t="s">
        <v>333</v>
      </c>
      <c r="E284" s="4">
        <v>1</v>
      </c>
      <c r="F284" s="4" t="s">
        <v>21</v>
      </c>
      <c r="G284" s="6" t="s">
        <v>19</v>
      </c>
      <c r="H284" s="797" t="s">
        <v>1712</v>
      </c>
      <c r="I284" s="6">
        <v>70907532</v>
      </c>
      <c r="J284" s="1140" t="s">
        <v>29</v>
      </c>
      <c r="K284" s="92">
        <v>6.6</v>
      </c>
      <c r="L284" s="34">
        <f>15489-12689</f>
        <v>2800</v>
      </c>
      <c r="M284" s="35"/>
      <c r="N284" s="35"/>
      <c r="O284" s="34">
        <f>L284</f>
        <v>2800</v>
      </c>
    </row>
    <row r="285" spans="1:15" ht="23.25" customHeight="1">
      <c r="A285" s="1"/>
      <c r="B285" s="10" t="s">
        <v>23</v>
      </c>
      <c r="C285" s="11" t="s">
        <v>145</v>
      </c>
      <c r="D285" s="12"/>
      <c r="E285" s="56"/>
      <c r="F285" s="56"/>
      <c r="G285" s="81" t="s">
        <v>1719</v>
      </c>
      <c r="H285" s="125" t="s">
        <v>1487</v>
      </c>
      <c r="I285" s="268"/>
      <c r="J285" s="28"/>
      <c r="L285" s="33"/>
      <c r="M285" s="33"/>
      <c r="N285" s="275" t="s">
        <v>24</v>
      </c>
      <c r="O285" s="585">
        <f>SUM(O268:O284)</f>
        <v>278298.35000000003</v>
      </c>
    </row>
    <row r="286" spans="1:15" ht="15">
      <c r="A286" s="1"/>
      <c r="B286" s="13"/>
      <c r="C286" s="14" t="s">
        <v>161</v>
      </c>
      <c r="D286" s="15"/>
      <c r="E286" s="56"/>
      <c r="F286" s="56"/>
      <c r="G286" s="1128"/>
      <c r="H286" s="45" t="s">
        <v>1295</v>
      </c>
      <c r="I286" s="56"/>
      <c r="J286" s="29"/>
      <c r="L286" s="33"/>
      <c r="M286" s="33"/>
      <c r="N286" s="401"/>
      <c r="O286" s="33"/>
    </row>
    <row r="287" spans="1:15" ht="15">
      <c r="A287" s="1"/>
      <c r="B287" s="13"/>
      <c r="C287" s="45" t="s">
        <v>26</v>
      </c>
      <c r="D287" s="15"/>
      <c r="E287" s="56"/>
      <c r="F287" s="56"/>
      <c r="G287" s="1128"/>
      <c r="H287" s="45" t="s">
        <v>26</v>
      </c>
      <c r="I287" s="56"/>
      <c r="J287" s="29"/>
      <c r="L287" s="33"/>
      <c r="M287" s="33"/>
      <c r="N287" s="401"/>
      <c r="O287" s="33"/>
    </row>
    <row r="288" spans="1:15" ht="15.75" thickBot="1">
      <c r="A288" s="1"/>
      <c r="B288" s="571" t="s">
        <v>169</v>
      </c>
      <c r="C288" s="45" t="s">
        <v>1072</v>
      </c>
      <c r="D288" s="15"/>
      <c r="E288" s="56"/>
      <c r="F288" s="56"/>
      <c r="G288" s="447" t="s">
        <v>169</v>
      </c>
      <c r="H288" s="960" t="s">
        <v>1429</v>
      </c>
      <c r="I288" s="233"/>
      <c r="J288" s="30"/>
      <c r="L288" s="33"/>
      <c r="M288" s="33"/>
      <c r="N288" s="401"/>
      <c r="O288" s="33"/>
    </row>
    <row r="289" spans="1:15" ht="15.75" thickBot="1">
      <c r="A289" s="1"/>
      <c r="B289" s="447" t="s">
        <v>1112</v>
      </c>
      <c r="C289" s="116" t="s">
        <v>1137</v>
      </c>
      <c r="D289" s="18"/>
      <c r="E289" s="56"/>
      <c r="F289" s="56"/>
      <c r="H289" s="850"/>
      <c r="L289" s="33"/>
      <c r="M289" s="33"/>
      <c r="N289" s="401"/>
      <c r="O289" s="33"/>
    </row>
    <row r="290" spans="1:15" ht="15">
      <c r="A290" s="1"/>
      <c r="B290" s="595"/>
      <c r="C290" s="850"/>
      <c r="D290" s="45"/>
      <c r="E290" s="56"/>
      <c r="F290" s="56"/>
      <c r="L290" s="33"/>
      <c r="M290" s="33"/>
      <c r="N290" s="401"/>
      <c r="O290" s="33"/>
    </row>
    <row r="291" spans="1:15" ht="15.75" thickBot="1">
      <c r="A291" s="1"/>
      <c r="B291" s="595"/>
      <c r="C291" s="959"/>
      <c r="D291" s="45"/>
      <c r="L291" s="33"/>
      <c r="M291" s="33"/>
      <c r="N291" s="401"/>
      <c r="O291" s="33"/>
    </row>
    <row r="292" spans="1:20" ht="42.75" customHeight="1">
      <c r="A292" s="1580" t="s">
        <v>7</v>
      </c>
      <c r="B292" s="1574" t="s">
        <v>8</v>
      </c>
      <c r="C292" s="1574" t="s">
        <v>9</v>
      </c>
      <c r="D292" s="1574" t="s">
        <v>10</v>
      </c>
      <c r="E292" s="1574" t="s">
        <v>11</v>
      </c>
      <c r="F292" s="1574" t="s">
        <v>12</v>
      </c>
      <c r="G292" s="1574" t="s">
        <v>13</v>
      </c>
      <c r="H292" s="1571" t="s">
        <v>15</v>
      </c>
      <c r="I292" s="1574" t="s">
        <v>282</v>
      </c>
      <c r="J292" s="1574" t="s">
        <v>60</v>
      </c>
      <c r="K292" s="1577" t="s">
        <v>16</v>
      </c>
      <c r="L292" s="1570" t="s">
        <v>672</v>
      </c>
      <c r="M292" s="1570"/>
      <c r="N292" s="1570"/>
      <c r="O292" s="1570"/>
      <c r="P292" s="1570" t="s">
        <v>673</v>
      </c>
      <c r="Q292" s="1570"/>
      <c r="R292" s="1570"/>
      <c r="S292" s="1570"/>
      <c r="T292" s="1571" t="s">
        <v>1709</v>
      </c>
    </row>
    <row r="293" spans="1:20" ht="42.75" customHeight="1">
      <c r="A293" s="1581"/>
      <c r="B293" s="1575"/>
      <c r="C293" s="1575"/>
      <c r="D293" s="1575"/>
      <c r="E293" s="1575"/>
      <c r="F293" s="1575"/>
      <c r="G293" s="1575"/>
      <c r="H293" s="1572"/>
      <c r="I293" s="1575"/>
      <c r="J293" s="1575"/>
      <c r="K293" s="1578"/>
      <c r="L293" s="1568" t="s">
        <v>669</v>
      </c>
      <c r="M293" s="1568" t="s">
        <v>670</v>
      </c>
      <c r="N293" s="1568" t="s">
        <v>671</v>
      </c>
      <c r="O293" s="1568" t="s">
        <v>674</v>
      </c>
      <c r="P293" s="1568" t="s">
        <v>669</v>
      </c>
      <c r="Q293" s="1568" t="s">
        <v>670</v>
      </c>
      <c r="R293" s="1568" t="s">
        <v>671</v>
      </c>
      <c r="S293" s="1568" t="s">
        <v>674</v>
      </c>
      <c r="T293" s="1572"/>
    </row>
    <row r="294" spans="1:20" ht="15" thickBot="1">
      <c r="A294" s="1582"/>
      <c r="B294" s="1576"/>
      <c r="C294" s="1576"/>
      <c r="D294" s="1576"/>
      <c r="E294" s="1576"/>
      <c r="F294" s="1576"/>
      <c r="G294" s="1576"/>
      <c r="H294" s="1573"/>
      <c r="I294" s="1576"/>
      <c r="J294" s="1576"/>
      <c r="K294" s="1579"/>
      <c r="L294" s="1569"/>
      <c r="M294" s="1569"/>
      <c r="N294" s="1569"/>
      <c r="O294" s="1569"/>
      <c r="P294" s="1569"/>
      <c r="Q294" s="1569"/>
      <c r="R294" s="1569"/>
      <c r="S294" s="1569"/>
      <c r="T294" s="1573"/>
    </row>
    <row r="295" spans="1:20" ht="30" thickBot="1">
      <c r="A295" s="621" t="s">
        <v>18</v>
      </c>
      <c r="B295" s="1119" t="s">
        <v>68</v>
      </c>
      <c r="C295" s="372" t="s">
        <v>19</v>
      </c>
      <c r="D295" s="957" t="s">
        <v>20</v>
      </c>
      <c r="E295" s="1120" t="s">
        <v>1486</v>
      </c>
      <c r="F295" s="1120" t="s">
        <v>21</v>
      </c>
      <c r="G295" s="372" t="s">
        <v>19</v>
      </c>
      <c r="H295" s="1141">
        <v>50557700</v>
      </c>
      <c r="I295" s="372">
        <v>4146234</v>
      </c>
      <c r="J295" s="1142" t="s">
        <v>22</v>
      </c>
      <c r="K295" s="425">
        <v>56</v>
      </c>
      <c r="L295" s="275">
        <f>((273.05-0)*2)*15</f>
        <v>8191.5</v>
      </c>
      <c r="M295" s="276"/>
      <c r="N295" s="276"/>
      <c r="O295" s="275">
        <f>L295</f>
        <v>8191.5</v>
      </c>
      <c r="P295" s="275">
        <f>O295</f>
        <v>8191.5</v>
      </c>
      <c r="Q295" s="500"/>
      <c r="R295" s="500"/>
      <c r="S295" s="275">
        <f>P295</f>
        <v>8191.5</v>
      </c>
      <c r="T295" s="273" t="s">
        <v>1546</v>
      </c>
    </row>
    <row r="296" spans="1:19" ht="15">
      <c r="A296" s="1"/>
      <c r="B296" s="10" t="s">
        <v>23</v>
      </c>
      <c r="C296" s="11" t="s">
        <v>145</v>
      </c>
      <c r="D296" s="12"/>
      <c r="E296" s="14"/>
      <c r="F296" s="56"/>
      <c r="G296" s="81" t="s">
        <v>1719</v>
      </c>
      <c r="H296" s="82" t="s">
        <v>856</v>
      </c>
      <c r="I296" s="268"/>
      <c r="J296" s="28"/>
      <c r="L296" s="33"/>
      <c r="M296" s="33"/>
      <c r="N296" s="401"/>
      <c r="O296" s="33"/>
      <c r="R296" s="275" t="s">
        <v>24</v>
      </c>
      <c r="S296" s="585">
        <f>SUM(S295)</f>
        <v>8191.5</v>
      </c>
    </row>
    <row r="297" spans="1:15" ht="15">
      <c r="A297" s="1"/>
      <c r="B297" s="13"/>
      <c r="C297" s="14" t="s">
        <v>161</v>
      </c>
      <c r="D297" s="15"/>
      <c r="E297" s="14"/>
      <c r="F297" s="56"/>
      <c r="G297" s="1128"/>
      <c r="H297" s="70" t="s">
        <v>857</v>
      </c>
      <c r="I297" s="56"/>
      <c r="J297" s="29"/>
      <c r="L297" s="33"/>
      <c r="M297" s="33"/>
      <c r="N297" s="401"/>
      <c r="O297" s="33"/>
    </row>
    <row r="298" spans="1:15" ht="15">
      <c r="A298" s="1"/>
      <c r="B298" s="13"/>
      <c r="C298" s="45" t="s">
        <v>26</v>
      </c>
      <c r="D298" s="15"/>
      <c r="E298" s="14"/>
      <c r="F298" s="56"/>
      <c r="G298" s="1128"/>
      <c r="H298" s="70" t="s">
        <v>26</v>
      </c>
      <c r="I298" s="56"/>
      <c r="J298" s="29"/>
      <c r="L298" s="33"/>
      <c r="M298" s="33"/>
      <c r="N298" s="401"/>
      <c r="O298" s="33"/>
    </row>
    <row r="299" spans="1:15" ht="21" customHeight="1" thickBot="1">
      <c r="A299" s="1"/>
      <c r="B299" s="571" t="s">
        <v>169</v>
      </c>
      <c r="C299" s="45" t="s">
        <v>1072</v>
      </c>
      <c r="D299" s="15"/>
      <c r="E299" s="14"/>
      <c r="F299" s="56"/>
      <c r="G299" s="447" t="s">
        <v>169</v>
      </c>
      <c r="H299" s="74" t="s">
        <v>1060</v>
      </c>
      <c r="I299" s="233"/>
      <c r="J299" s="30"/>
      <c r="L299" s="33"/>
      <c r="O299" s="33"/>
    </row>
    <row r="300" spans="1:15" ht="21" customHeight="1" thickBot="1">
      <c r="A300" s="1"/>
      <c r="B300" s="447" t="s">
        <v>1112</v>
      </c>
      <c r="C300" s="116" t="s">
        <v>1137</v>
      </c>
      <c r="D300" s="18"/>
      <c r="E300" s="14"/>
      <c r="F300" s="56"/>
      <c r="L300" s="33"/>
      <c r="O300" s="33"/>
    </row>
    <row r="301" spans="1:15" ht="21" customHeight="1">
      <c r="A301" s="1"/>
      <c r="B301" s="595"/>
      <c r="C301" s="45"/>
      <c r="D301" s="14"/>
      <c r="E301" s="14"/>
      <c r="F301" s="56"/>
      <c r="L301" s="33"/>
      <c r="M301" s="127" t="s">
        <v>63</v>
      </c>
      <c r="N301" s="401">
        <f>O25+O38+O49+O60+O72+O83+O94+O105+O118+O128+O139+O152+O165+O177+O190+O200+O213+O223+O236+O246+O258+O285+S296</f>
        <v>3115681.9700000007</v>
      </c>
      <c r="O301" s="33"/>
    </row>
    <row r="302" spans="1:15" ht="15.75" thickBot="1">
      <c r="A302" s="1"/>
      <c r="B302" s="595"/>
      <c r="C302" s="45"/>
      <c r="D302" s="14"/>
      <c r="L302" s="33"/>
      <c r="M302" s="33"/>
      <c r="N302" s="401"/>
      <c r="O302" s="33"/>
    </row>
    <row r="303" spans="11:15" ht="46.5" customHeight="1">
      <c r="K303" s="1621" t="s">
        <v>60</v>
      </c>
      <c r="L303" s="1623" t="s">
        <v>675</v>
      </c>
      <c r="M303" s="1624"/>
      <c r="N303" s="1625"/>
      <c r="O303" s="1626" t="s">
        <v>61</v>
      </c>
    </row>
    <row r="304" spans="11:15" ht="21.75" customHeight="1" thickBot="1">
      <c r="K304" s="1622"/>
      <c r="L304" s="282" t="s">
        <v>62</v>
      </c>
      <c r="M304" s="282" t="s">
        <v>670</v>
      </c>
      <c r="N304" s="282" t="s">
        <v>671</v>
      </c>
      <c r="O304" s="1627"/>
    </row>
    <row r="305" spans="11:15" ht="19.5" customHeight="1">
      <c r="K305" s="187" t="s">
        <v>29</v>
      </c>
      <c r="L305" s="275">
        <f>O59+O70+O82+O93+O150+O187+O188+O209+O210+O211+O212+O255+O256+O257+O268+O269+O271+O272+O274+O280+O281+O232+O233+O234+O235+O282+O283+O284</f>
        <v>305936.8</v>
      </c>
      <c r="M305" s="276"/>
      <c r="N305" s="276"/>
      <c r="O305" s="187">
        <v>28</v>
      </c>
    </row>
    <row r="306" spans="1:15" ht="19.5" customHeight="1">
      <c r="A306" s="295"/>
      <c r="K306" s="187" t="s">
        <v>747</v>
      </c>
      <c r="L306" s="275">
        <f>O273+O275+O276+O277+O278+O279</f>
        <v>12082</v>
      </c>
      <c r="M306" s="276"/>
      <c r="N306" s="276"/>
      <c r="O306" s="187">
        <v>6</v>
      </c>
    </row>
    <row r="307" spans="11:15" ht="19.5" customHeight="1">
      <c r="K307" s="4" t="s">
        <v>22</v>
      </c>
      <c r="L307" s="34">
        <f>O35+O48+O71+O151+O104+O117+O127+O245+O138+O149+O162+O164+O175+O176+O199+O270+S296</f>
        <v>1321373.9700000002</v>
      </c>
      <c r="M307" s="35"/>
      <c r="N307" s="35"/>
      <c r="O307" s="4">
        <v>17</v>
      </c>
    </row>
    <row r="308" spans="11:15" ht="19.5" customHeight="1">
      <c r="K308" s="4" t="s">
        <v>67</v>
      </c>
      <c r="L308" s="35"/>
      <c r="M308" s="34">
        <f>M18+M19+M24+M36+M37+M163+M189</f>
        <v>19337</v>
      </c>
      <c r="N308" s="34">
        <f>N18+N19+N24+N36+N37+N163+N189</f>
        <v>54456</v>
      </c>
      <c r="O308" s="4">
        <v>7</v>
      </c>
    </row>
    <row r="309" spans="11:15" ht="19.5" customHeight="1">
      <c r="K309" s="4" t="s">
        <v>72</v>
      </c>
      <c r="L309" s="35"/>
      <c r="M309" s="34">
        <f>M20+M21+M22+M23</f>
        <v>428954.39999999997</v>
      </c>
      <c r="N309" s="34">
        <f>N20+N21+N22+N23</f>
        <v>968357.8</v>
      </c>
      <c r="O309" s="4">
        <v>4</v>
      </c>
    </row>
    <row r="310" spans="11:15" ht="19.5" customHeight="1" thickBot="1">
      <c r="K310" s="4" t="s">
        <v>160</v>
      </c>
      <c r="L310" s="285">
        <f>O222</f>
        <v>5184</v>
      </c>
      <c r="M310" s="39"/>
      <c r="N310" s="39"/>
      <c r="O310" s="6">
        <v>1</v>
      </c>
    </row>
    <row r="311" spans="11:15" ht="29.25" thickBot="1">
      <c r="K311" s="283" t="s">
        <v>162</v>
      </c>
      <c r="L311" s="284">
        <f>SUM(L305:L310)</f>
        <v>1644576.7700000003</v>
      </c>
      <c r="M311" s="119">
        <f>SUM(M305:M310)</f>
        <v>448291.39999999997</v>
      </c>
      <c r="N311" s="126">
        <f>SUM(N305:N310)</f>
        <v>1022813.8</v>
      </c>
      <c r="O311" s="685">
        <f>SUM(O305:O310)</f>
        <v>63</v>
      </c>
    </row>
    <row r="312" spans="12:14" ht="18.75" thickBot="1">
      <c r="L312" s="127" t="s">
        <v>63</v>
      </c>
      <c r="M312" s="681">
        <f>SUM(L311:N311)</f>
        <v>3115681.97</v>
      </c>
      <c r="N312" s="33"/>
    </row>
  </sheetData>
  <sheetProtection/>
  <mergeCells count="317">
    <mergeCell ref="G265:G267"/>
    <mergeCell ref="H265:H267"/>
    <mergeCell ref="I265:I267"/>
    <mergeCell ref="J265:J267"/>
    <mergeCell ref="K265:K267"/>
    <mergeCell ref="L265:O265"/>
    <mergeCell ref="L266:O266"/>
    <mergeCell ref="L230:L231"/>
    <mergeCell ref="M230:M231"/>
    <mergeCell ref="N230:N231"/>
    <mergeCell ref="O230:O231"/>
    <mergeCell ref="A265:A267"/>
    <mergeCell ref="B265:B267"/>
    <mergeCell ref="C265:C267"/>
    <mergeCell ref="D265:D267"/>
    <mergeCell ref="E265:E267"/>
    <mergeCell ref="F265:F267"/>
    <mergeCell ref="F229:F231"/>
    <mergeCell ref="G229:G231"/>
    <mergeCell ref="H229:H231"/>
    <mergeCell ref="I229:I231"/>
    <mergeCell ref="J229:J231"/>
    <mergeCell ref="K229:K231"/>
    <mergeCell ref="K219:K221"/>
    <mergeCell ref="L219:O219"/>
    <mergeCell ref="L220:O220"/>
    <mergeCell ref="A219:A221"/>
    <mergeCell ref="B219:B221"/>
    <mergeCell ref="C219:C221"/>
    <mergeCell ref="D219:D221"/>
    <mergeCell ref="E219:E221"/>
    <mergeCell ref="F219:F221"/>
    <mergeCell ref="H219:H221"/>
    <mergeCell ref="I219:I221"/>
    <mergeCell ref="G252:G254"/>
    <mergeCell ref="H252:H254"/>
    <mergeCell ref="I252:I254"/>
    <mergeCell ref="J219:J221"/>
    <mergeCell ref="J252:J254"/>
    <mergeCell ref="G242:G244"/>
    <mergeCell ref="H242:H244"/>
    <mergeCell ref="I242:I244"/>
    <mergeCell ref="J242:J244"/>
    <mergeCell ref="L253:O253"/>
    <mergeCell ref="G206:G208"/>
    <mergeCell ref="H206:H208"/>
    <mergeCell ref="K252:K254"/>
    <mergeCell ref="L252:O252"/>
    <mergeCell ref="G219:G221"/>
    <mergeCell ref="I206:I208"/>
    <mergeCell ref="L229:O229"/>
    <mergeCell ref="L206:O206"/>
    <mergeCell ref="J206:J208"/>
    <mergeCell ref="A252:A254"/>
    <mergeCell ref="B252:B254"/>
    <mergeCell ref="C252:C254"/>
    <mergeCell ref="D252:D254"/>
    <mergeCell ref="E252:E254"/>
    <mergeCell ref="F252:F254"/>
    <mergeCell ref="L196:O196"/>
    <mergeCell ref="L197:O197"/>
    <mergeCell ref="A206:A208"/>
    <mergeCell ref="B206:B208"/>
    <mergeCell ref="C206:C208"/>
    <mergeCell ref="D206:D208"/>
    <mergeCell ref="E206:E208"/>
    <mergeCell ref="F206:F208"/>
    <mergeCell ref="G196:G198"/>
    <mergeCell ref="H196:H198"/>
    <mergeCell ref="A172:A174"/>
    <mergeCell ref="E172:E174"/>
    <mergeCell ref="F172:F174"/>
    <mergeCell ref="D184:D186"/>
    <mergeCell ref="E184:E186"/>
    <mergeCell ref="F184:F186"/>
    <mergeCell ref="A184:A186"/>
    <mergeCell ref="B184:B186"/>
    <mergeCell ref="C184:C186"/>
    <mergeCell ref="B172:B174"/>
    <mergeCell ref="I196:I198"/>
    <mergeCell ref="K206:K208"/>
    <mergeCell ref="J196:J198"/>
    <mergeCell ref="K196:K198"/>
    <mergeCell ref="A196:A198"/>
    <mergeCell ref="B196:B198"/>
    <mergeCell ref="C196:C198"/>
    <mergeCell ref="D196:D198"/>
    <mergeCell ref="E196:E198"/>
    <mergeCell ref="F196:F198"/>
    <mergeCell ref="C172:C174"/>
    <mergeCell ref="D172:D174"/>
    <mergeCell ref="E159:E161"/>
    <mergeCell ref="D146:D148"/>
    <mergeCell ref="L184:O184"/>
    <mergeCell ref="D159:D161"/>
    <mergeCell ref="F159:F161"/>
    <mergeCell ref="G184:G186"/>
    <mergeCell ref="H184:H186"/>
    <mergeCell ref="I184:I186"/>
    <mergeCell ref="A146:A148"/>
    <mergeCell ref="B146:B148"/>
    <mergeCell ref="C146:C148"/>
    <mergeCell ref="H146:H148"/>
    <mergeCell ref="A159:A161"/>
    <mergeCell ref="B159:B161"/>
    <mergeCell ref="C159:C161"/>
    <mergeCell ref="F146:F148"/>
    <mergeCell ref="G159:G161"/>
    <mergeCell ref="H159:H161"/>
    <mergeCell ref="L125:O125"/>
    <mergeCell ref="A124:A126"/>
    <mergeCell ref="A135:A137"/>
    <mergeCell ref="B135:B137"/>
    <mergeCell ref="J146:J148"/>
    <mergeCell ref="E146:E148"/>
    <mergeCell ref="I146:I148"/>
    <mergeCell ref="B124:B126"/>
    <mergeCell ref="C124:C126"/>
    <mergeCell ref="D124:D126"/>
    <mergeCell ref="E124:E126"/>
    <mergeCell ref="F124:F126"/>
    <mergeCell ref="A114:A116"/>
    <mergeCell ref="B114:B116"/>
    <mergeCell ref="C114:C116"/>
    <mergeCell ref="D114:D116"/>
    <mergeCell ref="E114:E116"/>
    <mergeCell ref="F114:F116"/>
    <mergeCell ref="A101:A103"/>
    <mergeCell ref="B101:B103"/>
    <mergeCell ref="C101:C103"/>
    <mergeCell ref="D101:D103"/>
    <mergeCell ref="E101:E103"/>
    <mergeCell ref="F101:F103"/>
    <mergeCell ref="F79:F81"/>
    <mergeCell ref="A90:A92"/>
    <mergeCell ref="B90:B92"/>
    <mergeCell ref="C90:C92"/>
    <mergeCell ref="D90:D92"/>
    <mergeCell ref="E90:E92"/>
    <mergeCell ref="F90:F92"/>
    <mergeCell ref="B67:B69"/>
    <mergeCell ref="C67:C69"/>
    <mergeCell ref="D67:D69"/>
    <mergeCell ref="E67:E69"/>
    <mergeCell ref="F67:F69"/>
    <mergeCell ref="A79:A81"/>
    <mergeCell ref="B79:B81"/>
    <mergeCell ref="C79:C81"/>
    <mergeCell ref="D79:D81"/>
    <mergeCell ref="E79:E81"/>
    <mergeCell ref="E45:E47"/>
    <mergeCell ref="I45:I47"/>
    <mergeCell ref="J45:J47"/>
    <mergeCell ref="H45:H47"/>
    <mergeCell ref="F45:F47"/>
    <mergeCell ref="B45:B47"/>
    <mergeCell ref="C45:C47"/>
    <mergeCell ref="D45:D47"/>
    <mergeCell ref="G45:G47"/>
    <mergeCell ref="C56:C58"/>
    <mergeCell ref="D56:D58"/>
    <mergeCell ref="E56:E58"/>
    <mergeCell ref="F56:F58"/>
    <mergeCell ref="A229:A231"/>
    <mergeCell ref="B229:B231"/>
    <mergeCell ref="C229:C231"/>
    <mergeCell ref="D229:D231"/>
    <mergeCell ref="E229:E231"/>
    <mergeCell ref="A67:A69"/>
    <mergeCell ref="H114:H116"/>
    <mergeCell ref="I114:I116"/>
    <mergeCell ref="H90:H92"/>
    <mergeCell ref="J90:J92"/>
    <mergeCell ref="J101:J103"/>
    <mergeCell ref="K101:K103"/>
    <mergeCell ref="I90:I92"/>
    <mergeCell ref="A32:A34"/>
    <mergeCell ref="F32:F34"/>
    <mergeCell ref="H15:H17"/>
    <mergeCell ref="K45:K47"/>
    <mergeCell ref="I56:I58"/>
    <mergeCell ref="J56:J58"/>
    <mergeCell ref="K56:K58"/>
    <mergeCell ref="I15:I17"/>
    <mergeCell ref="K15:K17"/>
    <mergeCell ref="B56:B58"/>
    <mergeCell ref="A15:A17"/>
    <mergeCell ref="B15:B17"/>
    <mergeCell ref="C15:C17"/>
    <mergeCell ref="D15:D17"/>
    <mergeCell ref="G15:G17"/>
    <mergeCell ref="E15:E17"/>
    <mergeCell ref="F15:F17"/>
    <mergeCell ref="G56:G58"/>
    <mergeCell ref="H56:H58"/>
    <mergeCell ref="G67:G69"/>
    <mergeCell ref="H67:H69"/>
    <mergeCell ref="I67:I69"/>
    <mergeCell ref="H79:H81"/>
    <mergeCell ref="K67:K69"/>
    <mergeCell ref="L67:O67"/>
    <mergeCell ref="L80:O80"/>
    <mergeCell ref="L68:O68"/>
    <mergeCell ref="L56:O56"/>
    <mergeCell ref="J67:J69"/>
    <mergeCell ref="L79:O79"/>
    <mergeCell ref="L15:O15"/>
    <mergeCell ref="L16:O16"/>
    <mergeCell ref="L146:O146"/>
    <mergeCell ref="L46:O46"/>
    <mergeCell ref="J32:J34"/>
    <mergeCell ref="L135:O135"/>
    <mergeCell ref="L115:O115"/>
    <mergeCell ref="K90:K92"/>
    <mergeCell ref="L90:O90"/>
    <mergeCell ref="J114:J116"/>
    <mergeCell ref="G172:G174"/>
    <mergeCell ref="K184:K186"/>
    <mergeCell ref="J184:J186"/>
    <mergeCell ref="A56:A58"/>
    <mergeCell ref="A45:A47"/>
    <mergeCell ref="L147:O147"/>
    <mergeCell ref="C135:C137"/>
    <mergeCell ref="D135:D137"/>
    <mergeCell ref="I135:I137"/>
    <mergeCell ref="L101:O101"/>
    <mergeCell ref="L91:O91"/>
    <mergeCell ref="E135:E137"/>
    <mergeCell ref="F135:F137"/>
    <mergeCell ref="H135:H137"/>
    <mergeCell ref="G135:G137"/>
    <mergeCell ref="K135:K137"/>
    <mergeCell ref="G90:G92"/>
    <mergeCell ref="K114:K116"/>
    <mergeCell ref="H101:H103"/>
    <mergeCell ref="G114:G116"/>
    <mergeCell ref="L45:O45"/>
    <mergeCell ref="H124:H126"/>
    <mergeCell ref="J79:J81"/>
    <mergeCell ref="K79:K81"/>
    <mergeCell ref="L57:O57"/>
    <mergeCell ref="K303:K304"/>
    <mergeCell ref="L303:N303"/>
    <mergeCell ref="O303:O304"/>
    <mergeCell ref="L160:O160"/>
    <mergeCell ref="L185:O185"/>
    <mergeCell ref="L172:O172"/>
    <mergeCell ref="L207:O207"/>
    <mergeCell ref="L173:O173"/>
    <mergeCell ref="L32:O32"/>
    <mergeCell ref="K32:K34"/>
    <mergeCell ref="I159:I161"/>
    <mergeCell ref="J159:J161"/>
    <mergeCell ref="I32:I34"/>
    <mergeCell ref="K146:K148"/>
    <mergeCell ref="L114:O114"/>
    <mergeCell ref="L159:O159"/>
    <mergeCell ref="L136:O136"/>
    <mergeCell ref="J135:J137"/>
    <mergeCell ref="K172:K174"/>
    <mergeCell ref="G124:G126"/>
    <mergeCell ref="G146:G148"/>
    <mergeCell ref="K159:K161"/>
    <mergeCell ref="I172:I174"/>
    <mergeCell ref="H172:H174"/>
    <mergeCell ref="I124:I126"/>
    <mergeCell ref="J172:J174"/>
    <mergeCell ref="B1:I1"/>
    <mergeCell ref="G32:G34"/>
    <mergeCell ref="B32:B34"/>
    <mergeCell ref="E32:E34"/>
    <mergeCell ref="C32:C34"/>
    <mergeCell ref="G101:G103"/>
    <mergeCell ref="I101:I103"/>
    <mergeCell ref="I79:I81"/>
    <mergeCell ref="G79:G81"/>
    <mergeCell ref="H32:H34"/>
    <mergeCell ref="D32:D34"/>
    <mergeCell ref="B3:I3"/>
    <mergeCell ref="B5:I5"/>
    <mergeCell ref="L33:O33"/>
    <mergeCell ref="J124:J126"/>
    <mergeCell ref="K124:K126"/>
    <mergeCell ref="L124:O124"/>
    <mergeCell ref="L102:O102"/>
    <mergeCell ref="J15:J17"/>
    <mergeCell ref="K242:K244"/>
    <mergeCell ref="L242:O242"/>
    <mergeCell ref="A242:A244"/>
    <mergeCell ref="B242:B244"/>
    <mergeCell ref="C242:C244"/>
    <mergeCell ref="D242:D244"/>
    <mergeCell ref="E242:E244"/>
    <mergeCell ref="F242:F244"/>
    <mergeCell ref="L243:O243"/>
    <mergeCell ref="A292:A294"/>
    <mergeCell ref="B292:B294"/>
    <mergeCell ref="C292:C294"/>
    <mergeCell ref="D292:D294"/>
    <mergeCell ref="E292:E294"/>
    <mergeCell ref="F292:F294"/>
    <mergeCell ref="G292:G294"/>
    <mergeCell ref="H292:H294"/>
    <mergeCell ref="I292:I294"/>
    <mergeCell ref="J292:J294"/>
    <mergeCell ref="K292:K294"/>
    <mergeCell ref="L292:O292"/>
    <mergeCell ref="S293:S294"/>
    <mergeCell ref="P292:S292"/>
    <mergeCell ref="T292:T294"/>
    <mergeCell ref="L293:L294"/>
    <mergeCell ref="M293:M294"/>
    <mergeCell ref="N293:N294"/>
    <mergeCell ref="O293:O294"/>
    <mergeCell ref="P293:P294"/>
    <mergeCell ref="Q293:Q294"/>
    <mergeCell ref="R293:R294"/>
  </mergeCells>
  <printOptions/>
  <pageMargins left="0.7" right="0.7" top="0.75" bottom="0.75" header="0.3" footer="0.3"/>
  <pageSetup horizontalDpi="600" verticalDpi="600" orientation="portrait" paperSize="9" r:id="rId1"/>
  <ignoredErrors>
    <ignoredError sqref="O1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"/>
  <sheetViews>
    <sheetView zoomScale="80" zoomScaleNormal="80" zoomScalePageLayoutView="0" workbookViewId="0" topLeftCell="F139">
      <selection activeCell="G141" sqref="G141"/>
    </sheetView>
  </sheetViews>
  <sheetFormatPr defaultColWidth="8.796875" defaultRowHeight="14.25"/>
  <cols>
    <col min="1" max="1" width="11.59765625" style="0" customWidth="1"/>
    <col min="2" max="3" width="14.3984375" style="0" customWidth="1"/>
    <col min="4" max="4" width="14.09765625" style="0" customWidth="1"/>
    <col min="5" max="5" width="10.8984375" style="0" customWidth="1"/>
    <col min="7" max="7" width="18.59765625" style="0" customWidth="1"/>
    <col min="8" max="8" width="28.19921875" style="0" customWidth="1"/>
    <col min="9" max="9" width="18.8984375" style="0" customWidth="1"/>
    <col min="10" max="10" width="12.5" style="0" customWidth="1"/>
    <col min="11" max="11" width="11" style="0" customWidth="1"/>
    <col min="12" max="12" width="15.8984375" style="0" customWidth="1"/>
    <col min="13" max="13" width="16.59765625" style="0" customWidth="1"/>
    <col min="14" max="14" width="17.5" style="0" customWidth="1"/>
    <col min="15" max="15" width="16.09765625" style="0" customWidth="1"/>
    <col min="16" max="16" width="16.8984375" style="0" customWidth="1"/>
    <col min="17" max="19" width="18.09765625" style="0" customWidth="1"/>
    <col min="20" max="21" width="28" style="0" customWidth="1"/>
  </cols>
  <sheetData>
    <row r="1" spans="2:15" s="1" customFormat="1" ht="18">
      <c r="B1" s="1609" t="s">
        <v>1231</v>
      </c>
      <c r="C1" s="1609"/>
      <c r="D1" s="1609"/>
      <c r="E1" s="1609"/>
      <c r="F1" s="1609"/>
      <c r="G1" s="1609"/>
      <c r="H1" s="1609"/>
      <c r="I1" s="1609"/>
      <c r="J1" s="58"/>
      <c r="K1" s="60"/>
      <c r="L1" s="61"/>
      <c r="M1" s="61"/>
      <c r="N1" s="61"/>
      <c r="O1" s="61"/>
    </row>
    <row r="2" spans="2:15" s="1" customFormat="1" ht="15">
      <c r="B2" s="489"/>
      <c r="C2" s="489"/>
      <c r="D2" s="489"/>
      <c r="E2" s="489"/>
      <c r="F2" s="489"/>
      <c r="G2" s="489"/>
      <c r="H2" s="490"/>
      <c r="I2" s="489"/>
      <c r="J2" s="58"/>
      <c r="K2" s="60"/>
      <c r="L2" s="61"/>
      <c r="M2" s="61"/>
      <c r="N2" s="61"/>
      <c r="O2" s="61"/>
    </row>
    <row r="3" spans="2:15" s="1" customFormat="1" ht="28.5" customHeight="1">
      <c r="B3" s="1642" t="s">
        <v>0</v>
      </c>
      <c r="C3" s="1643"/>
      <c r="D3" s="1643"/>
      <c r="E3" s="1643"/>
      <c r="F3" s="1643"/>
      <c r="G3" s="1643"/>
      <c r="H3" s="1643"/>
      <c r="I3" s="1644"/>
      <c r="J3" s="58"/>
      <c r="K3" s="60"/>
      <c r="L3" s="61"/>
      <c r="M3" s="61"/>
      <c r="N3" s="61"/>
      <c r="O3" s="61"/>
    </row>
    <row r="4" spans="2:15" s="1" customFormat="1" ht="15">
      <c r="B4" s="487"/>
      <c r="C4" s="487"/>
      <c r="D4" s="487"/>
      <c r="E4" s="487"/>
      <c r="F4" s="487"/>
      <c r="G4" s="487"/>
      <c r="H4" s="487"/>
      <c r="I4" s="487"/>
      <c r="J4" s="58"/>
      <c r="K4" s="60"/>
      <c r="L4" s="61"/>
      <c r="M4" s="61"/>
      <c r="N4" s="61"/>
      <c r="O4" s="61"/>
    </row>
    <row r="5" spans="2:15" s="1" customFormat="1" ht="15">
      <c r="B5" s="1605" t="s">
        <v>1103</v>
      </c>
      <c r="C5" s="1605"/>
      <c r="D5" s="1605"/>
      <c r="E5" s="1605"/>
      <c r="F5" s="1605"/>
      <c r="G5" s="1605"/>
      <c r="H5" s="1605"/>
      <c r="I5" s="1605"/>
      <c r="J5" s="58"/>
      <c r="K5" s="60"/>
      <c r="L5" s="61"/>
      <c r="M5" s="61"/>
      <c r="N5" s="61"/>
      <c r="O5" s="61"/>
    </row>
    <row r="6" spans="2:15" s="1" customFormat="1" ht="15">
      <c r="B6" s="487"/>
      <c r="C6" s="487"/>
      <c r="D6" s="487"/>
      <c r="E6" s="487"/>
      <c r="F6" s="487"/>
      <c r="G6" s="487"/>
      <c r="H6" s="490"/>
      <c r="I6" s="489"/>
      <c r="J6" s="58"/>
      <c r="K6" s="60"/>
      <c r="L6" s="61"/>
      <c r="M6" s="61"/>
      <c r="N6" s="61"/>
      <c r="O6" s="61"/>
    </row>
    <row r="7" spans="2:15" s="1" customFormat="1" ht="15.75">
      <c r="B7" s="488" t="s">
        <v>1</v>
      </c>
      <c r="C7" s="489"/>
      <c r="D7" s="487"/>
      <c r="E7" s="487"/>
      <c r="F7" s="487"/>
      <c r="G7" s="489"/>
      <c r="H7" s="490"/>
      <c r="I7" s="489"/>
      <c r="J7" s="58"/>
      <c r="K7" s="60"/>
      <c r="L7" s="61"/>
      <c r="M7" s="61"/>
      <c r="N7" s="61"/>
      <c r="O7" s="61"/>
    </row>
    <row r="8" spans="1:15" ht="23.25" customHeight="1">
      <c r="A8" s="1"/>
      <c r="B8" s="1389" t="s">
        <v>1833</v>
      </c>
      <c r="C8" s="489"/>
      <c r="D8" s="487"/>
      <c r="E8" s="487"/>
      <c r="F8" s="487"/>
      <c r="G8" s="489"/>
      <c r="H8" s="490"/>
      <c r="I8" s="489"/>
      <c r="J8" s="58"/>
      <c r="K8" s="60"/>
      <c r="L8" s="61"/>
      <c r="M8" s="61"/>
      <c r="N8" s="61"/>
      <c r="O8" s="61"/>
    </row>
    <row r="9" spans="1:15" ht="20.25">
      <c r="A9" s="1"/>
      <c r="B9" s="491" t="s">
        <v>1535</v>
      </c>
      <c r="C9" s="489"/>
      <c r="D9" s="492"/>
      <c r="E9" s="487"/>
      <c r="F9" s="487"/>
      <c r="G9" s="489"/>
      <c r="H9" s="490"/>
      <c r="I9" s="489"/>
      <c r="J9" s="62"/>
      <c r="K9" s="59"/>
      <c r="L9" s="59"/>
      <c r="M9" s="59"/>
      <c r="N9" s="59"/>
      <c r="O9" s="59"/>
    </row>
    <row r="10" spans="1:15" ht="20.25">
      <c r="A10" s="1"/>
      <c r="B10" s="491" t="s">
        <v>1096</v>
      </c>
      <c r="C10" s="489"/>
      <c r="D10" s="492"/>
      <c r="E10" s="487"/>
      <c r="F10" s="487"/>
      <c r="G10" s="489"/>
      <c r="H10" s="490"/>
      <c r="I10" s="489"/>
      <c r="J10" s="62"/>
      <c r="K10" s="59"/>
      <c r="L10" s="59"/>
      <c r="M10" s="59"/>
      <c r="N10" s="59"/>
      <c r="O10" s="59"/>
    </row>
    <row r="11" spans="1:15" ht="20.25">
      <c r="A11" s="1"/>
      <c r="B11" s="489" t="s">
        <v>1095</v>
      </c>
      <c r="C11" s="489"/>
      <c r="D11" s="489"/>
      <c r="E11" s="489"/>
      <c r="F11" s="489"/>
      <c r="G11" s="489"/>
      <c r="H11" s="490"/>
      <c r="I11" s="489"/>
      <c r="J11" s="62"/>
      <c r="K11" s="59"/>
      <c r="L11" s="59"/>
      <c r="M11" s="59"/>
      <c r="N11" s="59"/>
      <c r="O11" s="59"/>
    </row>
    <row r="12" spans="1:15" ht="15.75">
      <c r="A12" s="1"/>
      <c r="B12" s="493"/>
      <c r="C12" s="494"/>
      <c r="D12" s="492"/>
      <c r="E12" s="492"/>
      <c r="F12" s="492"/>
      <c r="G12" s="492"/>
      <c r="H12" s="489"/>
      <c r="I12" s="489"/>
      <c r="J12" s="59"/>
      <c r="K12" s="59"/>
      <c r="L12" s="59"/>
      <c r="M12" s="59"/>
      <c r="N12" s="59"/>
      <c r="O12" s="59"/>
    </row>
    <row r="13" spans="1:15" ht="15.75">
      <c r="A13" s="1"/>
      <c r="B13" s="493" t="s">
        <v>5</v>
      </c>
      <c r="C13" s="488" t="s">
        <v>6</v>
      </c>
      <c r="D13" s="492"/>
      <c r="E13" s="492"/>
      <c r="F13" s="492"/>
      <c r="G13" s="492"/>
      <c r="H13" s="489"/>
      <c r="I13" s="489"/>
      <c r="J13" s="59"/>
      <c r="K13" s="59"/>
      <c r="L13" s="59"/>
      <c r="M13" s="59"/>
      <c r="N13" s="59"/>
      <c r="O13" s="59"/>
    </row>
    <row r="14" spans="2:7" s="1" customFormat="1" ht="15.75" thickBot="1">
      <c r="B14" s="38"/>
      <c r="C14" s="45"/>
      <c r="D14" s="55"/>
      <c r="E14" s="56"/>
      <c r="F14" s="56"/>
      <c r="G14" s="56"/>
    </row>
    <row r="15" spans="1:15" s="1" customFormat="1" ht="44.25" customHeight="1">
      <c r="A15" s="1588" t="s">
        <v>7</v>
      </c>
      <c r="B15" s="1591" t="s">
        <v>664</v>
      </c>
      <c r="C15" s="1594" t="s">
        <v>9</v>
      </c>
      <c r="D15" s="1594" t="s">
        <v>10</v>
      </c>
      <c r="E15" s="1574" t="s">
        <v>665</v>
      </c>
      <c r="F15" s="1574" t="s">
        <v>12</v>
      </c>
      <c r="G15" s="1594" t="s">
        <v>13</v>
      </c>
      <c r="H15" s="1574" t="s">
        <v>14</v>
      </c>
      <c r="I15" s="1574" t="s">
        <v>282</v>
      </c>
      <c r="J15" s="1574" t="s">
        <v>60</v>
      </c>
      <c r="K15" s="1583" t="s">
        <v>666</v>
      </c>
      <c r="L15" s="1640" t="s">
        <v>667</v>
      </c>
      <c r="M15" s="1634"/>
      <c r="N15" s="1634"/>
      <c r="O15" s="1641"/>
    </row>
    <row r="16" spans="1:15" s="1" customFormat="1" ht="39" customHeight="1">
      <c r="A16" s="1589"/>
      <c r="B16" s="1592"/>
      <c r="C16" s="1595"/>
      <c r="D16" s="1595"/>
      <c r="E16" s="1575"/>
      <c r="F16" s="1575"/>
      <c r="G16" s="1595"/>
      <c r="H16" s="1575"/>
      <c r="I16" s="1613"/>
      <c r="J16" s="1575"/>
      <c r="K16" s="1584"/>
      <c r="L16" s="1597" t="s">
        <v>668</v>
      </c>
      <c r="M16" s="1568"/>
      <c r="N16" s="1568"/>
      <c r="O16" s="1598"/>
    </row>
    <row r="17" spans="1:15" s="1" customFormat="1" ht="30" customHeight="1" thickBot="1">
      <c r="A17" s="1590"/>
      <c r="B17" s="1593"/>
      <c r="C17" s="1596"/>
      <c r="D17" s="1596"/>
      <c r="E17" s="1576"/>
      <c r="F17" s="1576"/>
      <c r="G17" s="1596"/>
      <c r="H17" s="1576"/>
      <c r="I17" s="1614"/>
      <c r="J17" s="1576"/>
      <c r="K17" s="1585"/>
      <c r="L17" s="566" t="s">
        <v>669</v>
      </c>
      <c r="M17" s="567" t="s">
        <v>670</v>
      </c>
      <c r="N17" s="567" t="s">
        <v>671</v>
      </c>
      <c r="O17" s="565" t="s">
        <v>17</v>
      </c>
    </row>
    <row r="18" spans="1:15" s="1" customFormat="1" ht="30" thickBot="1">
      <c r="A18" s="615" t="s">
        <v>27</v>
      </c>
      <c r="B18" s="184"/>
      <c r="C18" s="1143" t="s">
        <v>19</v>
      </c>
      <c r="D18" s="1144" t="s">
        <v>20</v>
      </c>
      <c r="E18" s="1120">
        <v>4</v>
      </c>
      <c r="F18" s="1145" t="s">
        <v>21</v>
      </c>
      <c r="G18" s="1150" t="s">
        <v>19</v>
      </c>
      <c r="H18" s="1141" t="s">
        <v>1110</v>
      </c>
      <c r="I18" s="372">
        <v>4143434</v>
      </c>
      <c r="J18" s="1151" t="s">
        <v>22</v>
      </c>
      <c r="K18" s="49">
        <v>50</v>
      </c>
      <c r="L18" s="275">
        <v>108636</v>
      </c>
      <c r="M18" s="276"/>
      <c r="N18" s="276"/>
      <c r="O18" s="275">
        <f>L18</f>
        <v>108636</v>
      </c>
    </row>
    <row r="19" spans="2:15" s="1" customFormat="1" ht="15">
      <c r="B19" s="10" t="s">
        <v>23</v>
      </c>
      <c r="C19" s="11" t="s">
        <v>836</v>
      </c>
      <c r="D19" s="44"/>
      <c r="E19" s="445"/>
      <c r="F19" s="445"/>
      <c r="G19" s="10" t="s">
        <v>1719</v>
      </c>
      <c r="H19" s="11" t="s">
        <v>835</v>
      </c>
      <c r="I19" s="11"/>
      <c r="J19" s="12"/>
      <c r="L19" s="33"/>
      <c r="M19" s="33"/>
      <c r="N19" s="213" t="s">
        <v>24</v>
      </c>
      <c r="O19" s="616">
        <f>SUM(O16:O18)</f>
        <v>108636</v>
      </c>
    </row>
    <row r="20" spans="2:10" s="1" customFormat="1" ht="15">
      <c r="B20" s="13"/>
      <c r="C20" s="14" t="s">
        <v>34</v>
      </c>
      <c r="D20" s="42"/>
      <c r="E20" s="445"/>
      <c r="F20" s="445"/>
      <c r="G20" s="16"/>
      <c r="H20" s="45" t="s">
        <v>25</v>
      </c>
      <c r="I20" s="14"/>
      <c r="J20" s="15"/>
    </row>
    <row r="21" spans="2:10" s="1" customFormat="1" ht="15">
      <c r="B21" s="13"/>
      <c r="C21" s="14" t="s">
        <v>26</v>
      </c>
      <c r="D21" s="42"/>
      <c r="E21" s="56"/>
      <c r="F21" s="56"/>
      <c r="G21" s="16"/>
      <c r="H21" s="45" t="s">
        <v>26</v>
      </c>
      <c r="I21" s="14"/>
      <c r="J21" s="15"/>
    </row>
    <row r="22" spans="2:10" s="1" customFormat="1" ht="15.75" thickBot="1">
      <c r="B22" s="571" t="s">
        <v>169</v>
      </c>
      <c r="C22" s="600">
        <v>8222342426</v>
      </c>
      <c r="D22" s="42"/>
      <c r="E22" s="56"/>
      <c r="F22" s="56"/>
      <c r="G22" s="447"/>
      <c r="H22" s="456"/>
      <c r="I22" s="17"/>
      <c r="J22" s="18"/>
    </row>
    <row r="23" spans="2:8" s="1" customFormat="1" ht="15.75" thickBot="1">
      <c r="B23" s="447"/>
      <c r="C23" s="99"/>
      <c r="D23" s="43"/>
      <c r="E23" s="56"/>
      <c r="F23" s="56"/>
      <c r="G23" s="614"/>
      <c r="H23" s="70"/>
    </row>
    <row r="24" spans="2:7" s="1" customFormat="1" ht="14.25">
      <c r="B24" s="56"/>
      <c r="C24" s="55"/>
      <c r="D24" s="55"/>
      <c r="E24" s="56"/>
      <c r="F24" s="56"/>
      <c r="G24" s="56"/>
    </row>
    <row r="25" spans="1:15" ht="15" thickBot="1">
      <c r="A25" s="5"/>
      <c r="B25" s="1"/>
      <c r="C25" s="55"/>
      <c r="D25" s="55"/>
      <c r="E25" s="56"/>
      <c r="F25" s="1"/>
      <c r="G25" s="2"/>
      <c r="H25" s="1"/>
      <c r="I25" s="1"/>
      <c r="J25" s="5"/>
      <c r="K25" s="7"/>
      <c r="L25" s="33"/>
      <c r="M25" s="33"/>
      <c r="N25" s="33"/>
      <c r="O25" s="33"/>
    </row>
    <row r="26" spans="1:15" ht="45" customHeight="1">
      <c r="A26" s="1588" t="s">
        <v>7</v>
      </c>
      <c r="B26" s="1591" t="s">
        <v>664</v>
      </c>
      <c r="C26" s="1594" t="s">
        <v>9</v>
      </c>
      <c r="D26" s="1594" t="s">
        <v>10</v>
      </c>
      <c r="E26" s="1574" t="s">
        <v>665</v>
      </c>
      <c r="F26" s="1574" t="s">
        <v>12</v>
      </c>
      <c r="G26" s="1594" t="s">
        <v>13</v>
      </c>
      <c r="H26" s="1574" t="s">
        <v>14</v>
      </c>
      <c r="I26" s="1574" t="s">
        <v>282</v>
      </c>
      <c r="J26" s="1574" t="s">
        <v>60</v>
      </c>
      <c r="K26" s="1583" t="s">
        <v>666</v>
      </c>
      <c r="L26" s="1640" t="s">
        <v>667</v>
      </c>
      <c r="M26" s="1634"/>
      <c r="N26" s="1634"/>
      <c r="O26" s="1641"/>
    </row>
    <row r="27" spans="1:15" ht="33" customHeight="1">
      <c r="A27" s="1589"/>
      <c r="B27" s="1592"/>
      <c r="C27" s="1595"/>
      <c r="D27" s="1595"/>
      <c r="E27" s="1575"/>
      <c r="F27" s="1575"/>
      <c r="G27" s="1595"/>
      <c r="H27" s="1575"/>
      <c r="I27" s="1613"/>
      <c r="J27" s="1575"/>
      <c r="K27" s="1584"/>
      <c r="L27" s="1597" t="s">
        <v>668</v>
      </c>
      <c r="M27" s="1568"/>
      <c r="N27" s="1568"/>
      <c r="O27" s="1598"/>
    </row>
    <row r="28" spans="1:15" ht="28.5" customHeight="1" thickBot="1">
      <c r="A28" s="1590"/>
      <c r="B28" s="1593"/>
      <c r="C28" s="1596"/>
      <c r="D28" s="1596"/>
      <c r="E28" s="1576"/>
      <c r="F28" s="1576"/>
      <c r="G28" s="1596"/>
      <c r="H28" s="1576"/>
      <c r="I28" s="1614"/>
      <c r="J28" s="1576"/>
      <c r="K28" s="1585"/>
      <c r="L28" s="270" t="s">
        <v>669</v>
      </c>
      <c r="M28" s="271" t="s">
        <v>670</v>
      </c>
      <c r="N28" s="271" t="s">
        <v>671</v>
      </c>
      <c r="O28" s="272" t="s">
        <v>17</v>
      </c>
    </row>
    <row r="29" spans="1:15" ht="29.25">
      <c r="A29" s="570" t="s">
        <v>27</v>
      </c>
      <c r="B29" s="4"/>
      <c r="C29" s="3" t="s">
        <v>19</v>
      </c>
      <c r="D29" s="3" t="s">
        <v>30</v>
      </c>
      <c r="E29" s="4">
        <v>3</v>
      </c>
      <c r="F29" s="4" t="s">
        <v>21</v>
      </c>
      <c r="G29" s="3" t="s">
        <v>19</v>
      </c>
      <c r="H29" s="719" t="s">
        <v>31</v>
      </c>
      <c r="I29" s="24">
        <v>234584</v>
      </c>
      <c r="J29" s="398" t="s">
        <v>29</v>
      </c>
      <c r="K29" s="8">
        <v>21</v>
      </c>
      <c r="L29" s="844">
        <v>160000</v>
      </c>
      <c r="M29" s="35"/>
      <c r="N29" s="35"/>
      <c r="O29" s="34">
        <f>L29</f>
        <v>160000</v>
      </c>
    </row>
    <row r="30" spans="1:15" ht="30" thickBot="1">
      <c r="A30" s="570" t="s">
        <v>27</v>
      </c>
      <c r="B30" s="6"/>
      <c r="C30" s="9" t="s">
        <v>19</v>
      </c>
      <c r="D30" s="9" t="s">
        <v>32</v>
      </c>
      <c r="E30" s="4">
        <v>16</v>
      </c>
      <c r="F30" s="4" t="s">
        <v>21</v>
      </c>
      <c r="G30" s="9" t="s">
        <v>19</v>
      </c>
      <c r="H30" s="797" t="s">
        <v>33</v>
      </c>
      <c r="I30" s="24">
        <v>439857</v>
      </c>
      <c r="J30" s="398" t="s">
        <v>29</v>
      </c>
      <c r="K30" s="8">
        <v>26</v>
      </c>
      <c r="L30" s="844">
        <v>50000</v>
      </c>
      <c r="M30" s="35"/>
      <c r="N30" s="35"/>
      <c r="O30" s="34">
        <f>L30</f>
        <v>50000</v>
      </c>
    </row>
    <row r="31" spans="1:15" ht="15">
      <c r="A31" s="1"/>
      <c r="B31" s="10" t="s">
        <v>23</v>
      </c>
      <c r="C31" s="11" t="s">
        <v>836</v>
      </c>
      <c r="D31" s="44"/>
      <c r="E31" s="20"/>
      <c r="F31" s="14"/>
      <c r="G31" s="10" t="s">
        <v>1719</v>
      </c>
      <c r="H31" s="12" t="s">
        <v>1754</v>
      </c>
      <c r="I31" s="1"/>
      <c r="J31" s="1"/>
      <c r="K31" s="1"/>
      <c r="L31" s="33"/>
      <c r="M31" s="33"/>
      <c r="N31" s="34" t="s">
        <v>24</v>
      </c>
      <c r="O31" s="574">
        <f>SUM(O29:O30)</f>
        <v>210000</v>
      </c>
    </row>
    <row r="32" spans="1:15" ht="15">
      <c r="A32" s="1"/>
      <c r="B32" s="13"/>
      <c r="C32" s="14" t="s">
        <v>34</v>
      </c>
      <c r="D32" s="42"/>
      <c r="E32" s="20"/>
      <c r="F32" s="14"/>
      <c r="G32" s="13"/>
      <c r="H32" s="15" t="s">
        <v>34</v>
      </c>
      <c r="I32" s="1"/>
      <c r="J32" s="1"/>
      <c r="K32" s="1"/>
      <c r="L32" s="33"/>
      <c r="M32" s="33"/>
      <c r="N32" s="33"/>
      <c r="O32" s="33"/>
    </row>
    <row r="33" spans="1:15" ht="15">
      <c r="A33" s="1"/>
      <c r="B33" s="13"/>
      <c r="C33" s="14" t="s">
        <v>26</v>
      </c>
      <c r="D33" s="42"/>
      <c r="E33" s="20"/>
      <c r="F33" s="14"/>
      <c r="G33" s="13"/>
      <c r="H33" s="15" t="s">
        <v>26</v>
      </c>
      <c r="I33" s="1"/>
      <c r="J33" s="1"/>
      <c r="K33" s="1"/>
      <c r="L33" s="33"/>
      <c r="M33" s="1"/>
      <c r="N33" s="1"/>
      <c r="O33" s="1"/>
    </row>
    <row r="34" spans="1:15" ht="15.75" thickBot="1">
      <c r="A34" s="1"/>
      <c r="B34" s="571" t="s">
        <v>169</v>
      </c>
      <c r="C34" s="600">
        <v>8222342426</v>
      </c>
      <c r="D34" s="42"/>
      <c r="E34" s="20"/>
      <c r="F34" s="14"/>
      <c r="G34" s="447"/>
      <c r="H34" s="1139"/>
      <c r="I34" s="1"/>
      <c r="J34" s="1"/>
      <c r="K34" s="1"/>
      <c r="L34" s="1"/>
      <c r="M34" s="1"/>
      <c r="N34" s="1"/>
      <c r="O34" s="1"/>
    </row>
    <row r="35" spans="2:8" s="1" customFormat="1" ht="15.75" thickBot="1">
      <c r="B35" s="447"/>
      <c r="C35" s="99"/>
      <c r="D35" s="43"/>
      <c r="E35" s="14"/>
      <c r="F35" s="56"/>
      <c r="G35" s="595"/>
      <c r="H35" s="70"/>
    </row>
    <row r="36" ht="15" thickBot="1"/>
    <row r="37" spans="1:15" ht="41.25" customHeight="1">
      <c r="A37" s="1588" t="s">
        <v>7</v>
      </c>
      <c r="B37" s="1591" t="s">
        <v>664</v>
      </c>
      <c r="C37" s="1594" t="s">
        <v>9</v>
      </c>
      <c r="D37" s="1594" t="s">
        <v>10</v>
      </c>
      <c r="E37" s="1574" t="s">
        <v>665</v>
      </c>
      <c r="F37" s="1574" t="s">
        <v>12</v>
      </c>
      <c r="G37" s="1594" t="s">
        <v>13</v>
      </c>
      <c r="H37" s="1574" t="s">
        <v>14</v>
      </c>
      <c r="I37" s="1574" t="s">
        <v>282</v>
      </c>
      <c r="J37" s="1574" t="s">
        <v>60</v>
      </c>
      <c r="K37" s="1583" t="s">
        <v>666</v>
      </c>
      <c r="L37" s="1640" t="s">
        <v>667</v>
      </c>
      <c r="M37" s="1634"/>
      <c r="N37" s="1634"/>
      <c r="O37" s="1641"/>
    </row>
    <row r="38" spans="1:15" ht="36.75" customHeight="1">
      <c r="A38" s="1589"/>
      <c r="B38" s="1592"/>
      <c r="C38" s="1595"/>
      <c r="D38" s="1595"/>
      <c r="E38" s="1575"/>
      <c r="F38" s="1575"/>
      <c r="G38" s="1595"/>
      <c r="H38" s="1575"/>
      <c r="I38" s="1613"/>
      <c r="J38" s="1575"/>
      <c r="K38" s="1584"/>
      <c r="L38" s="1597" t="s">
        <v>668</v>
      </c>
      <c r="M38" s="1568"/>
      <c r="N38" s="1568"/>
      <c r="O38" s="1598"/>
    </row>
    <row r="39" spans="1:15" ht="28.5" customHeight="1" thickBot="1">
      <c r="A39" s="1590"/>
      <c r="B39" s="1593"/>
      <c r="C39" s="1596"/>
      <c r="D39" s="1596"/>
      <c r="E39" s="1576"/>
      <c r="F39" s="1576"/>
      <c r="G39" s="1596"/>
      <c r="H39" s="1576"/>
      <c r="I39" s="1614"/>
      <c r="J39" s="1576"/>
      <c r="K39" s="1585"/>
      <c r="L39" s="270" t="s">
        <v>669</v>
      </c>
      <c r="M39" s="271" t="s">
        <v>670</v>
      </c>
      <c r="N39" s="271" t="s">
        <v>671</v>
      </c>
      <c r="O39" s="272" t="s">
        <v>17</v>
      </c>
    </row>
    <row r="40" spans="1:15" ht="29.25">
      <c r="A40" s="570" t="s">
        <v>27</v>
      </c>
      <c r="B40" s="4"/>
      <c r="C40" s="3" t="s">
        <v>19</v>
      </c>
      <c r="D40" s="3" t="s">
        <v>35</v>
      </c>
      <c r="E40" s="4" t="s">
        <v>36</v>
      </c>
      <c r="F40" s="4" t="s">
        <v>21</v>
      </c>
      <c r="G40" s="3" t="s">
        <v>19</v>
      </c>
      <c r="H40" s="719" t="s">
        <v>37</v>
      </c>
      <c r="I40" s="24">
        <v>3516118</v>
      </c>
      <c r="J40" s="398" t="s">
        <v>29</v>
      </c>
      <c r="K40" s="8">
        <v>16</v>
      </c>
      <c r="L40" s="36">
        <v>49200</v>
      </c>
      <c r="M40" s="35"/>
      <c r="N40" s="35"/>
      <c r="O40" s="34">
        <f>L40</f>
        <v>49200</v>
      </c>
    </row>
    <row r="41" spans="1:16" ht="30" thickBot="1">
      <c r="A41" s="570" t="s">
        <v>27</v>
      </c>
      <c r="B41" s="4"/>
      <c r="C41" s="3" t="s">
        <v>19</v>
      </c>
      <c r="D41" s="3" t="s">
        <v>35</v>
      </c>
      <c r="E41" s="4" t="s">
        <v>36</v>
      </c>
      <c r="F41" s="4" t="s">
        <v>38</v>
      </c>
      <c r="G41" s="9" t="s">
        <v>19</v>
      </c>
      <c r="H41" s="797" t="s">
        <v>39</v>
      </c>
      <c r="I41" s="1152">
        <v>234587</v>
      </c>
      <c r="J41" s="1153" t="s">
        <v>29</v>
      </c>
      <c r="K41" s="845">
        <v>7</v>
      </c>
      <c r="L41" s="844">
        <v>50600</v>
      </c>
      <c r="M41" s="35"/>
      <c r="N41" s="35"/>
      <c r="O41" s="36">
        <f>L41</f>
        <v>50600</v>
      </c>
      <c r="P41" s="2"/>
    </row>
    <row r="42" spans="1:15" ht="15">
      <c r="A42" s="1"/>
      <c r="B42" s="10" t="s">
        <v>23</v>
      </c>
      <c r="C42" s="11" t="s">
        <v>836</v>
      </c>
      <c r="D42" s="44"/>
      <c r="E42" s="20"/>
      <c r="F42" s="14"/>
      <c r="G42" s="10" t="s">
        <v>1719</v>
      </c>
      <c r="H42" s="11" t="s">
        <v>841</v>
      </c>
      <c r="I42" s="11"/>
      <c r="J42" s="12"/>
      <c r="K42" s="1"/>
      <c r="L42" s="33"/>
      <c r="M42" s="33"/>
      <c r="N42" s="34" t="s">
        <v>24</v>
      </c>
      <c r="O42" s="574">
        <f>SUM(O40:O41)</f>
        <v>99800</v>
      </c>
    </row>
    <row r="43" spans="1:15" ht="15">
      <c r="A43" s="1"/>
      <c r="B43" s="13"/>
      <c r="C43" s="14" t="s">
        <v>34</v>
      </c>
      <c r="D43" s="42"/>
      <c r="E43" s="20"/>
      <c r="F43" s="14"/>
      <c r="G43" s="13"/>
      <c r="H43" s="14" t="s">
        <v>40</v>
      </c>
      <c r="I43" s="14"/>
      <c r="J43" s="15"/>
      <c r="K43" s="1"/>
      <c r="L43" s="33"/>
      <c r="M43" s="33"/>
      <c r="N43" s="33"/>
      <c r="O43" s="33"/>
    </row>
    <row r="44" spans="1:15" ht="15">
      <c r="A44" s="1"/>
      <c r="B44" s="13"/>
      <c r="C44" s="14" t="s">
        <v>26</v>
      </c>
      <c r="D44" s="42"/>
      <c r="E44" s="20"/>
      <c r="F44" s="14"/>
      <c r="G44" s="13"/>
      <c r="H44" s="14" t="s">
        <v>41</v>
      </c>
      <c r="I44" s="14"/>
      <c r="J44" s="15"/>
      <c r="K44" s="1"/>
      <c r="L44" s="1"/>
      <c r="M44" s="1"/>
      <c r="N44" s="1"/>
      <c r="O44" s="1"/>
    </row>
    <row r="45" spans="1:15" ht="15">
      <c r="A45" s="1"/>
      <c r="B45" s="571" t="s">
        <v>169</v>
      </c>
      <c r="C45" s="600">
        <v>8222342426</v>
      </c>
      <c r="D45" s="42"/>
      <c r="E45" s="20"/>
      <c r="F45" s="14"/>
      <c r="G45" s="13"/>
      <c r="H45" s="45" t="s">
        <v>26</v>
      </c>
      <c r="I45" s="14"/>
      <c r="J45" s="15"/>
      <c r="K45" s="1"/>
      <c r="L45" s="1"/>
      <c r="M45" s="1"/>
      <c r="N45" s="1"/>
      <c r="O45" s="1"/>
    </row>
    <row r="46" spans="1:15" ht="15.75" thickBot="1">
      <c r="A46" s="1"/>
      <c r="B46" s="447"/>
      <c r="C46" s="99"/>
      <c r="D46" s="43"/>
      <c r="E46" s="20"/>
      <c r="F46" s="14"/>
      <c r="G46" s="447"/>
      <c r="H46" s="456"/>
      <c r="I46" s="17"/>
      <c r="J46" s="18"/>
      <c r="K46" s="1"/>
      <c r="L46" s="1"/>
      <c r="M46" s="1"/>
      <c r="N46" s="1"/>
      <c r="O46" s="1"/>
    </row>
    <row r="47" spans="4:8" ht="15">
      <c r="D47" s="56"/>
      <c r="E47" s="56"/>
      <c r="F47" s="56"/>
      <c r="G47" s="595"/>
      <c r="H47" s="14"/>
    </row>
    <row r="48" ht="15" thickBot="1"/>
    <row r="49" spans="1:15" ht="43.5" customHeight="1">
      <c r="A49" s="1588" t="s">
        <v>7</v>
      </c>
      <c r="B49" s="1591" t="s">
        <v>664</v>
      </c>
      <c r="C49" s="1594" t="s">
        <v>9</v>
      </c>
      <c r="D49" s="1594" t="s">
        <v>10</v>
      </c>
      <c r="E49" s="1574" t="s">
        <v>665</v>
      </c>
      <c r="F49" s="1574" t="s">
        <v>12</v>
      </c>
      <c r="G49" s="1594" t="s">
        <v>13</v>
      </c>
      <c r="H49" s="1574" t="s">
        <v>14</v>
      </c>
      <c r="I49" s="1574" t="s">
        <v>282</v>
      </c>
      <c r="J49" s="1574" t="s">
        <v>60</v>
      </c>
      <c r="K49" s="1583" t="s">
        <v>666</v>
      </c>
      <c r="L49" s="1640" t="s">
        <v>667</v>
      </c>
      <c r="M49" s="1634"/>
      <c r="N49" s="1634"/>
      <c r="O49" s="1641"/>
    </row>
    <row r="50" spans="1:15" ht="33" customHeight="1">
      <c r="A50" s="1589"/>
      <c r="B50" s="1592"/>
      <c r="C50" s="1595"/>
      <c r="D50" s="1595"/>
      <c r="E50" s="1575"/>
      <c r="F50" s="1575"/>
      <c r="G50" s="1595"/>
      <c r="H50" s="1575"/>
      <c r="I50" s="1613"/>
      <c r="J50" s="1575"/>
      <c r="K50" s="1584"/>
      <c r="L50" s="1597" t="s">
        <v>668</v>
      </c>
      <c r="M50" s="1568"/>
      <c r="N50" s="1568"/>
      <c r="O50" s="1598"/>
    </row>
    <row r="51" spans="1:15" ht="28.5" customHeight="1" thickBot="1">
      <c r="A51" s="1590"/>
      <c r="B51" s="1593"/>
      <c r="C51" s="1596"/>
      <c r="D51" s="1596"/>
      <c r="E51" s="1576"/>
      <c r="F51" s="1576"/>
      <c r="G51" s="1596"/>
      <c r="H51" s="1576"/>
      <c r="I51" s="1614"/>
      <c r="J51" s="1576"/>
      <c r="K51" s="1585"/>
      <c r="L51" s="270" t="s">
        <v>669</v>
      </c>
      <c r="M51" s="271" t="s">
        <v>670</v>
      </c>
      <c r="N51" s="271" t="s">
        <v>671</v>
      </c>
      <c r="O51" s="272" t="s">
        <v>17</v>
      </c>
    </row>
    <row r="52" spans="1:16" ht="30" thickBot="1">
      <c r="A52" s="570" t="s">
        <v>27</v>
      </c>
      <c r="B52" s="1120"/>
      <c r="C52" s="1144" t="s">
        <v>19</v>
      </c>
      <c r="D52" s="1144" t="s">
        <v>20</v>
      </c>
      <c r="E52" s="1120">
        <v>4</v>
      </c>
      <c r="F52" s="1120" t="s">
        <v>21</v>
      </c>
      <c r="G52" s="803" t="s">
        <v>19</v>
      </c>
      <c r="H52" s="797" t="s">
        <v>42</v>
      </c>
      <c r="I52" s="22">
        <v>909071</v>
      </c>
      <c r="J52" s="389" t="s">
        <v>22</v>
      </c>
      <c r="K52" s="8">
        <v>200</v>
      </c>
      <c r="L52" s="36">
        <f>(7850.39-4364.23)*100</f>
        <v>348616.00000000006</v>
      </c>
      <c r="M52" s="35"/>
      <c r="N52" s="35"/>
      <c r="O52" s="34">
        <f>L52</f>
        <v>348616.00000000006</v>
      </c>
      <c r="P52" s="2"/>
    </row>
    <row r="53" spans="1:15" ht="15">
      <c r="A53" s="1"/>
      <c r="B53" s="10" t="s">
        <v>23</v>
      </c>
      <c r="C53" s="11" t="s">
        <v>836</v>
      </c>
      <c r="D53" s="44"/>
      <c r="E53" s="20"/>
      <c r="F53" s="14"/>
      <c r="G53" s="10" t="s">
        <v>1719</v>
      </c>
      <c r="H53" s="11" t="s">
        <v>842</v>
      </c>
      <c r="I53" s="12"/>
      <c r="J53" s="1"/>
      <c r="K53" s="1"/>
      <c r="L53" s="33"/>
      <c r="M53" s="33"/>
      <c r="N53" s="34" t="s">
        <v>24</v>
      </c>
      <c r="O53" s="574">
        <f>SUM(O52)</f>
        <v>348616.00000000006</v>
      </c>
    </row>
    <row r="54" spans="1:15" ht="15">
      <c r="A54" s="1"/>
      <c r="B54" s="13"/>
      <c r="C54" s="14" t="s">
        <v>34</v>
      </c>
      <c r="D54" s="42"/>
      <c r="E54" s="20"/>
      <c r="F54" s="14"/>
      <c r="G54" s="13"/>
      <c r="H54" s="14" t="s">
        <v>43</v>
      </c>
      <c r="I54" s="15"/>
      <c r="J54" s="1"/>
      <c r="K54" s="1"/>
      <c r="L54" s="33"/>
      <c r="M54" s="33"/>
      <c r="N54" s="33"/>
      <c r="O54" s="33"/>
    </row>
    <row r="55" spans="1:15" ht="15">
      <c r="A55" s="1"/>
      <c r="B55" s="13"/>
      <c r="C55" s="14" t="s">
        <v>26</v>
      </c>
      <c r="D55" s="42"/>
      <c r="E55" s="20"/>
      <c r="F55" s="14"/>
      <c r="G55" s="13"/>
      <c r="H55" s="14" t="s">
        <v>25</v>
      </c>
      <c r="I55" s="15"/>
      <c r="J55" s="1"/>
      <c r="K55" s="1"/>
      <c r="L55" s="1"/>
      <c r="M55" s="1"/>
      <c r="N55" s="1"/>
      <c r="O55" s="1"/>
    </row>
    <row r="56" spans="1:15" ht="15">
      <c r="A56" s="1"/>
      <c r="B56" s="571" t="s">
        <v>169</v>
      </c>
      <c r="C56" s="600">
        <v>8222342426</v>
      </c>
      <c r="D56" s="42"/>
      <c r="E56" s="20"/>
      <c r="F56" s="14"/>
      <c r="G56" s="13"/>
      <c r="H56" s="45" t="s">
        <v>26</v>
      </c>
      <c r="I56" s="15"/>
      <c r="J56" s="1"/>
      <c r="K56" s="1"/>
      <c r="L56" s="1"/>
      <c r="M56" s="1"/>
      <c r="N56" s="1"/>
      <c r="O56" s="1"/>
    </row>
    <row r="57" spans="1:15" ht="15.75" thickBot="1">
      <c r="A57" s="1"/>
      <c r="B57" s="447"/>
      <c r="C57" s="99"/>
      <c r="D57" s="43"/>
      <c r="E57" s="20"/>
      <c r="F57" s="14"/>
      <c r="G57" s="447"/>
      <c r="H57" s="456"/>
      <c r="I57" s="18"/>
      <c r="J57" s="1"/>
      <c r="K57" s="1"/>
      <c r="L57" s="1"/>
      <c r="M57" s="1"/>
      <c r="N57" s="1"/>
      <c r="O57" s="1"/>
    </row>
    <row r="58" spans="4:8" ht="15">
      <c r="D58" s="56"/>
      <c r="E58" s="56"/>
      <c r="F58" s="56"/>
      <c r="G58" s="614"/>
      <c r="H58" s="14"/>
    </row>
    <row r="59" ht="15" thickBot="1"/>
    <row r="60" spans="1:15" ht="39.75" customHeight="1">
      <c r="A60" s="1588" t="s">
        <v>7</v>
      </c>
      <c r="B60" s="1591" t="s">
        <v>664</v>
      </c>
      <c r="C60" s="1594" t="s">
        <v>9</v>
      </c>
      <c r="D60" s="1594" t="s">
        <v>10</v>
      </c>
      <c r="E60" s="1574" t="s">
        <v>665</v>
      </c>
      <c r="F60" s="1574" t="s">
        <v>12</v>
      </c>
      <c r="G60" s="1594" t="s">
        <v>13</v>
      </c>
      <c r="H60" s="1574" t="s">
        <v>14</v>
      </c>
      <c r="I60" s="1574" t="s">
        <v>282</v>
      </c>
      <c r="J60" s="1574" t="s">
        <v>60</v>
      </c>
      <c r="K60" s="1583" t="s">
        <v>666</v>
      </c>
      <c r="L60" s="1640" t="s">
        <v>667</v>
      </c>
      <c r="M60" s="1634"/>
      <c r="N60" s="1634"/>
      <c r="O60" s="1641"/>
    </row>
    <row r="61" spans="1:15" ht="33" customHeight="1">
      <c r="A61" s="1589"/>
      <c r="B61" s="1592"/>
      <c r="C61" s="1595"/>
      <c r="D61" s="1595"/>
      <c r="E61" s="1575"/>
      <c r="F61" s="1575"/>
      <c r="G61" s="1595"/>
      <c r="H61" s="1575"/>
      <c r="I61" s="1613"/>
      <c r="J61" s="1575"/>
      <c r="K61" s="1584"/>
      <c r="L61" s="1597" t="s">
        <v>668</v>
      </c>
      <c r="M61" s="1568"/>
      <c r="N61" s="1568"/>
      <c r="O61" s="1598"/>
    </row>
    <row r="62" spans="1:15" ht="28.5" customHeight="1" thickBot="1">
      <c r="A62" s="1590"/>
      <c r="B62" s="1593"/>
      <c r="C62" s="1596"/>
      <c r="D62" s="1596"/>
      <c r="E62" s="1576"/>
      <c r="F62" s="1576"/>
      <c r="G62" s="1596"/>
      <c r="H62" s="1576"/>
      <c r="I62" s="1614"/>
      <c r="J62" s="1576"/>
      <c r="K62" s="1585"/>
      <c r="L62" s="270" t="s">
        <v>669</v>
      </c>
      <c r="M62" s="271" t="s">
        <v>670</v>
      </c>
      <c r="N62" s="271" t="s">
        <v>671</v>
      </c>
      <c r="O62" s="272" t="s">
        <v>17</v>
      </c>
    </row>
    <row r="63" spans="1:15" ht="29.25">
      <c r="A63" s="570" t="s">
        <v>27</v>
      </c>
      <c r="B63" s="4"/>
      <c r="C63" s="3" t="s">
        <v>19</v>
      </c>
      <c r="D63" s="3" t="s">
        <v>44</v>
      </c>
      <c r="E63" s="4">
        <v>1</v>
      </c>
      <c r="F63" s="4" t="s">
        <v>21</v>
      </c>
      <c r="G63" s="3" t="s">
        <v>19</v>
      </c>
      <c r="H63" s="719" t="s">
        <v>45</v>
      </c>
      <c r="I63" s="847">
        <v>4099747</v>
      </c>
      <c r="J63" s="389" t="s">
        <v>22</v>
      </c>
      <c r="K63" s="8">
        <v>60</v>
      </c>
      <c r="L63" s="846">
        <v>43990</v>
      </c>
      <c r="M63" s="35"/>
      <c r="N63" s="35"/>
      <c r="O63" s="34">
        <f>L63</f>
        <v>43990</v>
      </c>
    </row>
    <row r="64" spans="1:15" ht="29.25">
      <c r="A64" s="570" t="s">
        <v>27</v>
      </c>
      <c r="B64" s="4"/>
      <c r="C64" s="3" t="s">
        <v>19</v>
      </c>
      <c r="D64" s="3" t="s">
        <v>44</v>
      </c>
      <c r="E64" s="4">
        <v>1</v>
      </c>
      <c r="F64" s="4" t="s">
        <v>21</v>
      </c>
      <c r="G64" s="3" t="s">
        <v>19</v>
      </c>
      <c r="H64" s="719" t="s">
        <v>46</v>
      </c>
      <c r="I64" s="24">
        <v>1494923</v>
      </c>
      <c r="J64" s="398" t="s">
        <v>29</v>
      </c>
      <c r="K64" s="8">
        <v>3</v>
      </c>
      <c r="L64" s="846">
        <v>233</v>
      </c>
      <c r="M64" s="35"/>
      <c r="N64" s="35"/>
      <c r="O64" s="34">
        <f>L64</f>
        <v>233</v>
      </c>
    </row>
    <row r="65" spans="1:15" ht="30" thickBot="1">
      <c r="A65" s="570" t="s">
        <v>27</v>
      </c>
      <c r="B65" s="24"/>
      <c r="C65" s="25" t="s">
        <v>19</v>
      </c>
      <c r="D65" s="25" t="s">
        <v>44</v>
      </c>
      <c r="E65" s="24">
        <v>1</v>
      </c>
      <c r="F65" s="24" t="s">
        <v>21</v>
      </c>
      <c r="G65" s="23" t="s">
        <v>19</v>
      </c>
      <c r="H65" s="797" t="s">
        <v>47</v>
      </c>
      <c r="I65" s="22">
        <v>907602</v>
      </c>
      <c r="J65" s="417" t="s">
        <v>29</v>
      </c>
      <c r="K65" s="26">
        <v>20</v>
      </c>
      <c r="L65" s="846">
        <v>23215</v>
      </c>
      <c r="M65" s="35"/>
      <c r="N65" s="35"/>
      <c r="O65" s="34">
        <f>L65</f>
        <v>23215</v>
      </c>
    </row>
    <row r="66" spans="1:15" ht="15">
      <c r="A66" s="1"/>
      <c r="B66" s="10" t="s">
        <v>23</v>
      </c>
      <c r="C66" s="11" t="s">
        <v>836</v>
      </c>
      <c r="D66" s="44"/>
      <c r="E66" s="20"/>
      <c r="F66" s="14"/>
      <c r="G66" s="10" t="s">
        <v>1719</v>
      </c>
      <c r="H66" s="11" t="s">
        <v>837</v>
      </c>
      <c r="I66" s="12"/>
      <c r="J66" s="1"/>
      <c r="K66" s="1"/>
      <c r="L66" s="33"/>
      <c r="M66" s="33"/>
      <c r="N66" s="34" t="s">
        <v>24</v>
      </c>
      <c r="O66" s="574">
        <f>SUM(O63:O65)</f>
        <v>67438</v>
      </c>
    </row>
    <row r="67" spans="1:15" ht="15">
      <c r="A67" s="1"/>
      <c r="B67" s="13"/>
      <c r="C67" s="14" t="s">
        <v>34</v>
      </c>
      <c r="D67" s="42"/>
      <c r="E67" s="20"/>
      <c r="F67" s="14"/>
      <c r="G67" s="13"/>
      <c r="H67" s="14" t="s">
        <v>48</v>
      </c>
      <c r="I67" s="15"/>
      <c r="J67" s="1"/>
      <c r="K67" s="1"/>
      <c r="L67" s="33"/>
      <c r="M67" s="33"/>
      <c r="N67" s="33"/>
      <c r="O67" s="33"/>
    </row>
    <row r="68" spans="1:15" ht="15">
      <c r="A68" s="1"/>
      <c r="B68" s="13"/>
      <c r="C68" s="14" t="s">
        <v>26</v>
      </c>
      <c r="D68" s="42"/>
      <c r="E68" s="20"/>
      <c r="F68" s="14"/>
      <c r="G68" s="13"/>
      <c r="H68" s="14" t="s">
        <v>26</v>
      </c>
      <c r="I68" s="15"/>
      <c r="J68" s="1"/>
      <c r="K68" s="1"/>
      <c r="L68" s="1"/>
      <c r="M68" s="1"/>
      <c r="N68" s="1"/>
      <c r="O68" s="1"/>
    </row>
    <row r="69" spans="1:15" ht="15.75" thickBot="1">
      <c r="A69" s="1"/>
      <c r="B69" s="571" t="s">
        <v>169</v>
      </c>
      <c r="C69" s="600">
        <v>8222342426</v>
      </c>
      <c r="D69" s="42"/>
      <c r="E69" s="20"/>
      <c r="F69" s="14"/>
      <c r="G69" s="447"/>
      <c r="H69" s="456"/>
      <c r="I69" s="18"/>
      <c r="J69" s="1"/>
      <c r="K69" s="1"/>
      <c r="L69" s="1"/>
      <c r="M69" s="1"/>
      <c r="N69" s="1"/>
      <c r="O69" s="1"/>
    </row>
    <row r="70" spans="2:8" ht="15.75" thickBot="1">
      <c r="B70" s="447"/>
      <c r="C70" s="99"/>
      <c r="D70" s="43"/>
      <c r="E70" s="56"/>
      <c r="F70" s="56"/>
      <c r="G70" s="614"/>
      <c r="H70" s="14"/>
    </row>
    <row r="71" ht="15" thickBot="1"/>
    <row r="72" spans="1:15" ht="42.75" customHeight="1">
      <c r="A72" s="1588" t="s">
        <v>7</v>
      </c>
      <c r="B72" s="1591" t="s">
        <v>664</v>
      </c>
      <c r="C72" s="1594" t="s">
        <v>9</v>
      </c>
      <c r="D72" s="1594" t="s">
        <v>10</v>
      </c>
      <c r="E72" s="1574" t="s">
        <v>665</v>
      </c>
      <c r="F72" s="1574" t="s">
        <v>12</v>
      </c>
      <c r="G72" s="1594" t="s">
        <v>13</v>
      </c>
      <c r="H72" s="1574" t="s">
        <v>14</v>
      </c>
      <c r="I72" s="1574" t="s">
        <v>282</v>
      </c>
      <c r="J72" s="1574" t="s">
        <v>60</v>
      </c>
      <c r="K72" s="1583" t="s">
        <v>666</v>
      </c>
      <c r="L72" s="1640" t="s">
        <v>667</v>
      </c>
      <c r="M72" s="1634"/>
      <c r="N72" s="1634"/>
      <c r="O72" s="1641"/>
    </row>
    <row r="73" spans="1:15" ht="35.25" customHeight="1">
      <c r="A73" s="1589"/>
      <c r="B73" s="1592"/>
      <c r="C73" s="1595"/>
      <c r="D73" s="1595"/>
      <c r="E73" s="1575"/>
      <c r="F73" s="1575"/>
      <c r="G73" s="1595"/>
      <c r="H73" s="1575"/>
      <c r="I73" s="1613"/>
      <c r="J73" s="1575"/>
      <c r="K73" s="1584"/>
      <c r="L73" s="1597" t="s">
        <v>668</v>
      </c>
      <c r="M73" s="1568"/>
      <c r="N73" s="1568"/>
      <c r="O73" s="1598"/>
    </row>
    <row r="74" spans="1:15" ht="28.5" customHeight="1" thickBot="1">
      <c r="A74" s="1590"/>
      <c r="B74" s="1593"/>
      <c r="C74" s="1596"/>
      <c r="D74" s="1596"/>
      <c r="E74" s="1576"/>
      <c r="F74" s="1576"/>
      <c r="G74" s="1596"/>
      <c r="H74" s="1576"/>
      <c r="I74" s="1614"/>
      <c r="J74" s="1576"/>
      <c r="K74" s="1585"/>
      <c r="L74" s="270" t="s">
        <v>669</v>
      </c>
      <c r="M74" s="271" t="s">
        <v>670</v>
      </c>
      <c r="N74" s="271" t="s">
        <v>671</v>
      </c>
      <c r="O74" s="272" t="s">
        <v>17</v>
      </c>
    </row>
    <row r="75" spans="1:15" ht="30" thickBot="1">
      <c r="A75" s="570" t="s">
        <v>27</v>
      </c>
      <c r="B75" s="1120"/>
      <c r="C75" s="1144" t="s">
        <v>19</v>
      </c>
      <c r="D75" s="1144" t="s">
        <v>49</v>
      </c>
      <c r="E75" s="1120">
        <v>18</v>
      </c>
      <c r="F75" s="1120" t="s">
        <v>21</v>
      </c>
      <c r="G75" s="9" t="s">
        <v>19</v>
      </c>
      <c r="H75" s="797" t="s">
        <v>50</v>
      </c>
      <c r="I75" s="22">
        <v>1100449</v>
      </c>
      <c r="J75" s="1154" t="s">
        <v>22</v>
      </c>
      <c r="K75" s="8">
        <v>100</v>
      </c>
      <c r="L75" s="36">
        <v>128858</v>
      </c>
      <c r="M75" s="35"/>
      <c r="N75" s="35"/>
      <c r="O75" s="34">
        <f>L75</f>
        <v>128858</v>
      </c>
    </row>
    <row r="76" spans="1:15" ht="15">
      <c r="A76" s="1"/>
      <c r="B76" s="10" t="s">
        <v>23</v>
      </c>
      <c r="C76" s="11" t="s">
        <v>836</v>
      </c>
      <c r="D76" s="44"/>
      <c r="E76" s="20"/>
      <c r="F76" s="56"/>
      <c r="G76" s="10" t="s">
        <v>1719</v>
      </c>
      <c r="H76" s="11" t="s">
        <v>838</v>
      </c>
      <c r="I76" s="268"/>
      <c r="J76" s="28"/>
      <c r="K76" s="1"/>
      <c r="L76" s="33"/>
      <c r="M76" s="33"/>
      <c r="N76" s="34" t="s">
        <v>24</v>
      </c>
      <c r="O76" s="574">
        <f>SUM(O75)</f>
        <v>128858</v>
      </c>
    </row>
    <row r="77" spans="1:15" ht="15">
      <c r="A77" s="1"/>
      <c r="B77" s="13"/>
      <c r="C77" s="14" t="s">
        <v>34</v>
      </c>
      <c r="D77" s="42"/>
      <c r="E77" s="20"/>
      <c r="F77" s="56"/>
      <c r="G77" s="13"/>
      <c r="H77" s="14" t="s">
        <v>51</v>
      </c>
      <c r="I77" s="56"/>
      <c r="J77" s="29"/>
      <c r="K77" s="1"/>
      <c r="L77" s="33"/>
      <c r="M77" s="33"/>
      <c r="N77" s="33"/>
      <c r="O77" s="33"/>
    </row>
    <row r="78" spans="1:15" ht="15">
      <c r="A78" s="1"/>
      <c r="B78" s="13"/>
      <c r="C78" s="14" t="s">
        <v>26</v>
      </c>
      <c r="D78" s="42"/>
      <c r="E78" s="20"/>
      <c r="F78" s="56"/>
      <c r="G78" s="13"/>
      <c r="H78" s="45" t="s">
        <v>26</v>
      </c>
      <c r="I78" s="56"/>
      <c r="J78" s="29"/>
      <c r="K78" s="1"/>
      <c r="L78" s="33"/>
      <c r="M78" s="33"/>
      <c r="N78" s="33"/>
      <c r="O78" s="33"/>
    </row>
    <row r="79" spans="1:15" ht="15.75" thickBot="1">
      <c r="A79" s="1"/>
      <c r="B79" s="571" t="s">
        <v>169</v>
      </c>
      <c r="C79" s="600">
        <v>8222342426</v>
      </c>
      <c r="D79" s="42"/>
      <c r="E79" s="20"/>
      <c r="F79" s="56"/>
      <c r="G79" s="447"/>
      <c r="H79" s="456"/>
      <c r="I79" s="233"/>
      <c r="J79" s="30"/>
      <c r="K79" s="1"/>
      <c r="L79" s="1"/>
      <c r="M79" s="1"/>
      <c r="N79" s="1"/>
      <c r="O79" s="1"/>
    </row>
    <row r="80" spans="1:15" ht="15.75" thickBot="1">
      <c r="A80" s="1"/>
      <c r="B80" s="447"/>
      <c r="C80" s="99"/>
      <c r="D80" s="43"/>
      <c r="E80" s="56"/>
      <c r="F80" s="56"/>
      <c r="G80" s="614"/>
      <c r="H80" s="14"/>
      <c r="I80" s="1"/>
      <c r="J80" s="1"/>
      <c r="K80" s="1"/>
      <c r="L80" s="1"/>
      <c r="M80" s="1"/>
      <c r="N80" s="1"/>
      <c r="O80" s="1"/>
    </row>
    <row r="81" spans="1:15" ht="1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42.75" customHeight="1">
      <c r="A82" s="1588" t="s">
        <v>7</v>
      </c>
      <c r="B82" s="1591" t="s">
        <v>664</v>
      </c>
      <c r="C82" s="1594" t="s">
        <v>9</v>
      </c>
      <c r="D82" s="1594" t="s">
        <v>10</v>
      </c>
      <c r="E82" s="1574" t="s">
        <v>665</v>
      </c>
      <c r="F82" s="1574" t="s">
        <v>12</v>
      </c>
      <c r="G82" s="1594" t="s">
        <v>13</v>
      </c>
      <c r="H82" s="1574" t="s">
        <v>14</v>
      </c>
      <c r="I82" s="1574" t="s">
        <v>282</v>
      </c>
      <c r="J82" s="1574" t="s">
        <v>60</v>
      </c>
      <c r="K82" s="1583" t="s">
        <v>666</v>
      </c>
      <c r="L82" s="1640" t="s">
        <v>667</v>
      </c>
      <c r="M82" s="1634"/>
      <c r="N82" s="1634"/>
      <c r="O82" s="1641"/>
    </row>
    <row r="83" spans="1:15" ht="32.25" customHeight="1">
      <c r="A83" s="1589"/>
      <c r="B83" s="1592"/>
      <c r="C83" s="1595"/>
      <c r="D83" s="1595"/>
      <c r="E83" s="1575"/>
      <c r="F83" s="1575"/>
      <c r="G83" s="1595"/>
      <c r="H83" s="1575"/>
      <c r="I83" s="1613"/>
      <c r="J83" s="1575"/>
      <c r="K83" s="1584"/>
      <c r="L83" s="1597" t="s">
        <v>668</v>
      </c>
      <c r="M83" s="1568"/>
      <c r="N83" s="1568"/>
      <c r="O83" s="1598"/>
    </row>
    <row r="84" spans="1:15" ht="28.5" customHeight="1" thickBot="1">
      <c r="A84" s="1590"/>
      <c r="B84" s="1593"/>
      <c r="C84" s="1596"/>
      <c r="D84" s="1596"/>
      <c r="E84" s="1576"/>
      <c r="F84" s="1576"/>
      <c r="G84" s="1596"/>
      <c r="H84" s="1576"/>
      <c r="I84" s="1614"/>
      <c r="J84" s="1576"/>
      <c r="K84" s="1585"/>
      <c r="L84" s="270" t="s">
        <v>669</v>
      </c>
      <c r="M84" s="277" t="s">
        <v>670</v>
      </c>
      <c r="N84" s="277" t="s">
        <v>671</v>
      </c>
      <c r="O84" s="272" t="s">
        <v>17</v>
      </c>
    </row>
    <row r="85" spans="1:15" ht="18.75" thickBot="1">
      <c r="A85" s="615" t="s">
        <v>27</v>
      </c>
      <c r="B85" s="1120"/>
      <c r="C85" s="1144" t="s">
        <v>52</v>
      </c>
      <c r="D85" s="1144"/>
      <c r="E85" s="1120">
        <v>8</v>
      </c>
      <c r="F85" s="1120" t="s">
        <v>21</v>
      </c>
      <c r="G85" s="803" t="s">
        <v>19</v>
      </c>
      <c r="H85" s="1141" t="s">
        <v>53</v>
      </c>
      <c r="I85" s="106">
        <v>871533</v>
      </c>
      <c r="J85" s="556" t="s">
        <v>22</v>
      </c>
      <c r="K85" s="274">
        <v>40</v>
      </c>
      <c r="L85" s="448">
        <v>66867</v>
      </c>
      <c r="M85" s="276"/>
      <c r="N85" s="276"/>
      <c r="O85" s="275">
        <f>L85</f>
        <v>66867</v>
      </c>
    </row>
    <row r="86" spans="1:15" ht="15">
      <c r="A86" s="1"/>
      <c r="B86" s="10" t="s">
        <v>23</v>
      </c>
      <c r="C86" s="11" t="s">
        <v>836</v>
      </c>
      <c r="D86" s="44"/>
      <c r="E86" s="20"/>
      <c r="F86" s="14"/>
      <c r="G86" s="10" t="s">
        <v>1719</v>
      </c>
      <c r="H86" s="11" t="s">
        <v>840</v>
      </c>
      <c r="I86" s="12"/>
      <c r="J86" s="1"/>
      <c r="K86" s="1"/>
      <c r="L86" s="1"/>
      <c r="M86" s="1"/>
      <c r="N86" s="275" t="s">
        <v>24</v>
      </c>
      <c r="O86" s="585">
        <f>SUM(O85)</f>
        <v>66867</v>
      </c>
    </row>
    <row r="87" spans="1:15" ht="15">
      <c r="A87" s="5"/>
      <c r="B87" s="13"/>
      <c r="C87" s="14" t="s">
        <v>34</v>
      </c>
      <c r="D87" s="42"/>
      <c r="E87" s="20"/>
      <c r="F87" s="14"/>
      <c r="G87" s="13"/>
      <c r="H87" s="14" t="s">
        <v>54</v>
      </c>
      <c r="I87" s="15"/>
      <c r="J87" s="5"/>
      <c r="K87" s="7"/>
      <c r="L87" s="33"/>
      <c r="M87" s="33"/>
      <c r="N87" s="33"/>
      <c r="O87" s="33"/>
    </row>
    <row r="88" spans="1:15" ht="15">
      <c r="A88" s="5"/>
      <c r="B88" s="13"/>
      <c r="C88" s="14" t="s">
        <v>26</v>
      </c>
      <c r="D88" s="42"/>
      <c r="E88" s="20"/>
      <c r="F88" s="14"/>
      <c r="G88" s="13"/>
      <c r="H88" s="14" t="s">
        <v>1076</v>
      </c>
      <c r="I88" s="15"/>
      <c r="J88" s="5"/>
      <c r="K88" s="7"/>
      <c r="L88" s="33"/>
      <c r="M88" s="33"/>
      <c r="N88" s="33"/>
      <c r="O88" s="33"/>
    </row>
    <row r="89" spans="1:15" s="1" customFormat="1" ht="15">
      <c r="A89" s="295"/>
      <c r="B89" s="571" t="s">
        <v>169</v>
      </c>
      <c r="C89" s="600">
        <v>8222342426</v>
      </c>
      <c r="D89" s="42"/>
      <c r="E89" s="20"/>
      <c r="F89" s="14"/>
      <c r="G89" s="13"/>
      <c r="H89" s="14" t="s">
        <v>26</v>
      </c>
      <c r="I89" s="15"/>
      <c r="J89" s="295"/>
      <c r="K89" s="7"/>
      <c r="L89" s="33"/>
      <c r="M89" s="33"/>
      <c r="N89" s="33"/>
      <c r="O89" s="33"/>
    </row>
    <row r="90" spans="1:15" ht="15.75" thickBot="1">
      <c r="A90" s="5"/>
      <c r="B90" s="447"/>
      <c r="C90" s="99"/>
      <c r="D90" s="43"/>
      <c r="E90" s="20"/>
      <c r="F90" s="14"/>
      <c r="G90" s="447"/>
      <c r="H90" s="456"/>
      <c r="I90" s="18"/>
      <c r="J90" s="5"/>
      <c r="K90" s="7"/>
      <c r="L90" s="33"/>
      <c r="M90" s="33"/>
      <c r="N90" s="33"/>
      <c r="O90" s="33"/>
    </row>
    <row r="91" spans="4:8" ht="14.25">
      <c r="D91" s="56"/>
      <c r="E91" s="56"/>
      <c r="F91" s="56"/>
      <c r="G91" s="614"/>
      <c r="H91" s="56"/>
    </row>
    <row r="92" ht="15" thickBot="1"/>
    <row r="93" spans="1:15" ht="35.25" customHeight="1">
      <c r="A93" s="1588" t="s">
        <v>7</v>
      </c>
      <c r="B93" s="1591" t="s">
        <v>664</v>
      </c>
      <c r="C93" s="1594" t="s">
        <v>9</v>
      </c>
      <c r="D93" s="1594" t="s">
        <v>10</v>
      </c>
      <c r="E93" s="1574" t="s">
        <v>665</v>
      </c>
      <c r="F93" s="1574" t="s">
        <v>12</v>
      </c>
      <c r="G93" s="1594" t="s">
        <v>13</v>
      </c>
      <c r="H93" s="1574" t="s">
        <v>14</v>
      </c>
      <c r="I93" s="1574" t="s">
        <v>282</v>
      </c>
      <c r="J93" s="1574" t="s">
        <v>60</v>
      </c>
      <c r="K93" s="1583" t="s">
        <v>666</v>
      </c>
      <c r="L93" s="1640" t="s">
        <v>667</v>
      </c>
      <c r="M93" s="1634"/>
      <c r="N93" s="1634"/>
      <c r="O93" s="1641"/>
    </row>
    <row r="94" spans="1:15" ht="33.75" customHeight="1">
      <c r="A94" s="1589"/>
      <c r="B94" s="1592"/>
      <c r="C94" s="1595"/>
      <c r="D94" s="1595"/>
      <c r="E94" s="1575"/>
      <c r="F94" s="1575"/>
      <c r="G94" s="1595"/>
      <c r="H94" s="1575"/>
      <c r="I94" s="1613"/>
      <c r="J94" s="1575"/>
      <c r="K94" s="1584"/>
      <c r="L94" s="1597" t="s">
        <v>668</v>
      </c>
      <c r="M94" s="1568"/>
      <c r="N94" s="1568"/>
      <c r="O94" s="1598"/>
    </row>
    <row r="95" spans="1:15" ht="28.5" customHeight="1" thickBot="1">
      <c r="A95" s="1590"/>
      <c r="B95" s="1593"/>
      <c r="C95" s="1596"/>
      <c r="D95" s="1596"/>
      <c r="E95" s="1576"/>
      <c r="F95" s="1576"/>
      <c r="G95" s="1596"/>
      <c r="H95" s="1576"/>
      <c r="I95" s="1614"/>
      <c r="J95" s="1576"/>
      <c r="K95" s="1585"/>
      <c r="L95" s="270" t="s">
        <v>669</v>
      </c>
      <c r="M95" s="271" t="s">
        <v>670</v>
      </c>
      <c r="N95" s="271" t="s">
        <v>671</v>
      </c>
      <c r="O95" s="272" t="s">
        <v>17</v>
      </c>
    </row>
    <row r="96" spans="1:15" ht="29.25">
      <c r="A96" s="570" t="s">
        <v>27</v>
      </c>
      <c r="B96" s="4"/>
      <c r="C96" s="3" t="s">
        <v>19</v>
      </c>
      <c r="D96" s="3" t="s">
        <v>55</v>
      </c>
      <c r="E96" s="4">
        <v>219</v>
      </c>
      <c r="F96" s="4" t="s">
        <v>21</v>
      </c>
      <c r="G96" s="3" t="s">
        <v>19</v>
      </c>
      <c r="H96" s="719" t="s">
        <v>56</v>
      </c>
      <c r="I96" s="24">
        <v>70529858</v>
      </c>
      <c r="J96" s="398" t="s">
        <v>29</v>
      </c>
      <c r="K96" s="8">
        <v>39</v>
      </c>
      <c r="L96" s="844">
        <f>39500</f>
        <v>39500</v>
      </c>
      <c r="M96" s="35"/>
      <c r="N96" s="35"/>
      <c r="O96" s="34">
        <f>L96</f>
        <v>39500</v>
      </c>
    </row>
    <row r="97" spans="1:15" ht="29.25">
      <c r="A97" s="570" t="s">
        <v>27</v>
      </c>
      <c r="B97" s="4"/>
      <c r="C97" s="25" t="s">
        <v>19</v>
      </c>
      <c r="D97" s="25" t="s">
        <v>55</v>
      </c>
      <c r="E97" s="4">
        <v>14</v>
      </c>
      <c r="F97" s="4" t="s">
        <v>21</v>
      </c>
      <c r="G97" s="3" t="s">
        <v>19</v>
      </c>
      <c r="H97" s="719" t="s">
        <v>57</v>
      </c>
      <c r="I97" s="24">
        <v>70907947</v>
      </c>
      <c r="J97" s="398" t="s">
        <v>29</v>
      </c>
      <c r="K97" s="8">
        <v>2.5</v>
      </c>
      <c r="L97" s="844">
        <v>1200</v>
      </c>
      <c r="M97" s="35"/>
      <c r="N97" s="35"/>
      <c r="O97" s="34">
        <f>L97</f>
        <v>1200</v>
      </c>
    </row>
    <row r="98" spans="1:15" ht="30" thickBot="1">
      <c r="A98" s="570" t="s">
        <v>27</v>
      </c>
      <c r="B98" s="4"/>
      <c r="C98" s="25" t="s">
        <v>19</v>
      </c>
      <c r="D98" s="25" t="s">
        <v>55</v>
      </c>
      <c r="E98" s="4">
        <v>217</v>
      </c>
      <c r="F98" s="4" t="s">
        <v>21</v>
      </c>
      <c r="G98" s="9" t="s">
        <v>19</v>
      </c>
      <c r="H98" s="797" t="s">
        <v>58</v>
      </c>
      <c r="I98" s="22">
        <v>27262</v>
      </c>
      <c r="J98" s="398" t="s">
        <v>29</v>
      </c>
      <c r="K98" s="8">
        <v>3</v>
      </c>
      <c r="L98" s="36">
        <f>9200</f>
        <v>9200</v>
      </c>
      <c r="M98" s="35"/>
      <c r="N98" s="35"/>
      <c r="O98" s="34">
        <f>L98</f>
        <v>9200</v>
      </c>
    </row>
    <row r="99" spans="1:15" ht="15">
      <c r="A99" s="1"/>
      <c r="B99" s="10" t="s">
        <v>23</v>
      </c>
      <c r="C99" s="11" t="s">
        <v>836</v>
      </c>
      <c r="D99" s="44"/>
      <c r="G99" s="10" t="s">
        <v>1719</v>
      </c>
      <c r="H99" s="11" t="s">
        <v>839</v>
      </c>
      <c r="I99" s="44"/>
      <c r="J99" s="20"/>
      <c r="K99" s="14"/>
      <c r="L99" s="56"/>
      <c r="M99" s="33"/>
      <c r="N99" s="34" t="s">
        <v>24</v>
      </c>
      <c r="O99" s="574">
        <f>SUM(O96:O98)</f>
        <v>49900</v>
      </c>
    </row>
    <row r="100" spans="1:15" ht="15">
      <c r="A100" s="1"/>
      <c r="B100" s="13"/>
      <c r="C100" s="14" t="s">
        <v>34</v>
      </c>
      <c r="D100" s="42"/>
      <c r="G100" s="13"/>
      <c r="H100" s="14" t="s">
        <v>59</v>
      </c>
      <c r="I100" s="42"/>
      <c r="J100" s="20"/>
      <c r="K100" s="14"/>
      <c r="L100" s="56"/>
      <c r="M100" s="1"/>
      <c r="N100" s="1"/>
      <c r="O100" s="1"/>
    </row>
    <row r="101" spans="1:15" ht="15">
      <c r="A101" s="1"/>
      <c r="B101" s="13"/>
      <c r="C101" s="14" t="s">
        <v>26</v>
      </c>
      <c r="D101" s="42"/>
      <c r="G101" s="13"/>
      <c r="H101" s="14" t="s">
        <v>26</v>
      </c>
      <c r="I101" s="42"/>
      <c r="J101" s="20"/>
      <c r="K101" s="14"/>
      <c r="L101" s="56"/>
      <c r="M101" s="1"/>
      <c r="N101" s="1"/>
      <c r="O101" s="1"/>
    </row>
    <row r="102" spans="1:15" ht="15.75" thickBot="1">
      <c r="A102" s="1"/>
      <c r="B102" s="571" t="s">
        <v>169</v>
      </c>
      <c r="C102" s="600">
        <v>8222342426</v>
      </c>
      <c r="D102" s="42"/>
      <c r="G102" s="447"/>
      <c r="H102" s="456"/>
      <c r="I102" s="43"/>
      <c r="J102" s="20"/>
      <c r="K102" s="14"/>
      <c r="L102" s="56"/>
      <c r="M102" s="33"/>
      <c r="N102" s="1"/>
      <c r="O102" s="1"/>
    </row>
    <row r="103" spans="1:15" ht="15.75" thickBot="1">
      <c r="A103" s="1"/>
      <c r="B103" s="447"/>
      <c r="C103" s="99"/>
      <c r="D103" s="43"/>
      <c r="G103" s="614"/>
      <c r="H103" s="14"/>
      <c r="I103" s="56"/>
      <c r="J103" s="56"/>
      <c r="K103" s="56"/>
      <c r="L103" s="56"/>
      <c r="M103" s="1"/>
      <c r="N103" s="1"/>
      <c r="O103" s="1"/>
    </row>
    <row r="104" spans="2:7" s="1" customFormat="1" ht="15.75" thickBot="1">
      <c r="B104" s="614"/>
      <c r="C104" s="14"/>
      <c r="D104" s="56"/>
      <c r="E104" s="56"/>
      <c r="F104" s="56"/>
      <c r="G104" s="56"/>
    </row>
    <row r="105" spans="1:15" s="1" customFormat="1" ht="42.75" customHeight="1">
      <c r="A105" s="1580" t="s">
        <v>7</v>
      </c>
      <c r="B105" s="1574" t="s">
        <v>8</v>
      </c>
      <c r="C105" s="1574" t="s">
        <v>9</v>
      </c>
      <c r="D105" s="1574" t="s">
        <v>10</v>
      </c>
      <c r="E105" s="1574" t="s">
        <v>11</v>
      </c>
      <c r="F105" s="1574" t="s">
        <v>12</v>
      </c>
      <c r="G105" s="1574" t="s">
        <v>13</v>
      </c>
      <c r="H105" s="1574" t="s">
        <v>14</v>
      </c>
      <c r="I105" s="1574" t="s">
        <v>282</v>
      </c>
      <c r="J105" s="1574" t="s">
        <v>60</v>
      </c>
      <c r="K105" s="1637" t="s">
        <v>16</v>
      </c>
      <c r="L105" s="1640" t="s">
        <v>667</v>
      </c>
      <c r="M105" s="1634"/>
      <c r="N105" s="1634"/>
      <c r="O105" s="1641"/>
    </row>
    <row r="106" spans="1:15" s="1" customFormat="1" ht="42.75" customHeight="1">
      <c r="A106" s="1581"/>
      <c r="B106" s="1575"/>
      <c r="C106" s="1575"/>
      <c r="D106" s="1575"/>
      <c r="E106" s="1575"/>
      <c r="F106" s="1575"/>
      <c r="G106" s="1575"/>
      <c r="H106" s="1575"/>
      <c r="I106" s="1575"/>
      <c r="J106" s="1575"/>
      <c r="K106" s="1638"/>
      <c r="L106" s="1597" t="s">
        <v>668</v>
      </c>
      <c r="M106" s="1568"/>
      <c r="N106" s="1568"/>
      <c r="O106" s="1598"/>
    </row>
    <row r="107" spans="1:15" s="1" customFormat="1" ht="42.75" customHeight="1" thickBot="1">
      <c r="A107" s="1582"/>
      <c r="B107" s="1576"/>
      <c r="C107" s="1576"/>
      <c r="D107" s="1576"/>
      <c r="E107" s="1576"/>
      <c r="F107" s="1576"/>
      <c r="G107" s="1576"/>
      <c r="H107" s="1576"/>
      <c r="I107" s="1576"/>
      <c r="J107" s="1576"/>
      <c r="K107" s="1639"/>
      <c r="L107" s="589" t="s">
        <v>669</v>
      </c>
      <c r="M107" s="972" t="s">
        <v>670</v>
      </c>
      <c r="N107" s="972" t="s">
        <v>671</v>
      </c>
      <c r="O107" s="973" t="s">
        <v>17</v>
      </c>
    </row>
    <row r="108" spans="1:15" s="1" customFormat="1" ht="51" customHeight="1" thickBot="1">
      <c r="A108" s="621" t="s">
        <v>27</v>
      </c>
      <c r="B108" s="1146" t="s">
        <v>1388</v>
      </c>
      <c r="C108" s="1147" t="s">
        <v>1389</v>
      </c>
      <c r="D108" s="1120"/>
      <c r="E108" s="1120"/>
      <c r="F108" s="187" t="s">
        <v>266</v>
      </c>
      <c r="G108" s="372" t="s">
        <v>267</v>
      </c>
      <c r="H108" s="1141" t="s">
        <v>1528</v>
      </c>
      <c r="I108" s="804">
        <v>50436111</v>
      </c>
      <c r="J108" s="1155" t="s">
        <v>1155</v>
      </c>
      <c r="K108" s="857">
        <v>5</v>
      </c>
      <c r="L108" s="276"/>
      <c r="M108" s="975">
        <v>240000</v>
      </c>
      <c r="N108" s="976">
        <v>95000</v>
      </c>
      <c r="O108" s="275">
        <f>SUM(M108:N108)</f>
        <v>335000</v>
      </c>
    </row>
    <row r="109" spans="2:15" s="1" customFormat="1" ht="15">
      <c r="B109" s="10" t="s">
        <v>23</v>
      </c>
      <c r="C109" s="11" t="s">
        <v>836</v>
      </c>
      <c r="D109" s="44"/>
      <c r="F109" s="56"/>
      <c r="G109" s="10" t="s">
        <v>1719</v>
      </c>
      <c r="H109" s="11" t="s">
        <v>1388</v>
      </c>
      <c r="I109" s="12"/>
      <c r="J109" s="14"/>
      <c r="M109" s="816"/>
      <c r="N109" s="34" t="s">
        <v>24</v>
      </c>
      <c r="O109" s="574">
        <f>SUM(O106:O108)</f>
        <v>335000</v>
      </c>
    </row>
    <row r="110" spans="2:15" s="1" customFormat="1" ht="15">
      <c r="B110" s="13"/>
      <c r="C110" s="14" t="s">
        <v>34</v>
      </c>
      <c r="D110" s="42"/>
      <c r="F110" s="56"/>
      <c r="G110" s="571"/>
      <c r="H110" s="14" t="s">
        <v>1526</v>
      </c>
      <c r="I110" s="15"/>
      <c r="J110" s="14"/>
      <c r="M110" s="816"/>
      <c r="N110" s="816"/>
      <c r="O110" s="817"/>
    </row>
    <row r="111" spans="2:10" s="1" customFormat="1" ht="15">
      <c r="B111" s="13"/>
      <c r="C111" s="14" t="s">
        <v>26</v>
      </c>
      <c r="D111" s="42"/>
      <c r="F111" s="56"/>
      <c r="G111" s="571"/>
      <c r="H111" s="14" t="s">
        <v>532</v>
      </c>
      <c r="I111" s="15"/>
      <c r="J111" s="14"/>
    </row>
    <row r="112" spans="2:10" s="1" customFormat="1" ht="15.75" thickBot="1">
      <c r="B112" s="571" t="s">
        <v>169</v>
      </c>
      <c r="C112" s="600">
        <v>8222342426</v>
      </c>
      <c r="D112" s="42"/>
      <c r="F112" s="56"/>
      <c r="G112" s="447"/>
      <c r="H112" s="726"/>
      <c r="I112" s="18"/>
      <c r="J112" s="14"/>
    </row>
    <row r="113" spans="2:10" s="1" customFormat="1" ht="15.75" thickBot="1">
      <c r="B113" s="447"/>
      <c r="C113" s="99"/>
      <c r="D113" s="43"/>
      <c r="F113" s="56"/>
      <c r="G113" s="595"/>
      <c r="H113" s="14"/>
      <c r="I113" s="14"/>
      <c r="J113" s="14"/>
    </row>
    <row r="114" spans="2:7" s="1" customFormat="1" ht="15.75" thickBot="1">
      <c r="B114" s="614"/>
      <c r="C114" s="14"/>
      <c r="D114" s="56"/>
      <c r="E114" s="56"/>
      <c r="F114" s="56"/>
      <c r="G114" s="56"/>
    </row>
    <row r="115" spans="1:15" s="1" customFormat="1" ht="47.25" customHeight="1">
      <c r="A115" s="1580" t="s">
        <v>7</v>
      </c>
      <c r="B115" s="1574" t="s">
        <v>8</v>
      </c>
      <c r="C115" s="1574" t="s">
        <v>9</v>
      </c>
      <c r="D115" s="1574" t="s">
        <v>10</v>
      </c>
      <c r="E115" s="1574" t="s">
        <v>11</v>
      </c>
      <c r="F115" s="1574" t="s">
        <v>12</v>
      </c>
      <c r="G115" s="1574" t="s">
        <v>13</v>
      </c>
      <c r="H115" s="1574" t="s">
        <v>14</v>
      </c>
      <c r="I115" s="1574" t="s">
        <v>282</v>
      </c>
      <c r="J115" s="1574" t="s">
        <v>60</v>
      </c>
      <c r="K115" s="1637" t="s">
        <v>16</v>
      </c>
      <c r="L115" s="1640" t="s">
        <v>667</v>
      </c>
      <c r="M115" s="1634"/>
      <c r="N115" s="1634"/>
      <c r="O115" s="1641"/>
    </row>
    <row r="116" spans="1:15" s="1" customFormat="1" ht="47.25" customHeight="1">
      <c r="A116" s="1581"/>
      <c r="B116" s="1575"/>
      <c r="C116" s="1575"/>
      <c r="D116" s="1575"/>
      <c r="E116" s="1575"/>
      <c r="F116" s="1575"/>
      <c r="G116" s="1575"/>
      <c r="H116" s="1575"/>
      <c r="I116" s="1575"/>
      <c r="J116" s="1575"/>
      <c r="K116" s="1638"/>
      <c r="L116" s="1597" t="s">
        <v>668</v>
      </c>
      <c r="M116" s="1568"/>
      <c r="N116" s="1568"/>
      <c r="O116" s="1598"/>
    </row>
    <row r="117" spans="1:15" s="1" customFormat="1" ht="47.25" customHeight="1" thickBot="1">
      <c r="A117" s="1582"/>
      <c r="B117" s="1576"/>
      <c r="C117" s="1576"/>
      <c r="D117" s="1576"/>
      <c r="E117" s="1576"/>
      <c r="F117" s="1576"/>
      <c r="G117" s="1576"/>
      <c r="H117" s="1576"/>
      <c r="I117" s="1576"/>
      <c r="J117" s="1576"/>
      <c r="K117" s="1639"/>
      <c r="L117" s="589" t="s">
        <v>669</v>
      </c>
      <c r="M117" s="972" t="s">
        <v>670</v>
      </c>
      <c r="N117" s="972" t="s">
        <v>671</v>
      </c>
      <c r="O117" s="973" t="s">
        <v>17</v>
      </c>
    </row>
    <row r="118" spans="1:15" s="1" customFormat="1" ht="53.25" customHeight="1" thickBot="1">
      <c r="A118" s="621" t="s">
        <v>27</v>
      </c>
      <c r="B118" s="1146" t="s">
        <v>1390</v>
      </c>
      <c r="C118" s="1148" t="s">
        <v>1392</v>
      </c>
      <c r="D118" s="1120"/>
      <c r="E118" s="1120">
        <v>22</v>
      </c>
      <c r="F118" s="187" t="s">
        <v>382</v>
      </c>
      <c r="G118" s="187" t="s">
        <v>380</v>
      </c>
      <c r="H118" s="734" t="s">
        <v>1527</v>
      </c>
      <c r="I118" s="187">
        <v>556994</v>
      </c>
      <c r="J118" s="501" t="s">
        <v>747</v>
      </c>
      <c r="K118" s="857">
        <v>80</v>
      </c>
      <c r="L118" s="275">
        <v>100000</v>
      </c>
      <c r="M118" s="276"/>
      <c r="N118" s="276"/>
      <c r="O118" s="275">
        <f>L118</f>
        <v>100000</v>
      </c>
    </row>
    <row r="119" spans="2:15" s="1" customFormat="1" ht="15">
      <c r="B119" s="10" t="s">
        <v>23</v>
      </c>
      <c r="C119" s="11" t="s">
        <v>836</v>
      </c>
      <c r="D119" s="44"/>
      <c r="F119" s="56"/>
      <c r="G119" s="10" t="s">
        <v>1719</v>
      </c>
      <c r="H119" s="11" t="s">
        <v>1390</v>
      </c>
      <c r="I119" s="11"/>
      <c r="J119" s="12"/>
      <c r="N119" s="34" t="s">
        <v>24</v>
      </c>
      <c r="O119" s="574">
        <f>SUM(O116:O118)</f>
        <v>100000</v>
      </c>
    </row>
    <row r="120" spans="2:10" s="1" customFormat="1" ht="15">
      <c r="B120" s="13"/>
      <c r="C120" s="14" t="s">
        <v>34</v>
      </c>
      <c r="D120" s="42"/>
      <c r="F120" s="56"/>
      <c r="G120" s="571"/>
      <c r="H120" s="14" t="s">
        <v>1391</v>
      </c>
      <c r="I120" s="14"/>
      <c r="J120" s="15"/>
    </row>
    <row r="121" spans="2:10" s="1" customFormat="1" ht="15">
      <c r="B121" s="13"/>
      <c r="C121" s="14" t="s">
        <v>26</v>
      </c>
      <c r="D121" s="42"/>
      <c r="F121" s="56"/>
      <c r="G121" s="571"/>
      <c r="H121" s="14" t="s">
        <v>421</v>
      </c>
      <c r="I121" s="14"/>
      <c r="J121" s="15"/>
    </row>
    <row r="122" spans="2:10" s="1" customFormat="1" ht="15.75" thickBot="1">
      <c r="B122" s="571" t="s">
        <v>169</v>
      </c>
      <c r="C122" s="600">
        <v>8222342426</v>
      </c>
      <c r="D122" s="42"/>
      <c r="F122" s="56"/>
      <c r="G122" s="447"/>
      <c r="H122" s="726"/>
      <c r="I122" s="17"/>
      <c r="J122" s="18"/>
    </row>
    <row r="123" spans="2:10" s="1" customFormat="1" ht="15.75" thickBot="1">
      <c r="B123" s="447"/>
      <c r="C123" s="99"/>
      <c r="D123" s="43"/>
      <c r="F123" s="56"/>
      <c r="G123" s="595"/>
      <c r="H123" s="14"/>
      <c r="I123" s="14"/>
      <c r="J123" s="14"/>
    </row>
    <row r="124" spans="2:7" s="1" customFormat="1" ht="15.75" thickBot="1">
      <c r="B124" s="614"/>
      <c r="C124" s="14"/>
      <c r="D124" s="56"/>
      <c r="E124" s="56"/>
      <c r="F124" s="56"/>
      <c r="G124" s="56"/>
    </row>
    <row r="125" spans="1:15" s="1" customFormat="1" ht="47.25" customHeight="1">
      <c r="A125" s="1580" t="s">
        <v>7</v>
      </c>
      <c r="B125" s="1574" t="s">
        <v>8</v>
      </c>
      <c r="C125" s="1574" t="s">
        <v>9</v>
      </c>
      <c r="D125" s="1574" t="s">
        <v>10</v>
      </c>
      <c r="E125" s="1574" t="s">
        <v>11</v>
      </c>
      <c r="F125" s="1574" t="s">
        <v>12</v>
      </c>
      <c r="G125" s="1574" t="s">
        <v>13</v>
      </c>
      <c r="H125" s="1574" t="s">
        <v>14</v>
      </c>
      <c r="I125" s="1574" t="s">
        <v>282</v>
      </c>
      <c r="J125" s="1574" t="s">
        <v>60</v>
      </c>
      <c r="K125" s="1637" t="s">
        <v>16</v>
      </c>
      <c r="L125" s="1640" t="s">
        <v>667</v>
      </c>
      <c r="M125" s="1634"/>
      <c r="N125" s="1634"/>
      <c r="O125" s="1641"/>
    </row>
    <row r="126" spans="1:15" s="1" customFormat="1" ht="47.25" customHeight="1">
      <c r="A126" s="1581"/>
      <c r="B126" s="1575"/>
      <c r="C126" s="1575"/>
      <c r="D126" s="1575"/>
      <c r="E126" s="1575"/>
      <c r="F126" s="1575"/>
      <c r="G126" s="1575"/>
      <c r="H126" s="1575"/>
      <c r="I126" s="1575"/>
      <c r="J126" s="1575"/>
      <c r="K126" s="1638"/>
      <c r="L126" s="1597" t="s">
        <v>668</v>
      </c>
      <c r="M126" s="1568"/>
      <c r="N126" s="1568"/>
      <c r="O126" s="1598"/>
    </row>
    <row r="127" spans="1:15" s="1" customFormat="1" ht="47.25" customHeight="1" thickBot="1">
      <c r="A127" s="1582"/>
      <c r="B127" s="1576"/>
      <c r="C127" s="1576"/>
      <c r="D127" s="1576"/>
      <c r="E127" s="1576"/>
      <c r="F127" s="1576"/>
      <c r="G127" s="1576"/>
      <c r="H127" s="1576"/>
      <c r="I127" s="1576"/>
      <c r="J127" s="1576"/>
      <c r="K127" s="1639"/>
      <c r="L127" s="589" t="s">
        <v>669</v>
      </c>
      <c r="M127" s="972" t="s">
        <v>670</v>
      </c>
      <c r="N127" s="972" t="s">
        <v>671</v>
      </c>
      <c r="O127" s="973" t="s">
        <v>17</v>
      </c>
    </row>
    <row r="128" spans="1:15" s="1" customFormat="1" ht="53.25" customHeight="1" thickBot="1">
      <c r="A128" s="621" t="s">
        <v>27</v>
      </c>
      <c r="B128" s="1146" t="s">
        <v>1393</v>
      </c>
      <c r="C128" s="1147" t="s">
        <v>1389</v>
      </c>
      <c r="D128" s="1120"/>
      <c r="E128" s="1120">
        <v>300</v>
      </c>
      <c r="F128" s="187" t="s">
        <v>266</v>
      </c>
      <c r="G128" s="804" t="s">
        <v>267</v>
      </c>
      <c r="H128" s="1156" t="s">
        <v>1530</v>
      </c>
      <c r="I128" s="804">
        <v>1073050</v>
      </c>
      <c r="J128" s="1155" t="s">
        <v>1394</v>
      </c>
      <c r="K128" s="857">
        <v>131</v>
      </c>
      <c r="L128" s="276"/>
      <c r="M128" s="975">
        <v>90000</v>
      </c>
      <c r="N128" s="975">
        <f>155000-90000</f>
        <v>65000</v>
      </c>
      <c r="O128" s="975">
        <f>SUM(M128:N128)</f>
        <v>155000</v>
      </c>
    </row>
    <row r="129" spans="2:15" s="1" customFormat="1" ht="15">
      <c r="B129" s="10" t="s">
        <v>23</v>
      </c>
      <c r="C129" s="11" t="s">
        <v>836</v>
      </c>
      <c r="D129" s="44"/>
      <c r="F129" s="56"/>
      <c r="G129" s="10" t="s">
        <v>1719</v>
      </c>
      <c r="H129" s="11" t="s">
        <v>1393</v>
      </c>
      <c r="I129" s="12"/>
      <c r="J129" s="14"/>
      <c r="N129" s="34" t="s">
        <v>24</v>
      </c>
      <c r="O129" s="574">
        <f>SUM(O126:O128)</f>
        <v>155000</v>
      </c>
    </row>
    <row r="130" spans="2:10" s="1" customFormat="1" ht="15">
      <c r="B130" s="13"/>
      <c r="C130" s="14" t="s">
        <v>34</v>
      </c>
      <c r="D130" s="42"/>
      <c r="F130" s="56"/>
      <c r="G130" s="571"/>
      <c r="H130" s="14" t="s">
        <v>1529</v>
      </c>
      <c r="I130" s="15"/>
      <c r="J130" s="14"/>
    </row>
    <row r="131" spans="2:10" s="1" customFormat="1" ht="15">
      <c r="B131" s="13"/>
      <c r="C131" s="14" t="s">
        <v>26</v>
      </c>
      <c r="D131" s="42"/>
      <c r="F131" s="56"/>
      <c r="G131" s="571"/>
      <c r="H131" s="14" t="s">
        <v>532</v>
      </c>
      <c r="I131" s="15"/>
      <c r="J131" s="14"/>
    </row>
    <row r="132" spans="2:10" s="1" customFormat="1" ht="15.75" thickBot="1">
      <c r="B132" s="571" t="s">
        <v>169</v>
      </c>
      <c r="C132" s="600">
        <v>8222342426</v>
      </c>
      <c r="D132" s="42"/>
      <c r="F132" s="56"/>
      <c r="G132" s="447"/>
      <c r="H132" s="726"/>
      <c r="I132" s="18"/>
      <c r="J132" s="14"/>
    </row>
    <row r="133" spans="2:10" s="1" customFormat="1" ht="15.75" thickBot="1">
      <c r="B133" s="447"/>
      <c r="C133" s="99"/>
      <c r="D133" s="43"/>
      <c r="F133" s="56"/>
      <c r="G133" s="595"/>
      <c r="H133" s="14"/>
      <c r="I133" s="14"/>
      <c r="J133" s="14"/>
    </row>
    <row r="134" spans="2:7" s="1" customFormat="1" ht="15.75" thickBot="1">
      <c r="B134" s="614"/>
      <c r="C134" s="14"/>
      <c r="D134" s="56"/>
      <c r="E134" s="56"/>
      <c r="F134" s="56"/>
      <c r="G134" s="56"/>
    </row>
    <row r="135" spans="1:15" s="1" customFormat="1" ht="44.25" customHeight="1">
      <c r="A135" s="1580" t="s">
        <v>7</v>
      </c>
      <c r="B135" s="1574" t="s">
        <v>8</v>
      </c>
      <c r="C135" s="1574" t="s">
        <v>9</v>
      </c>
      <c r="D135" s="1574" t="s">
        <v>10</v>
      </c>
      <c r="E135" s="1574" t="s">
        <v>11</v>
      </c>
      <c r="F135" s="1574" t="s">
        <v>12</v>
      </c>
      <c r="G135" s="1574" t="s">
        <v>13</v>
      </c>
      <c r="H135" s="1574" t="s">
        <v>14</v>
      </c>
      <c r="I135" s="1574" t="s">
        <v>282</v>
      </c>
      <c r="J135" s="1574" t="s">
        <v>60</v>
      </c>
      <c r="K135" s="1637" t="s">
        <v>16</v>
      </c>
      <c r="L135" s="1640" t="s">
        <v>667</v>
      </c>
      <c r="M135" s="1634"/>
      <c r="N135" s="1634"/>
      <c r="O135" s="1641"/>
    </row>
    <row r="136" spans="1:15" s="1" customFormat="1" ht="30" customHeight="1">
      <c r="A136" s="1581"/>
      <c r="B136" s="1575"/>
      <c r="C136" s="1575"/>
      <c r="D136" s="1575"/>
      <c r="E136" s="1575"/>
      <c r="F136" s="1575"/>
      <c r="G136" s="1575"/>
      <c r="H136" s="1575"/>
      <c r="I136" s="1575"/>
      <c r="J136" s="1575"/>
      <c r="K136" s="1638"/>
      <c r="L136" s="1597" t="s">
        <v>668</v>
      </c>
      <c r="M136" s="1568"/>
      <c r="N136" s="1568"/>
      <c r="O136" s="1598"/>
    </row>
    <row r="137" spans="1:15" s="1" customFormat="1" ht="27.75" customHeight="1" thickBot="1">
      <c r="A137" s="1582"/>
      <c r="B137" s="1576"/>
      <c r="C137" s="1576"/>
      <c r="D137" s="1576"/>
      <c r="E137" s="1576"/>
      <c r="F137" s="1576"/>
      <c r="G137" s="1576"/>
      <c r="H137" s="1576"/>
      <c r="I137" s="1576"/>
      <c r="J137" s="1576"/>
      <c r="K137" s="1639"/>
      <c r="L137" s="589" t="s">
        <v>669</v>
      </c>
      <c r="M137" s="972" t="s">
        <v>670</v>
      </c>
      <c r="N137" s="972" t="s">
        <v>671</v>
      </c>
      <c r="O137" s="973" t="s">
        <v>17</v>
      </c>
    </row>
    <row r="138" spans="1:15" s="1" customFormat="1" ht="52.5" customHeight="1">
      <c r="A138" s="621" t="s">
        <v>27</v>
      </c>
      <c r="B138" s="691" t="s">
        <v>1427</v>
      </c>
      <c r="C138" s="977" t="s">
        <v>705</v>
      </c>
      <c r="D138" s="372"/>
      <c r="E138" s="372">
        <v>33</v>
      </c>
      <c r="F138" s="187" t="s">
        <v>693</v>
      </c>
      <c r="G138" s="187" t="s">
        <v>692</v>
      </c>
      <c r="H138" s="734" t="s">
        <v>1531</v>
      </c>
      <c r="I138" s="187">
        <v>26219561</v>
      </c>
      <c r="J138" s="501" t="s">
        <v>747</v>
      </c>
      <c r="K138" s="857">
        <v>4</v>
      </c>
      <c r="L138" s="275">
        <v>1909</v>
      </c>
      <c r="M138" s="276"/>
      <c r="N138" s="276"/>
      <c r="O138" s="275">
        <f>L138</f>
        <v>1909</v>
      </c>
    </row>
    <row r="139" spans="1:15" s="1" customFormat="1" ht="52.5" customHeight="1">
      <c r="A139" s="621" t="s">
        <v>27</v>
      </c>
      <c r="B139" s="48" t="s">
        <v>1427</v>
      </c>
      <c r="C139" s="848" t="s">
        <v>705</v>
      </c>
      <c r="D139" s="6"/>
      <c r="E139" s="6">
        <v>33</v>
      </c>
      <c r="F139" s="4" t="s">
        <v>693</v>
      </c>
      <c r="G139" s="4" t="s">
        <v>692</v>
      </c>
      <c r="H139" s="719" t="s">
        <v>1533</v>
      </c>
      <c r="I139" s="4">
        <v>78241703</v>
      </c>
      <c r="J139" s="31" t="s">
        <v>747</v>
      </c>
      <c r="K139" s="88">
        <v>20</v>
      </c>
      <c r="L139" s="34">
        <v>45830</v>
      </c>
      <c r="M139" s="35"/>
      <c r="N139" s="35"/>
      <c r="O139" s="34">
        <f>L139</f>
        <v>45830</v>
      </c>
    </row>
    <row r="140" spans="1:15" s="1" customFormat="1" ht="52.5" customHeight="1" thickBot="1">
      <c r="A140" s="621" t="s">
        <v>27</v>
      </c>
      <c r="B140" s="1149" t="s">
        <v>1427</v>
      </c>
      <c r="C140" s="234" t="s">
        <v>705</v>
      </c>
      <c r="D140" s="4"/>
      <c r="E140" s="4"/>
      <c r="F140" s="4" t="s">
        <v>693</v>
      </c>
      <c r="G140" s="6" t="s">
        <v>692</v>
      </c>
      <c r="H140" s="797" t="s">
        <v>1532</v>
      </c>
      <c r="I140" s="4">
        <v>44960</v>
      </c>
      <c r="J140" s="31" t="s">
        <v>747</v>
      </c>
      <c r="K140" s="88">
        <v>4</v>
      </c>
      <c r="L140" s="34">
        <v>1015</v>
      </c>
      <c r="M140" s="35"/>
      <c r="N140" s="35"/>
      <c r="O140" s="34">
        <f>L140</f>
        <v>1015</v>
      </c>
    </row>
    <row r="141" spans="1:15" s="1" customFormat="1" ht="15">
      <c r="A141" s="849"/>
      <c r="B141" s="10" t="s">
        <v>23</v>
      </c>
      <c r="C141" s="11" t="s">
        <v>836</v>
      </c>
      <c r="D141" s="44"/>
      <c r="E141" s="56"/>
      <c r="F141" s="56"/>
      <c r="G141" s="10" t="s">
        <v>1719</v>
      </c>
      <c r="H141" s="12" t="s">
        <v>1427</v>
      </c>
      <c r="I141" s="14"/>
      <c r="L141" s="33"/>
      <c r="M141" s="33"/>
      <c r="N141" s="34" t="s">
        <v>24</v>
      </c>
      <c r="O141" s="574">
        <f>SUM(O138:O140)</f>
        <v>48754</v>
      </c>
    </row>
    <row r="142" spans="2:12" s="1" customFormat="1" ht="15">
      <c r="B142" s="13"/>
      <c r="C142" s="14" t="s">
        <v>34</v>
      </c>
      <c r="D142" s="42"/>
      <c r="E142" s="56"/>
      <c r="F142" s="56"/>
      <c r="G142" s="571"/>
      <c r="H142" s="15" t="s">
        <v>1428</v>
      </c>
      <c r="I142" s="14"/>
      <c r="L142" s="33"/>
    </row>
    <row r="143" spans="2:12" s="1" customFormat="1" ht="15">
      <c r="B143" s="13"/>
      <c r="C143" s="14" t="s">
        <v>26</v>
      </c>
      <c r="D143" s="42"/>
      <c r="E143" s="56"/>
      <c r="F143" s="56"/>
      <c r="G143" s="571"/>
      <c r="H143" s="15" t="s">
        <v>696</v>
      </c>
      <c r="I143" s="14"/>
      <c r="L143" s="72"/>
    </row>
    <row r="144" spans="2:19" s="1" customFormat="1" ht="15.75" thickBot="1">
      <c r="B144" s="571" t="s">
        <v>169</v>
      </c>
      <c r="C144" s="600">
        <v>8222342426</v>
      </c>
      <c r="D144" s="42"/>
      <c r="E144" s="56"/>
      <c r="F144" s="56"/>
      <c r="G144" s="447"/>
      <c r="H144" s="1157"/>
      <c r="I144" s="14"/>
      <c r="L144" s="72"/>
      <c r="R144" s="33"/>
      <c r="S144" s="33"/>
    </row>
    <row r="145" spans="2:19" s="1" customFormat="1" ht="15.75" thickBot="1">
      <c r="B145" s="447"/>
      <c r="C145" s="99"/>
      <c r="D145" s="43"/>
      <c r="E145" s="56"/>
      <c r="F145" s="56"/>
      <c r="G145" s="595"/>
      <c r="H145" s="724"/>
      <c r="I145" s="14"/>
      <c r="R145" s="33"/>
      <c r="S145" s="33"/>
    </row>
    <row r="146" spans="2:13" s="1" customFormat="1" ht="15">
      <c r="B146" s="614"/>
      <c r="C146" s="14"/>
      <c r="D146" s="56"/>
      <c r="E146" s="56"/>
      <c r="F146" s="56"/>
      <c r="G146" s="56"/>
      <c r="L146" s="38" t="s">
        <v>63</v>
      </c>
      <c r="M146" s="33">
        <f>SUM(O19,O31,O42,O53,O66,O76,O86,O99,O109,O119,O129,O141)</f>
        <v>1718869</v>
      </c>
    </row>
    <row r="147" spans="2:7" s="1" customFormat="1" ht="15.75" thickBot="1">
      <c r="B147" s="614"/>
      <c r="C147" s="14"/>
      <c r="D147" s="56"/>
      <c r="E147" s="56"/>
      <c r="F147" s="56"/>
      <c r="G147" s="56"/>
    </row>
    <row r="148" spans="1:15" ht="43.5" customHeight="1">
      <c r="A148" s="1"/>
      <c r="B148" s="1"/>
      <c r="C148" s="1"/>
      <c r="D148" s="1"/>
      <c r="E148" s="1"/>
      <c r="K148" s="1621" t="s">
        <v>60</v>
      </c>
      <c r="L148" s="1623" t="s">
        <v>675</v>
      </c>
      <c r="M148" s="1624"/>
      <c r="N148" s="1625"/>
      <c r="O148" s="1626" t="s">
        <v>61</v>
      </c>
    </row>
    <row r="149" spans="1:15" ht="30.75" customHeight="1" thickBot="1">
      <c r="A149" s="1"/>
      <c r="B149" s="1"/>
      <c r="C149" s="1"/>
      <c r="D149" s="1"/>
      <c r="E149" s="1"/>
      <c r="K149" s="1622"/>
      <c r="L149" s="282" t="s">
        <v>62</v>
      </c>
      <c r="M149" s="282" t="s">
        <v>670</v>
      </c>
      <c r="N149" s="282" t="s">
        <v>671</v>
      </c>
      <c r="O149" s="1627"/>
    </row>
    <row r="150" spans="1:15" ht="24.75" customHeight="1">
      <c r="A150" s="5"/>
      <c r="B150" s="1"/>
      <c r="C150" s="2"/>
      <c r="D150" s="2"/>
      <c r="E150" s="1"/>
      <c r="K150" s="418" t="s">
        <v>29</v>
      </c>
      <c r="L150" s="1022">
        <f>O29+O30+O40+O41+O64+O65+O96+O97+O98</f>
        <v>383148</v>
      </c>
      <c r="M150" s="981"/>
      <c r="N150" s="982"/>
      <c r="O150" s="821">
        <v>9</v>
      </c>
    </row>
    <row r="151" spans="1:15" s="1" customFormat="1" ht="24.75" customHeight="1">
      <c r="A151" s="818"/>
      <c r="C151" s="2"/>
      <c r="D151" s="2"/>
      <c r="K151" s="1020" t="s">
        <v>747</v>
      </c>
      <c r="L151" s="1102">
        <f>O118+O138+O139+O140</f>
        <v>148754</v>
      </c>
      <c r="M151" s="825"/>
      <c r="N151" s="983"/>
      <c r="O151" s="822">
        <v>4</v>
      </c>
    </row>
    <row r="152" spans="1:15" s="1" customFormat="1" ht="24.75" customHeight="1">
      <c r="A152" s="818"/>
      <c r="C152" s="2"/>
      <c r="D152" s="2"/>
      <c r="K152" s="1020" t="s">
        <v>1155</v>
      </c>
      <c r="L152" s="1103"/>
      <c r="M152" s="220">
        <f>M108</f>
        <v>240000</v>
      </c>
      <c r="N152" s="984">
        <f>N108</f>
        <v>95000</v>
      </c>
      <c r="O152" s="822">
        <v>1</v>
      </c>
    </row>
    <row r="153" spans="1:15" s="1" customFormat="1" ht="24.75" customHeight="1">
      <c r="A153" s="818"/>
      <c r="C153" s="2"/>
      <c r="D153" s="2"/>
      <c r="K153" s="1020" t="s">
        <v>1394</v>
      </c>
      <c r="L153" s="1103"/>
      <c r="M153" s="220">
        <f>M128</f>
        <v>90000</v>
      </c>
      <c r="N153" s="984">
        <f>N128</f>
        <v>65000</v>
      </c>
      <c r="O153" s="822">
        <v>1</v>
      </c>
    </row>
    <row r="154" spans="1:15" ht="24.75" customHeight="1" thickBot="1">
      <c r="A154" s="1"/>
      <c r="B154" s="1"/>
      <c r="C154" s="1"/>
      <c r="D154" s="1"/>
      <c r="E154" s="1"/>
      <c r="K154" s="823" t="s">
        <v>22</v>
      </c>
      <c r="L154" s="1104">
        <f>O18+O52+O63+O75+O85</f>
        <v>696967</v>
      </c>
      <c r="M154" s="985"/>
      <c r="N154" s="986"/>
      <c r="O154" s="823">
        <v>5</v>
      </c>
    </row>
    <row r="155" spans="1:15" ht="24.75" customHeight="1" thickBot="1">
      <c r="A155" s="1"/>
      <c r="B155" s="1"/>
      <c r="C155" s="1"/>
      <c r="D155" s="1"/>
      <c r="E155" s="1"/>
      <c r="K155" s="353" t="s">
        <v>63</v>
      </c>
      <c r="L155" s="978">
        <f>SUM(L150:L154)</f>
        <v>1228869</v>
      </c>
      <c r="M155" s="979">
        <f>SUM(M150:M154)</f>
        <v>330000</v>
      </c>
      <c r="N155" s="980">
        <f>SUM(N150:N154)</f>
        <v>160000</v>
      </c>
      <c r="O155" s="685">
        <f>SUM(O150:O154)</f>
        <v>20</v>
      </c>
    </row>
    <row r="156" spans="1:15" ht="24.75" customHeight="1" thickBot="1">
      <c r="A156" s="1"/>
      <c r="B156" s="1"/>
      <c r="C156" s="1"/>
      <c r="D156" s="1"/>
      <c r="E156" s="1"/>
      <c r="K156" s="1"/>
      <c r="L156" s="38" t="s">
        <v>64</v>
      </c>
      <c r="M156" s="681">
        <f>SUM(L155:N155)</f>
        <v>1718869</v>
      </c>
      <c r="N156" s="1"/>
      <c r="O156" s="1"/>
    </row>
    <row r="158" ht="14.25">
      <c r="H158" s="40"/>
    </row>
    <row r="159" spans="1:15" ht="14.25">
      <c r="A159" s="1"/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1"/>
      <c r="N159" s="1"/>
      <c r="O159" s="1"/>
    </row>
    <row r="160" ht="14.25">
      <c r="H160" s="41"/>
    </row>
    <row r="161" spans="1:15" ht="14.25">
      <c r="A161" s="1"/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1"/>
      <c r="N161" s="1"/>
      <c r="O161" s="1"/>
    </row>
    <row r="162" ht="14.25">
      <c r="H162" s="1"/>
    </row>
    <row r="163" spans="1:15" ht="14.25">
      <c r="A163" s="1"/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1"/>
      <c r="N163" s="1"/>
      <c r="O163" s="1"/>
    </row>
    <row r="164" ht="14.25">
      <c r="H164" s="41"/>
    </row>
  </sheetData>
  <sheetProtection/>
  <mergeCells count="162">
    <mergeCell ref="L106:O106"/>
    <mergeCell ref="L126:O126"/>
    <mergeCell ref="L136:O136"/>
    <mergeCell ref="G125:G127"/>
    <mergeCell ref="H125:H127"/>
    <mergeCell ref="I125:I127"/>
    <mergeCell ref="J125:J127"/>
    <mergeCell ref="K125:K127"/>
    <mergeCell ref="L125:O125"/>
    <mergeCell ref="L116:O116"/>
    <mergeCell ref="A125:A127"/>
    <mergeCell ref="B125:B127"/>
    <mergeCell ref="C125:C127"/>
    <mergeCell ref="D125:D127"/>
    <mergeCell ref="E125:E127"/>
    <mergeCell ref="F125:F127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G105:G107"/>
    <mergeCell ref="H105:H107"/>
    <mergeCell ref="I105:I107"/>
    <mergeCell ref="J105:J107"/>
    <mergeCell ref="E93:E95"/>
    <mergeCell ref="G93:G95"/>
    <mergeCell ref="F93:F95"/>
    <mergeCell ref="A105:A107"/>
    <mergeCell ref="B105:B107"/>
    <mergeCell ref="C105:C107"/>
    <mergeCell ref="D105:D107"/>
    <mergeCell ref="E105:E107"/>
    <mergeCell ref="F105:F107"/>
    <mergeCell ref="A15:A17"/>
    <mergeCell ref="B15:B17"/>
    <mergeCell ref="C15:C17"/>
    <mergeCell ref="D15:D17"/>
    <mergeCell ref="E15:E17"/>
    <mergeCell ref="H82:H84"/>
    <mergeCell ref="B26:B28"/>
    <mergeCell ref="C26:C28"/>
    <mergeCell ref="F15:F17"/>
    <mergeCell ref="C82:C84"/>
    <mergeCell ref="L148:N148"/>
    <mergeCell ref="O148:O149"/>
    <mergeCell ref="I82:I84"/>
    <mergeCell ref="J82:J84"/>
    <mergeCell ref="K148:K149"/>
    <mergeCell ref="L93:O93"/>
    <mergeCell ref="J115:J117"/>
    <mergeCell ref="K105:K107"/>
    <mergeCell ref="L105:O105"/>
    <mergeCell ref="K115:K117"/>
    <mergeCell ref="L115:O115"/>
    <mergeCell ref="I93:I95"/>
    <mergeCell ref="L73:O73"/>
    <mergeCell ref="I72:I74"/>
    <mergeCell ref="J72:J74"/>
    <mergeCell ref="L82:O82"/>
    <mergeCell ref="K93:K95"/>
    <mergeCell ref="J93:J95"/>
    <mergeCell ref="L72:O72"/>
    <mergeCell ref="K82:K84"/>
    <mergeCell ref="K72:K74"/>
    <mergeCell ref="A93:A95"/>
    <mergeCell ref="A82:A84"/>
    <mergeCell ref="B93:B95"/>
    <mergeCell ref="C93:C95"/>
    <mergeCell ref="D93:D95"/>
    <mergeCell ref="F72:F74"/>
    <mergeCell ref="F82:F84"/>
    <mergeCell ref="B82:B84"/>
    <mergeCell ref="E72:E74"/>
    <mergeCell ref="B37:B39"/>
    <mergeCell ref="C37:C39"/>
    <mergeCell ref="A37:A39"/>
    <mergeCell ref="A60:A62"/>
    <mergeCell ref="H93:H95"/>
    <mergeCell ref="H72:H74"/>
    <mergeCell ref="D82:D84"/>
    <mergeCell ref="E82:E84"/>
    <mergeCell ref="G82:G84"/>
    <mergeCell ref="D60:D62"/>
    <mergeCell ref="J49:J51"/>
    <mergeCell ref="F60:F62"/>
    <mergeCell ref="A72:A74"/>
    <mergeCell ref="B72:B74"/>
    <mergeCell ref="C72:C74"/>
    <mergeCell ref="D72:D74"/>
    <mergeCell ref="A49:A51"/>
    <mergeCell ref="B49:B51"/>
    <mergeCell ref="I60:I62"/>
    <mergeCell ref="H60:H62"/>
    <mergeCell ref="D37:D39"/>
    <mergeCell ref="C49:C51"/>
    <mergeCell ref="D49:D51"/>
    <mergeCell ref="E49:E51"/>
    <mergeCell ref="E60:E62"/>
    <mergeCell ref="E26:E28"/>
    <mergeCell ref="F26:F28"/>
    <mergeCell ref="H37:H39"/>
    <mergeCell ref="I37:I39"/>
    <mergeCell ref="G72:G74"/>
    <mergeCell ref="G26:G28"/>
    <mergeCell ref="G37:G39"/>
    <mergeCell ref="F37:F39"/>
    <mergeCell ref="L38:O38"/>
    <mergeCell ref="J37:J39"/>
    <mergeCell ref="H26:H28"/>
    <mergeCell ref="K15:K17"/>
    <mergeCell ref="L15:O15"/>
    <mergeCell ref="L16:O16"/>
    <mergeCell ref="J26:J28"/>
    <mergeCell ref="L27:O27"/>
    <mergeCell ref="J15:J17"/>
    <mergeCell ref="L61:O61"/>
    <mergeCell ref="L49:O49"/>
    <mergeCell ref="L60:O60"/>
    <mergeCell ref="K37:K39"/>
    <mergeCell ref="A26:A28"/>
    <mergeCell ref="D26:D28"/>
    <mergeCell ref="G49:G51"/>
    <mergeCell ref="I49:I51"/>
    <mergeCell ref="F49:F51"/>
    <mergeCell ref="E37:E39"/>
    <mergeCell ref="B1:I1"/>
    <mergeCell ref="B60:B62"/>
    <mergeCell ref="C60:C62"/>
    <mergeCell ref="I26:I28"/>
    <mergeCell ref="L94:O94"/>
    <mergeCell ref="L83:O83"/>
    <mergeCell ref="K49:K51"/>
    <mergeCell ref="L26:O26"/>
    <mergeCell ref="L37:O37"/>
    <mergeCell ref="L50:O50"/>
    <mergeCell ref="B3:I3"/>
    <mergeCell ref="B5:I5"/>
    <mergeCell ref="G15:G17"/>
    <mergeCell ref="I15:I17"/>
    <mergeCell ref="H15:H17"/>
    <mergeCell ref="K60:K62"/>
    <mergeCell ref="H49:H51"/>
    <mergeCell ref="G60:G62"/>
    <mergeCell ref="J60:J62"/>
    <mergeCell ref="K26:K28"/>
    <mergeCell ref="A135:A137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K137"/>
    <mergeCell ref="L135:O1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2"/>
  <sheetViews>
    <sheetView zoomScale="80" zoomScaleNormal="80" zoomScalePageLayoutView="0" workbookViewId="0" topLeftCell="A109">
      <selection activeCell="B112" sqref="B112:I116"/>
    </sheetView>
  </sheetViews>
  <sheetFormatPr defaultColWidth="8.796875" defaultRowHeight="14.25"/>
  <cols>
    <col min="1" max="1" width="11.3984375" style="5" customWidth="1"/>
    <col min="2" max="2" width="20.3984375" style="1" customWidth="1"/>
    <col min="3" max="3" width="12.09765625" style="1" customWidth="1"/>
    <col min="4" max="4" width="15.8984375" style="1" customWidth="1"/>
    <col min="5" max="5" width="11.59765625" style="1" customWidth="1"/>
    <col min="6" max="6" width="10.19921875" style="1" customWidth="1"/>
    <col min="7" max="7" width="12.09765625" style="1" customWidth="1"/>
    <col min="8" max="8" width="16.8984375" style="1" customWidth="1"/>
    <col min="9" max="9" width="28.59765625" style="1" customWidth="1"/>
    <col min="10" max="10" width="13.69921875" style="5" customWidth="1"/>
    <col min="11" max="11" width="12.3984375" style="7" customWidth="1"/>
    <col min="12" max="12" width="14.8984375" style="33" customWidth="1"/>
    <col min="13" max="13" width="16.59765625" style="33" customWidth="1"/>
    <col min="14" max="14" width="17.09765625" style="33" customWidth="1"/>
    <col min="15" max="15" width="20.09765625" style="33" customWidth="1"/>
    <col min="16" max="16" width="16.59765625" style="1" customWidth="1"/>
    <col min="17" max="17" width="16.09765625" style="1" customWidth="1"/>
    <col min="18" max="18" width="14.09765625" style="1" customWidth="1"/>
    <col min="19" max="19" width="17.69921875" style="1" customWidth="1"/>
    <col min="20" max="20" width="22.5" style="1" customWidth="1"/>
    <col min="21" max="21" width="22.09765625" style="1" customWidth="1"/>
    <col min="22" max="16384" width="9" style="1" customWidth="1"/>
  </cols>
  <sheetData>
    <row r="1" spans="1:10" ht="18">
      <c r="A1" s="295"/>
      <c r="B1" s="1609" t="s">
        <v>1231</v>
      </c>
      <c r="C1" s="1609"/>
      <c r="D1" s="1609"/>
      <c r="E1" s="1609"/>
      <c r="F1" s="1609"/>
      <c r="G1" s="1609"/>
      <c r="H1" s="1609"/>
      <c r="I1" s="1609"/>
      <c r="J1" s="295"/>
    </row>
    <row r="2" spans="1:10" ht="15">
      <c r="A2" s="295"/>
      <c r="B2" s="489"/>
      <c r="C2" s="489"/>
      <c r="D2" s="489"/>
      <c r="E2" s="489"/>
      <c r="F2" s="489"/>
      <c r="G2" s="489"/>
      <c r="H2" s="489"/>
      <c r="I2" s="489"/>
      <c r="J2" s="295"/>
    </row>
    <row r="3" spans="1:10" ht="30.75" customHeight="1">
      <c r="A3" s="295"/>
      <c r="B3" s="1642" t="s">
        <v>677</v>
      </c>
      <c r="C3" s="1643"/>
      <c r="D3" s="1643"/>
      <c r="E3" s="1643"/>
      <c r="F3" s="1643"/>
      <c r="G3" s="1643"/>
      <c r="H3" s="1643"/>
      <c r="I3" s="1644"/>
      <c r="J3" s="295"/>
    </row>
    <row r="4" spans="1:10" ht="15">
      <c r="A4" s="295"/>
      <c r="B4" s="487"/>
      <c r="C4" s="487"/>
      <c r="D4" s="487"/>
      <c r="E4" s="487"/>
      <c r="F4" s="487"/>
      <c r="G4" s="487"/>
      <c r="H4" s="487"/>
      <c r="I4" s="487"/>
      <c r="J4" s="295"/>
    </row>
    <row r="5" spans="1:10" ht="15">
      <c r="A5" s="1"/>
      <c r="B5" s="1605" t="s">
        <v>1103</v>
      </c>
      <c r="C5" s="1605"/>
      <c r="D5" s="1605"/>
      <c r="E5" s="1605"/>
      <c r="F5" s="1605"/>
      <c r="G5" s="1605"/>
      <c r="H5" s="1605"/>
      <c r="I5" s="1605"/>
      <c r="J5" s="295"/>
    </row>
    <row r="6" spans="1:11" ht="15">
      <c r="A6" s="1"/>
      <c r="B6" s="487"/>
      <c r="C6" s="487"/>
      <c r="D6" s="487"/>
      <c r="E6" s="487"/>
      <c r="F6" s="487"/>
      <c r="G6" s="487"/>
      <c r="H6" s="487"/>
      <c r="I6" s="490"/>
      <c r="J6" s="295"/>
      <c r="K6" s="1108"/>
    </row>
    <row r="7" spans="1:10" ht="15.75">
      <c r="A7" s="1"/>
      <c r="B7" s="488" t="s">
        <v>1</v>
      </c>
      <c r="C7" s="489"/>
      <c r="D7" s="487"/>
      <c r="E7" s="487"/>
      <c r="F7" s="487"/>
      <c r="G7" s="489"/>
      <c r="H7" s="487"/>
      <c r="I7" s="490"/>
      <c r="J7" s="295"/>
    </row>
    <row r="8" spans="1:9" ht="15.75">
      <c r="A8" s="1"/>
      <c r="B8" s="1389" t="s">
        <v>1833</v>
      </c>
      <c r="C8" s="489"/>
      <c r="D8" s="487"/>
      <c r="E8" s="487"/>
      <c r="F8" s="487"/>
      <c r="G8" s="489"/>
      <c r="H8" s="487"/>
      <c r="I8" s="490"/>
    </row>
    <row r="9" spans="1:9" ht="15.75">
      <c r="A9" s="1"/>
      <c r="B9" s="491" t="s">
        <v>1535</v>
      </c>
      <c r="C9" s="489"/>
      <c r="D9" s="492"/>
      <c r="E9" s="487"/>
      <c r="F9" s="487"/>
      <c r="G9" s="489"/>
      <c r="H9" s="487"/>
      <c r="I9" s="490"/>
    </row>
    <row r="10" spans="1:9" ht="15.75">
      <c r="A10" s="1"/>
      <c r="B10" s="491" t="s">
        <v>1096</v>
      </c>
      <c r="C10" s="489"/>
      <c r="D10" s="492"/>
      <c r="E10" s="487"/>
      <c r="F10" s="487"/>
      <c r="G10" s="489"/>
      <c r="H10" s="487"/>
      <c r="I10" s="490"/>
    </row>
    <row r="11" spans="1:9" ht="15">
      <c r="A11" s="1"/>
      <c r="B11" s="489" t="s">
        <v>727</v>
      </c>
      <c r="C11" s="489"/>
      <c r="D11" s="489"/>
      <c r="E11" s="489"/>
      <c r="F11" s="489"/>
      <c r="G11" s="489"/>
      <c r="H11" s="487"/>
      <c r="I11" s="490"/>
    </row>
    <row r="12" spans="1:9" ht="15.75">
      <c r="A12" s="1"/>
      <c r="B12" s="493" t="s">
        <v>3</v>
      </c>
      <c r="C12" s="494" t="s">
        <v>4</v>
      </c>
      <c r="D12" s="492"/>
      <c r="E12" s="492"/>
      <c r="F12" s="492"/>
      <c r="G12" s="492"/>
      <c r="H12" s="495"/>
      <c r="I12" s="489"/>
    </row>
    <row r="13" spans="1:9" ht="15.75">
      <c r="A13" s="1"/>
      <c r="B13" s="493" t="s">
        <v>5</v>
      </c>
      <c r="C13" s="488" t="s">
        <v>6</v>
      </c>
      <c r="D13" s="492"/>
      <c r="E13" s="492"/>
      <c r="F13" s="492"/>
      <c r="G13" s="492"/>
      <c r="H13" s="495"/>
      <c r="I13" s="489"/>
    </row>
    <row r="14" ht="15" thickBot="1"/>
    <row r="15" spans="1:15" ht="43.5" customHeight="1">
      <c r="A15" s="1588" t="s">
        <v>7</v>
      </c>
      <c r="B15" s="1591" t="s">
        <v>664</v>
      </c>
      <c r="C15" s="1594" t="s">
        <v>9</v>
      </c>
      <c r="D15" s="1594" t="s">
        <v>10</v>
      </c>
      <c r="E15" s="1574" t="s">
        <v>844</v>
      </c>
      <c r="F15" s="1574" t="s">
        <v>12</v>
      </c>
      <c r="G15" s="1594" t="s">
        <v>13</v>
      </c>
      <c r="H15" s="1574" t="s">
        <v>282</v>
      </c>
      <c r="I15" s="1574" t="s">
        <v>14</v>
      </c>
      <c r="J15" s="1574" t="s">
        <v>60</v>
      </c>
      <c r="K15" s="1583" t="s">
        <v>666</v>
      </c>
      <c r="L15" s="1640" t="s">
        <v>667</v>
      </c>
      <c r="M15" s="1634"/>
      <c r="N15" s="1634"/>
      <c r="O15" s="1641"/>
    </row>
    <row r="16" spans="1:15" ht="43.5" customHeight="1">
      <c r="A16" s="1589"/>
      <c r="B16" s="1592"/>
      <c r="C16" s="1595"/>
      <c r="D16" s="1595"/>
      <c r="E16" s="1575"/>
      <c r="F16" s="1575"/>
      <c r="G16" s="1595"/>
      <c r="H16" s="1575"/>
      <c r="I16" s="1575"/>
      <c r="J16" s="1575"/>
      <c r="K16" s="1584"/>
      <c r="L16" s="1597" t="s">
        <v>668</v>
      </c>
      <c r="M16" s="1568"/>
      <c r="N16" s="1568"/>
      <c r="O16" s="1598"/>
    </row>
    <row r="17" spans="1:15" ht="24.75" customHeight="1" thickBot="1">
      <c r="A17" s="1590"/>
      <c r="B17" s="1593"/>
      <c r="C17" s="1596"/>
      <c r="D17" s="1596"/>
      <c r="E17" s="1576"/>
      <c r="F17" s="1576"/>
      <c r="G17" s="1596"/>
      <c r="H17" s="1576"/>
      <c r="I17" s="1576"/>
      <c r="J17" s="1576"/>
      <c r="K17" s="1585"/>
      <c r="L17" s="589" t="s">
        <v>669</v>
      </c>
      <c r="M17" s="1373" t="s">
        <v>670</v>
      </c>
      <c r="N17" s="1373" t="s">
        <v>671</v>
      </c>
      <c r="O17" s="1374" t="s">
        <v>17</v>
      </c>
    </row>
    <row r="18" spans="1:15" ht="18">
      <c r="A18" s="621" t="s">
        <v>27</v>
      </c>
      <c r="B18" s="1119"/>
      <c r="C18" s="569" t="s">
        <v>164</v>
      </c>
      <c r="D18" s="569" t="s">
        <v>1053</v>
      </c>
      <c r="E18" s="568">
        <v>61</v>
      </c>
      <c r="F18" s="187" t="s">
        <v>166</v>
      </c>
      <c r="G18" s="187" t="s">
        <v>165</v>
      </c>
      <c r="H18" s="107">
        <v>1000817</v>
      </c>
      <c r="I18" s="734" t="s">
        <v>1054</v>
      </c>
      <c r="J18" s="501" t="s">
        <v>67</v>
      </c>
      <c r="K18" s="274">
        <v>4</v>
      </c>
      <c r="L18" s="276"/>
      <c r="M18" s="275">
        <f>5907-5169</f>
        <v>738</v>
      </c>
      <c r="N18" s="275">
        <f>10229-8778</f>
        <v>1451</v>
      </c>
      <c r="O18" s="324">
        <f>SUM(M18:N18)</f>
        <v>2189</v>
      </c>
    </row>
    <row r="19" spans="1:15" ht="18.75" thickBot="1">
      <c r="A19" s="593" t="s">
        <v>27</v>
      </c>
      <c r="B19" s="3"/>
      <c r="C19" s="3" t="s">
        <v>164</v>
      </c>
      <c r="D19" s="3"/>
      <c r="E19" s="3">
        <v>52</v>
      </c>
      <c r="F19" s="4" t="s">
        <v>166</v>
      </c>
      <c r="G19" s="4" t="s">
        <v>165</v>
      </c>
      <c r="H19" s="23">
        <v>90137641</v>
      </c>
      <c r="I19" s="797" t="s">
        <v>1041</v>
      </c>
      <c r="J19" s="1399" t="s">
        <v>29</v>
      </c>
      <c r="K19" s="120">
        <v>6.6</v>
      </c>
      <c r="L19" s="34">
        <f>27590-10458</f>
        <v>17132</v>
      </c>
      <c r="M19" s="35"/>
      <c r="N19" s="35"/>
      <c r="O19" s="34">
        <f>L19</f>
        <v>17132</v>
      </c>
    </row>
    <row r="20" spans="1:15" ht="22.5" customHeight="1">
      <c r="A20" s="295"/>
      <c r="B20" s="1390" t="s">
        <v>23</v>
      </c>
      <c r="C20" s="125" t="s">
        <v>1101</v>
      </c>
      <c r="D20" s="12"/>
      <c r="E20" s="14"/>
      <c r="H20" s="10" t="s">
        <v>1719</v>
      </c>
      <c r="I20" s="82" t="s">
        <v>1055</v>
      </c>
      <c r="J20" s="1400"/>
      <c r="N20" s="34" t="s">
        <v>24</v>
      </c>
      <c r="O20" s="574">
        <f>SUM(O18:O19)</f>
        <v>19321</v>
      </c>
    </row>
    <row r="21" spans="1:10" ht="15">
      <c r="A21" s="295"/>
      <c r="B21" s="54"/>
      <c r="C21" s="45" t="s">
        <v>1102</v>
      </c>
      <c r="D21" s="15"/>
      <c r="E21" s="14"/>
      <c r="H21" s="190"/>
      <c r="I21" s="70" t="s">
        <v>1454</v>
      </c>
      <c r="J21" s="1401"/>
    </row>
    <row r="22" spans="1:10" ht="15">
      <c r="A22" s="295"/>
      <c r="B22" s="54"/>
      <c r="C22" s="45" t="s">
        <v>168</v>
      </c>
      <c r="D22" s="15"/>
      <c r="E22" s="14"/>
      <c r="H22" s="190"/>
      <c r="I22" s="20" t="s">
        <v>164</v>
      </c>
      <c r="J22" s="1401"/>
    </row>
    <row r="23" spans="1:10" ht="15.75" thickBot="1">
      <c r="A23" s="295"/>
      <c r="B23" s="69" t="s">
        <v>169</v>
      </c>
      <c r="C23" s="45">
        <v>8222160292</v>
      </c>
      <c r="D23" s="15"/>
      <c r="E23" s="14"/>
      <c r="H23" s="193"/>
      <c r="I23" s="99" t="s">
        <v>168</v>
      </c>
      <c r="J23" s="671"/>
    </row>
    <row r="24" spans="1:10" ht="15.75" thickBot="1">
      <c r="A24" s="295"/>
      <c r="B24" s="455" t="s">
        <v>1112</v>
      </c>
      <c r="C24" s="116" t="s">
        <v>1241</v>
      </c>
      <c r="D24" s="18"/>
      <c r="E24" s="14"/>
      <c r="J24" s="295"/>
    </row>
    <row r="25" ht="15" thickBot="1"/>
    <row r="26" spans="1:15" ht="39" customHeight="1">
      <c r="A26" s="1588" t="s">
        <v>7</v>
      </c>
      <c r="B26" s="1591" t="s">
        <v>664</v>
      </c>
      <c r="C26" s="1594" t="s">
        <v>9</v>
      </c>
      <c r="D26" s="1594" t="s">
        <v>10</v>
      </c>
      <c r="E26" s="1574" t="s">
        <v>844</v>
      </c>
      <c r="F26" s="1574" t="s">
        <v>12</v>
      </c>
      <c r="G26" s="1594" t="s">
        <v>13</v>
      </c>
      <c r="H26" s="1574" t="s">
        <v>282</v>
      </c>
      <c r="I26" s="1574" t="s">
        <v>14</v>
      </c>
      <c r="J26" s="1574" t="s">
        <v>60</v>
      </c>
      <c r="K26" s="1583" t="s">
        <v>666</v>
      </c>
      <c r="L26" s="1640" t="s">
        <v>667</v>
      </c>
      <c r="M26" s="1634"/>
      <c r="N26" s="1634"/>
      <c r="O26" s="1641"/>
    </row>
    <row r="27" spans="1:15" ht="33.75" customHeight="1">
      <c r="A27" s="1589"/>
      <c r="B27" s="1592"/>
      <c r="C27" s="1595"/>
      <c r="D27" s="1595"/>
      <c r="E27" s="1575"/>
      <c r="F27" s="1575"/>
      <c r="G27" s="1595"/>
      <c r="H27" s="1575"/>
      <c r="I27" s="1575"/>
      <c r="J27" s="1575"/>
      <c r="K27" s="1584"/>
      <c r="L27" s="1597" t="s">
        <v>668</v>
      </c>
      <c r="M27" s="1568"/>
      <c r="N27" s="1568"/>
      <c r="O27" s="1598"/>
    </row>
    <row r="28" spans="1:15" ht="28.5" customHeight="1" thickBot="1">
      <c r="A28" s="1590"/>
      <c r="B28" s="1593"/>
      <c r="C28" s="1596"/>
      <c r="D28" s="1596"/>
      <c r="E28" s="1576"/>
      <c r="F28" s="1576"/>
      <c r="G28" s="1596"/>
      <c r="H28" s="1576"/>
      <c r="I28" s="1576"/>
      <c r="J28" s="1576"/>
      <c r="K28" s="1585"/>
      <c r="L28" s="270" t="s">
        <v>669</v>
      </c>
      <c r="M28" s="277" t="s">
        <v>670</v>
      </c>
      <c r="N28" s="277" t="s">
        <v>671</v>
      </c>
      <c r="O28" s="272" t="s">
        <v>17</v>
      </c>
    </row>
    <row r="29" spans="1:15" ht="18.75" thickBot="1">
      <c r="A29" s="593" t="s">
        <v>27</v>
      </c>
      <c r="B29" s="1144" t="s">
        <v>163</v>
      </c>
      <c r="C29" s="1144" t="s">
        <v>171</v>
      </c>
      <c r="D29" s="1144" t="s">
        <v>172</v>
      </c>
      <c r="E29" s="1144">
        <v>4</v>
      </c>
      <c r="F29" s="1144" t="s">
        <v>173</v>
      </c>
      <c r="G29" s="1144" t="s">
        <v>171</v>
      </c>
      <c r="H29" s="22">
        <v>289817</v>
      </c>
      <c r="I29" s="797" t="s">
        <v>1046</v>
      </c>
      <c r="J29" s="1399" t="s">
        <v>29</v>
      </c>
      <c r="K29" s="1402">
        <v>14</v>
      </c>
      <c r="L29" s="34">
        <f>102576-73280</f>
        <v>29296</v>
      </c>
      <c r="M29" s="35"/>
      <c r="N29" s="35"/>
      <c r="O29" s="34">
        <f>L29</f>
        <v>29296</v>
      </c>
    </row>
    <row r="30" spans="2:15" ht="23.25" customHeight="1">
      <c r="B30" s="1390" t="s">
        <v>23</v>
      </c>
      <c r="C30" s="125" t="s">
        <v>1101</v>
      </c>
      <c r="D30" s="12"/>
      <c r="E30" s="20"/>
      <c r="F30" s="14"/>
      <c r="G30" s="14"/>
      <c r="H30" s="10" t="s">
        <v>1719</v>
      </c>
      <c r="I30" s="122" t="s">
        <v>170</v>
      </c>
      <c r="J30" s="723"/>
      <c r="K30" s="1403"/>
      <c r="N30" s="34" t="s">
        <v>24</v>
      </c>
      <c r="O30" s="574">
        <f>SUM(O29)</f>
        <v>29296</v>
      </c>
    </row>
    <row r="31" spans="2:11" ht="15.75" customHeight="1">
      <c r="B31" s="54"/>
      <c r="C31" s="45" t="s">
        <v>1102</v>
      </c>
      <c r="D31" s="15"/>
      <c r="E31" s="20"/>
      <c r="F31" s="14"/>
      <c r="G31" s="14"/>
      <c r="H31" s="13"/>
      <c r="I31" s="70" t="s">
        <v>174</v>
      </c>
      <c r="J31" s="269"/>
      <c r="K31" s="1404"/>
    </row>
    <row r="32" spans="2:11" ht="15.75" thickBot="1">
      <c r="B32" s="54"/>
      <c r="C32" s="45" t="s">
        <v>168</v>
      </c>
      <c r="D32" s="15"/>
      <c r="E32" s="20"/>
      <c r="F32" s="14"/>
      <c r="G32" s="14"/>
      <c r="H32" s="73"/>
      <c r="I32" s="99" t="s">
        <v>175</v>
      </c>
      <c r="J32" s="727"/>
      <c r="K32" s="1405"/>
    </row>
    <row r="33" spans="2:7" ht="15">
      <c r="B33" s="69" t="s">
        <v>169</v>
      </c>
      <c r="C33" s="45">
        <v>8222160292</v>
      </c>
      <c r="D33" s="15"/>
      <c r="E33" s="20"/>
      <c r="F33" s="14"/>
      <c r="G33" s="14"/>
    </row>
    <row r="34" spans="2:7" ht="15.75" thickBot="1">
      <c r="B34" s="455" t="s">
        <v>1112</v>
      </c>
      <c r="C34" s="116" t="s">
        <v>1241</v>
      </c>
      <c r="D34" s="18"/>
      <c r="E34" s="56"/>
      <c r="F34" s="56"/>
      <c r="G34" s="56"/>
    </row>
    <row r="35" ht="15" thickBot="1"/>
    <row r="36" spans="1:15" ht="39" customHeight="1">
      <c r="A36" s="1588" t="s">
        <v>7</v>
      </c>
      <c r="B36" s="1591" t="s">
        <v>664</v>
      </c>
      <c r="C36" s="1594" t="s">
        <v>9</v>
      </c>
      <c r="D36" s="1594" t="s">
        <v>10</v>
      </c>
      <c r="E36" s="1574" t="s">
        <v>844</v>
      </c>
      <c r="F36" s="1574" t="s">
        <v>12</v>
      </c>
      <c r="G36" s="1594" t="s">
        <v>13</v>
      </c>
      <c r="H36" s="1574" t="s">
        <v>282</v>
      </c>
      <c r="I36" s="1574" t="s">
        <v>14</v>
      </c>
      <c r="J36" s="1574" t="s">
        <v>60</v>
      </c>
      <c r="K36" s="1583" t="s">
        <v>666</v>
      </c>
      <c r="L36" s="1640" t="s">
        <v>667</v>
      </c>
      <c r="M36" s="1634"/>
      <c r="N36" s="1634"/>
      <c r="O36" s="1641"/>
    </row>
    <row r="37" spans="1:15" ht="28.5" customHeight="1">
      <c r="A37" s="1589"/>
      <c r="B37" s="1592"/>
      <c r="C37" s="1595"/>
      <c r="D37" s="1595"/>
      <c r="E37" s="1575"/>
      <c r="F37" s="1575"/>
      <c r="G37" s="1595"/>
      <c r="H37" s="1575"/>
      <c r="I37" s="1575"/>
      <c r="J37" s="1575"/>
      <c r="K37" s="1584"/>
      <c r="L37" s="1597" t="s">
        <v>668</v>
      </c>
      <c r="M37" s="1568"/>
      <c r="N37" s="1568"/>
      <c r="O37" s="1598"/>
    </row>
    <row r="38" spans="1:15" ht="28.5" customHeight="1" thickBot="1">
      <c r="A38" s="1590"/>
      <c r="B38" s="1593"/>
      <c r="C38" s="1596"/>
      <c r="D38" s="1596"/>
      <c r="E38" s="1576"/>
      <c r="F38" s="1576"/>
      <c r="G38" s="1596"/>
      <c r="H38" s="1576"/>
      <c r="I38" s="1576"/>
      <c r="J38" s="1576"/>
      <c r="K38" s="1585"/>
      <c r="L38" s="270" t="s">
        <v>669</v>
      </c>
      <c r="M38" s="277" t="s">
        <v>670</v>
      </c>
      <c r="N38" s="277" t="s">
        <v>671</v>
      </c>
      <c r="O38" s="272" t="s">
        <v>17</v>
      </c>
    </row>
    <row r="39" spans="1:15" ht="18.75" thickBot="1">
      <c r="A39" s="593" t="s">
        <v>27</v>
      </c>
      <c r="B39" s="1144" t="s">
        <v>524</v>
      </c>
      <c r="C39" s="1144" t="s">
        <v>171</v>
      </c>
      <c r="D39" s="1144" t="s">
        <v>176</v>
      </c>
      <c r="E39" s="1144">
        <v>3</v>
      </c>
      <c r="F39" s="3" t="s">
        <v>173</v>
      </c>
      <c r="G39" s="3" t="s">
        <v>171</v>
      </c>
      <c r="H39" s="24">
        <v>908205</v>
      </c>
      <c r="I39" s="719" t="s">
        <v>1047</v>
      </c>
      <c r="J39" s="416" t="s">
        <v>29</v>
      </c>
      <c r="K39" s="120">
        <v>30</v>
      </c>
      <c r="L39" s="34">
        <f>(8398.02-6338.12)*10</f>
        <v>20599.000000000007</v>
      </c>
      <c r="M39" s="35"/>
      <c r="N39" s="35"/>
      <c r="O39" s="34">
        <f>L39</f>
        <v>20599.000000000007</v>
      </c>
    </row>
    <row r="40" spans="2:15" ht="24.75" customHeight="1">
      <c r="B40" s="1390" t="s">
        <v>23</v>
      </c>
      <c r="C40" s="125" t="s">
        <v>1101</v>
      </c>
      <c r="D40" s="12"/>
      <c r="E40" s="14"/>
      <c r="H40" s="10" t="s">
        <v>1719</v>
      </c>
      <c r="I40" s="12" t="s">
        <v>177</v>
      </c>
      <c r="N40" s="34" t="s">
        <v>24</v>
      </c>
      <c r="O40" s="574">
        <f>SUM(O39)</f>
        <v>20599.000000000007</v>
      </c>
    </row>
    <row r="41" spans="2:9" ht="15">
      <c r="B41" s="54"/>
      <c r="C41" s="45" t="s">
        <v>1102</v>
      </c>
      <c r="D41" s="15"/>
      <c r="E41" s="14"/>
      <c r="H41" s="190"/>
      <c r="I41" s="15" t="s">
        <v>178</v>
      </c>
    </row>
    <row r="42" spans="2:12" ht="15">
      <c r="B42" s="54"/>
      <c r="C42" s="45" t="s">
        <v>168</v>
      </c>
      <c r="D42" s="15"/>
      <c r="E42" s="14"/>
      <c r="H42" s="1184"/>
      <c r="I42" s="15" t="s">
        <v>179</v>
      </c>
      <c r="J42" s="58"/>
      <c r="K42" s="60"/>
      <c r="L42" s="61"/>
    </row>
    <row r="43" spans="2:12" ht="15.75" thickBot="1">
      <c r="B43" s="69" t="s">
        <v>169</v>
      </c>
      <c r="C43" s="45">
        <v>8222160292</v>
      </c>
      <c r="D43" s="15"/>
      <c r="E43" s="14"/>
      <c r="H43" s="1195"/>
      <c r="I43" s="18" t="s">
        <v>175</v>
      </c>
      <c r="J43" s="105"/>
      <c r="K43" s="123"/>
      <c r="L43" s="61"/>
    </row>
    <row r="44" spans="2:12" ht="15.75" thickBot="1">
      <c r="B44" s="455" t="s">
        <v>1112</v>
      </c>
      <c r="C44" s="116" t="s">
        <v>1241</v>
      </c>
      <c r="D44" s="18"/>
      <c r="E44" s="14"/>
      <c r="H44" s="59"/>
      <c r="I44" s="68"/>
      <c r="J44" s="105"/>
      <c r="K44" s="123"/>
      <c r="L44" s="61"/>
    </row>
    <row r="45" spans="1:12" ht="15">
      <c r="A45" s="280"/>
      <c r="B45" s="470"/>
      <c r="C45" s="14"/>
      <c r="D45" s="14"/>
      <c r="E45" s="14"/>
      <c r="H45" s="59"/>
      <c r="I45" s="68"/>
      <c r="J45" s="279"/>
      <c r="K45" s="123"/>
      <c r="L45" s="61"/>
    </row>
    <row r="46" spans="8:12" ht="15" thickBot="1">
      <c r="H46" s="59"/>
      <c r="I46" s="59"/>
      <c r="J46" s="58"/>
      <c r="K46" s="60"/>
      <c r="L46" s="61"/>
    </row>
    <row r="47" spans="1:15" ht="37.5" customHeight="1">
      <c r="A47" s="1588" t="s">
        <v>7</v>
      </c>
      <c r="B47" s="1591" t="s">
        <v>664</v>
      </c>
      <c r="C47" s="1594" t="s">
        <v>9</v>
      </c>
      <c r="D47" s="1594" t="s">
        <v>10</v>
      </c>
      <c r="E47" s="1574" t="s">
        <v>844</v>
      </c>
      <c r="F47" s="1574" t="s">
        <v>12</v>
      </c>
      <c r="G47" s="1594" t="s">
        <v>13</v>
      </c>
      <c r="H47" s="1574" t="s">
        <v>282</v>
      </c>
      <c r="I47" s="1574" t="s">
        <v>14</v>
      </c>
      <c r="J47" s="1574" t="s">
        <v>60</v>
      </c>
      <c r="K47" s="1583" t="s">
        <v>666</v>
      </c>
      <c r="L47" s="1640" t="s">
        <v>667</v>
      </c>
      <c r="M47" s="1634"/>
      <c r="N47" s="1634"/>
      <c r="O47" s="1641"/>
    </row>
    <row r="48" spans="1:15" ht="28.5" customHeight="1">
      <c r="A48" s="1589"/>
      <c r="B48" s="1592"/>
      <c r="C48" s="1595"/>
      <c r="D48" s="1595"/>
      <c r="E48" s="1575"/>
      <c r="F48" s="1575"/>
      <c r="G48" s="1595"/>
      <c r="H48" s="1575"/>
      <c r="I48" s="1575"/>
      <c r="J48" s="1575"/>
      <c r="K48" s="1584"/>
      <c r="L48" s="1597" t="s">
        <v>668</v>
      </c>
      <c r="M48" s="1568"/>
      <c r="N48" s="1568"/>
      <c r="O48" s="1598"/>
    </row>
    <row r="49" spans="1:15" ht="28.5" customHeight="1" thickBot="1">
      <c r="A49" s="1590"/>
      <c r="B49" s="1593"/>
      <c r="C49" s="1596"/>
      <c r="D49" s="1596"/>
      <c r="E49" s="1576"/>
      <c r="F49" s="1576"/>
      <c r="G49" s="1596"/>
      <c r="H49" s="1576"/>
      <c r="I49" s="1576"/>
      <c r="J49" s="1576"/>
      <c r="K49" s="1585"/>
      <c r="L49" s="270" t="s">
        <v>669</v>
      </c>
      <c r="M49" s="277" t="s">
        <v>670</v>
      </c>
      <c r="N49" s="277" t="s">
        <v>671</v>
      </c>
      <c r="O49" s="272" t="s">
        <v>17</v>
      </c>
    </row>
    <row r="50" spans="1:15" ht="29.25">
      <c r="A50" s="593" t="s">
        <v>27</v>
      </c>
      <c r="B50" s="3" t="s">
        <v>180</v>
      </c>
      <c r="C50" s="4" t="s">
        <v>165</v>
      </c>
      <c r="D50" s="4" t="s">
        <v>181</v>
      </c>
      <c r="E50" s="4">
        <v>8</v>
      </c>
      <c r="F50" s="4" t="s">
        <v>166</v>
      </c>
      <c r="G50" s="4" t="s">
        <v>165</v>
      </c>
      <c r="H50" s="24">
        <v>357599</v>
      </c>
      <c r="I50" s="719" t="s">
        <v>1042</v>
      </c>
      <c r="J50" s="31" t="s">
        <v>67</v>
      </c>
      <c r="K50" s="8">
        <v>16</v>
      </c>
      <c r="L50" s="35"/>
      <c r="M50" s="34">
        <f>10442-10227</f>
        <v>215</v>
      </c>
      <c r="N50" s="36">
        <f>20620-19234</f>
        <v>1386</v>
      </c>
      <c r="O50" s="34">
        <f>SUM(M50:N50)</f>
        <v>1601</v>
      </c>
    </row>
    <row r="51" spans="1:15" ht="29.25">
      <c r="A51" s="593" t="s">
        <v>27</v>
      </c>
      <c r="B51" s="9" t="s">
        <v>180</v>
      </c>
      <c r="C51" s="6" t="s">
        <v>165</v>
      </c>
      <c r="D51" s="6" t="s">
        <v>181</v>
      </c>
      <c r="E51" s="4">
        <v>8</v>
      </c>
      <c r="F51" s="4" t="s">
        <v>166</v>
      </c>
      <c r="G51" s="4" t="s">
        <v>165</v>
      </c>
      <c r="H51" s="24">
        <v>357607</v>
      </c>
      <c r="I51" s="719" t="s">
        <v>1043</v>
      </c>
      <c r="J51" s="31" t="s">
        <v>67</v>
      </c>
      <c r="K51" s="8">
        <v>10</v>
      </c>
      <c r="L51" s="35"/>
      <c r="M51" s="34">
        <f>223-221</f>
        <v>2</v>
      </c>
      <c r="N51" s="34">
        <f>277-254</f>
        <v>23</v>
      </c>
      <c r="O51" s="34">
        <f>SUM(M51:N51)</f>
        <v>25</v>
      </c>
    </row>
    <row r="52" spans="1:15" ht="34.5" customHeight="1" thickBot="1">
      <c r="A52" s="627" t="s">
        <v>27</v>
      </c>
      <c r="B52" s="765" t="s">
        <v>230</v>
      </c>
      <c r="C52" s="48" t="s">
        <v>165</v>
      </c>
      <c r="D52" s="48" t="s">
        <v>279</v>
      </c>
      <c r="E52" s="4">
        <v>8</v>
      </c>
      <c r="F52" s="4" t="s">
        <v>166</v>
      </c>
      <c r="G52" s="4" t="s">
        <v>165</v>
      </c>
      <c r="H52" s="4">
        <v>90071653</v>
      </c>
      <c r="I52" s="719" t="s">
        <v>1319</v>
      </c>
      <c r="J52" s="31" t="s">
        <v>67</v>
      </c>
      <c r="K52" s="178">
        <v>8</v>
      </c>
      <c r="L52" s="332"/>
      <c r="M52" s="34">
        <f>1429-795</f>
        <v>634</v>
      </c>
      <c r="N52" s="34">
        <f>3549-1817</f>
        <v>1732</v>
      </c>
      <c r="O52" s="34">
        <f>SUM(M52:N52)</f>
        <v>2366</v>
      </c>
    </row>
    <row r="53" spans="2:15" ht="21" customHeight="1">
      <c r="B53" s="1390" t="s">
        <v>23</v>
      </c>
      <c r="C53" s="125" t="s">
        <v>1101</v>
      </c>
      <c r="D53" s="12"/>
      <c r="H53" s="10" t="s">
        <v>1719</v>
      </c>
      <c r="I53" s="12" t="s">
        <v>230</v>
      </c>
      <c r="N53" s="34" t="s">
        <v>24</v>
      </c>
      <c r="O53" s="574">
        <f>SUM(O50:O52)</f>
        <v>3992</v>
      </c>
    </row>
    <row r="54" spans="2:9" ht="15">
      <c r="B54" s="54"/>
      <c r="C54" s="45" t="s">
        <v>1102</v>
      </c>
      <c r="D54" s="15"/>
      <c r="H54" s="190"/>
      <c r="I54" s="15" t="s">
        <v>184</v>
      </c>
    </row>
    <row r="55" spans="2:9" ht="15.75" thickBot="1">
      <c r="B55" s="54"/>
      <c r="C55" s="45" t="s">
        <v>168</v>
      </c>
      <c r="D55" s="15"/>
      <c r="H55" s="193"/>
      <c r="I55" s="18" t="s">
        <v>175</v>
      </c>
    </row>
    <row r="56" spans="2:4" ht="15">
      <c r="B56" s="69" t="s">
        <v>169</v>
      </c>
      <c r="C56" s="45">
        <v>8222160292</v>
      </c>
      <c r="D56" s="15"/>
    </row>
    <row r="57" spans="1:10" ht="15.75" thickBot="1">
      <c r="A57" s="280"/>
      <c r="B57" s="455" t="s">
        <v>1112</v>
      </c>
      <c r="C57" s="116" t="s">
        <v>1241</v>
      </c>
      <c r="D57" s="18"/>
      <c r="J57" s="280"/>
    </row>
    <row r="58" spans="1:10" ht="15.75" thickBot="1">
      <c r="A58" s="280"/>
      <c r="B58" s="20"/>
      <c r="C58" s="14"/>
      <c r="D58" s="14"/>
      <c r="J58" s="280"/>
    </row>
    <row r="59" spans="1:15" ht="41.25" customHeight="1">
      <c r="A59" s="1588" t="s">
        <v>7</v>
      </c>
      <c r="B59" s="1591" t="s">
        <v>664</v>
      </c>
      <c r="C59" s="1594" t="s">
        <v>9</v>
      </c>
      <c r="D59" s="1594" t="s">
        <v>10</v>
      </c>
      <c r="E59" s="1574" t="s">
        <v>844</v>
      </c>
      <c r="F59" s="1574" t="s">
        <v>12</v>
      </c>
      <c r="G59" s="1594" t="s">
        <v>13</v>
      </c>
      <c r="H59" s="1574" t="s">
        <v>282</v>
      </c>
      <c r="I59" s="1574" t="s">
        <v>14</v>
      </c>
      <c r="J59" s="1574" t="s">
        <v>60</v>
      </c>
      <c r="K59" s="1583" t="s">
        <v>666</v>
      </c>
      <c r="L59" s="1640" t="s">
        <v>667</v>
      </c>
      <c r="M59" s="1634"/>
      <c r="N59" s="1634"/>
      <c r="O59" s="1641"/>
    </row>
    <row r="60" spans="1:15" ht="28.5" customHeight="1">
      <c r="A60" s="1589"/>
      <c r="B60" s="1592"/>
      <c r="C60" s="1595"/>
      <c r="D60" s="1595"/>
      <c r="E60" s="1575"/>
      <c r="F60" s="1575"/>
      <c r="G60" s="1595"/>
      <c r="H60" s="1575"/>
      <c r="I60" s="1575"/>
      <c r="J60" s="1575"/>
      <c r="K60" s="1584"/>
      <c r="L60" s="1597" t="s">
        <v>668</v>
      </c>
      <c r="M60" s="1568"/>
      <c r="N60" s="1568"/>
      <c r="O60" s="1598"/>
    </row>
    <row r="61" spans="1:15" ht="28.5" customHeight="1" thickBot="1">
      <c r="A61" s="1590"/>
      <c r="B61" s="1593"/>
      <c r="C61" s="1596"/>
      <c r="D61" s="1596"/>
      <c r="E61" s="1576"/>
      <c r="F61" s="1576"/>
      <c r="G61" s="1596"/>
      <c r="H61" s="1576"/>
      <c r="I61" s="1576"/>
      <c r="J61" s="1576"/>
      <c r="K61" s="1585"/>
      <c r="L61" s="270" t="s">
        <v>669</v>
      </c>
      <c r="M61" s="277" t="s">
        <v>670</v>
      </c>
      <c r="N61" s="277" t="s">
        <v>671</v>
      </c>
      <c r="O61" s="272" t="s">
        <v>17</v>
      </c>
    </row>
    <row r="62" spans="1:15" ht="18">
      <c r="A62" s="593" t="s">
        <v>27</v>
      </c>
      <c r="B62" s="3"/>
      <c r="C62" s="4" t="s">
        <v>165</v>
      </c>
      <c r="D62" s="4" t="s">
        <v>185</v>
      </c>
      <c r="E62" s="4">
        <v>115</v>
      </c>
      <c r="F62" s="4" t="s">
        <v>166</v>
      </c>
      <c r="G62" s="4" t="s">
        <v>165</v>
      </c>
      <c r="H62" s="24">
        <v>4137416</v>
      </c>
      <c r="I62" s="719" t="s">
        <v>1048</v>
      </c>
      <c r="J62" s="31" t="s">
        <v>67</v>
      </c>
      <c r="K62" s="8">
        <v>31</v>
      </c>
      <c r="L62" s="35"/>
      <c r="M62" s="34">
        <f>211244-172776</f>
        <v>38468</v>
      </c>
      <c r="N62" s="34">
        <f>344461-277085</f>
        <v>67376</v>
      </c>
      <c r="O62" s="931">
        <f>SUM(M62:N62)</f>
        <v>105844</v>
      </c>
    </row>
    <row r="63" spans="1:15" ht="18">
      <c r="A63" s="593" t="s">
        <v>27</v>
      </c>
      <c r="B63" s="3"/>
      <c r="C63" s="4" t="s">
        <v>165</v>
      </c>
      <c r="D63" s="4" t="s">
        <v>185</v>
      </c>
      <c r="E63" s="4">
        <v>115</v>
      </c>
      <c r="F63" s="4" t="s">
        <v>166</v>
      </c>
      <c r="G63" s="4" t="s">
        <v>165</v>
      </c>
      <c r="H63" s="24">
        <v>4098771</v>
      </c>
      <c r="I63" s="719" t="s">
        <v>1049</v>
      </c>
      <c r="J63" s="389" t="s">
        <v>22</v>
      </c>
      <c r="K63" s="8">
        <v>60</v>
      </c>
      <c r="L63" s="815">
        <f>9470*11</f>
        <v>104170</v>
      </c>
      <c r="M63" s="35"/>
      <c r="N63" s="35"/>
      <c r="O63" s="931">
        <f>L63</f>
        <v>104170</v>
      </c>
    </row>
    <row r="64" spans="1:15" ht="18">
      <c r="A64" s="593" t="s">
        <v>27</v>
      </c>
      <c r="B64" s="3"/>
      <c r="C64" s="4" t="s">
        <v>165</v>
      </c>
      <c r="D64" s="4" t="s">
        <v>185</v>
      </c>
      <c r="E64" s="4">
        <v>115</v>
      </c>
      <c r="F64" s="4" t="s">
        <v>166</v>
      </c>
      <c r="G64" s="4" t="s">
        <v>165</v>
      </c>
      <c r="H64" s="24">
        <v>4137419</v>
      </c>
      <c r="I64" s="719" t="s">
        <v>1050</v>
      </c>
      <c r="J64" s="31" t="s">
        <v>67</v>
      </c>
      <c r="K64" s="8">
        <v>32</v>
      </c>
      <c r="L64" s="35"/>
      <c r="M64" s="34">
        <f>1500*12</f>
        <v>18000</v>
      </c>
      <c r="N64" s="34">
        <f>3000*12</f>
        <v>36000</v>
      </c>
      <c r="O64" s="931">
        <f>SUM(M64:N64)</f>
        <v>54000</v>
      </c>
    </row>
    <row r="65" spans="1:15" ht="18.75" thickBot="1">
      <c r="A65" s="593" t="s">
        <v>27</v>
      </c>
      <c r="B65" s="3"/>
      <c r="C65" s="24" t="s">
        <v>165</v>
      </c>
      <c r="D65" s="24" t="s">
        <v>185</v>
      </c>
      <c r="E65" s="24">
        <v>115</v>
      </c>
      <c r="F65" s="4" t="s">
        <v>166</v>
      </c>
      <c r="G65" s="4" t="s">
        <v>165</v>
      </c>
      <c r="H65" s="22">
        <v>4137417</v>
      </c>
      <c r="I65" s="797" t="s">
        <v>1051</v>
      </c>
      <c r="J65" s="1406" t="s">
        <v>29</v>
      </c>
      <c r="K65" s="26">
        <v>39</v>
      </c>
      <c r="L65" s="34">
        <v>10000</v>
      </c>
      <c r="M65" s="35"/>
      <c r="N65" s="35"/>
      <c r="O65" s="931">
        <f>L65</f>
        <v>10000</v>
      </c>
    </row>
    <row r="66" spans="2:15" ht="23.25" customHeight="1">
      <c r="B66" s="1390" t="s">
        <v>23</v>
      </c>
      <c r="C66" s="125" t="s">
        <v>1101</v>
      </c>
      <c r="D66" s="12"/>
      <c r="E66" s="56"/>
      <c r="H66" s="10" t="s">
        <v>1719</v>
      </c>
      <c r="I66" s="125" t="s">
        <v>1413</v>
      </c>
      <c r="J66" s="1400"/>
      <c r="N66" s="34" t="s">
        <v>24</v>
      </c>
      <c r="O66" s="574">
        <f>SUM(O62:O65)</f>
        <v>274014</v>
      </c>
    </row>
    <row r="67" spans="2:10" ht="15">
      <c r="B67" s="54"/>
      <c r="C67" s="45" t="s">
        <v>1102</v>
      </c>
      <c r="D67" s="15"/>
      <c r="E67" s="56"/>
      <c r="H67" s="190"/>
      <c r="I67" s="45" t="s">
        <v>186</v>
      </c>
      <c r="J67" s="1401"/>
    </row>
    <row r="68" spans="2:10" ht="15.75" thickBot="1">
      <c r="B68" s="54"/>
      <c r="C68" s="45" t="s">
        <v>168</v>
      </c>
      <c r="D68" s="15"/>
      <c r="E68" s="56"/>
      <c r="H68" s="193"/>
      <c r="I68" s="116" t="s">
        <v>168</v>
      </c>
      <c r="J68" s="671"/>
    </row>
    <row r="69" spans="2:5" ht="15">
      <c r="B69" s="69" t="s">
        <v>169</v>
      </c>
      <c r="C69" s="45">
        <v>8222160292</v>
      </c>
      <c r="D69" s="15"/>
      <c r="E69" s="56"/>
    </row>
    <row r="70" spans="1:10" ht="15.75" thickBot="1">
      <c r="A70" s="280"/>
      <c r="B70" s="455" t="s">
        <v>1112</v>
      </c>
      <c r="C70" s="116" t="s">
        <v>1241</v>
      </c>
      <c r="D70" s="18"/>
      <c r="E70" s="56"/>
      <c r="J70" s="280"/>
    </row>
    <row r="71" ht="15" thickBot="1"/>
    <row r="72" spans="1:15" ht="39.75" customHeight="1">
      <c r="A72" s="1588" t="s">
        <v>7</v>
      </c>
      <c r="B72" s="1591" t="s">
        <v>664</v>
      </c>
      <c r="C72" s="1594" t="s">
        <v>9</v>
      </c>
      <c r="D72" s="1594" t="s">
        <v>10</v>
      </c>
      <c r="E72" s="1574" t="s">
        <v>844</v>
      </c>
      <c r="F72" s="1574" t="s">
        <v>12</v>
      </c>
      <c r="G72" s="1594" t="s">
        <v>13</v>
      </c>
      <c r="H72" s="1574" t="s">
        <v>282</v>
      </c>
      <c r="I72" s="1574" t="s">
        <v>14</v>
      </c>
      <c r="J72" s="1574" t="s">
        <v>60</v>
      </c>
      <c r="K72" s="1583" t="s">
        <v>666</v>
      </c>
      <c r="L72" s="1640" t="s">
        <v>667</v>
      </c>
      <c r="M72" s="1634"/>
      <c r="N72" s="1634"/>
      <c r="O72" s="1641"/>
    </row>
    <row r="73" spans="1:15" ht="28.5" customHeight="1">
      <c r="A73" s="1589"/>
      <c r="B73" s="1592"/>
      <c r="C73" s="1595"/>
      <c r="D73" s="1595"/>
      <c r="E73" s="1575"/>
      <c r="F73" s="1575"/>
      <c r="G73" s="1595"/>
      <c r="H73" s="1575"/>
      <c r="I73" s="1575"/>
      <c r="J73" s="1575"/>
      <c r="K73" s="1584"/>
      <c r="L73" s="1597" t="s">
        <v>668</v>
      </c>
      <c r="M73" s="1568"/>
      <c r="N73" s="1568"/>
      <c r="O73" s="1598"/>
    </row>
    <row r="74" spans="1:15" ht="28.5" customHeight="1" thickBot="1">
      <c r="A74" s="1590"/>
      <c r="B74" s="1593"/>
      <c r="C74" s="1596"/>
      <c r="D74" s="1596"/>
      <c r="E74" s="1576"/>
      <c r="F74" s="1576"/>
      <c r="G74" s="1596"/>
      <c r="H74" s="1576"/>
      <c r="I74" s="1576"/>
      <c r="J74" s="1576"/>
      <c r="K74" s="1585"/>
      <c r="L74" s="589" t="s">
        <v>669</v>
      </c>
      <c r="M74" s="1373" t="s">
        <v>670</v>
      </c>
      <c r="N74" s="1373" t="s">
        <v>671</v>
      </c>
      <c r="O74" s="1374" t="s">
        <v>17</v>
      </c>
    </row>
    <row r="75" spans="1:15" ht="30" thickBot="1">
      <c r="A75" s="621" t="s">
        <v>27</v>
      </c>
      <c r="B75" s="108" t="s">
        <v>187</v>
      </c>
      <c r="C75" s="107" t="s">
        <v>188</v>
      </c>
      <c r="D75" s="187"/>
      <c r="E75" s="107">
        <v>3</v>
      </c>
      <c r="F75" s="107" t="s">
        <v>166</v>
      </c>
      <c r="G75" s="107" t="s">
        <v>165</v>
      </c>
      <c r="H75" s="106">
        <v>289314</v>
      </c>
      <c r="I75" s="1141" t="s">
        <v>1052</v>
      </c>
      <c r="J75" s="1407" t="s">
        <v>29</v>
      </c>
      <c r="K75" s="1398">
        <v>6.6</v>
      </c>
      <c r="L75" s="448">
        <f>69049-53014</f>
        <v>16035</v>
      </c>
      <c r="M75" s="276"/>
      <c r="N75" s="276"/>
      <c r="O75" s="448">
        <f>L75</f>
        <v>16035</v>
      </c>
    </row>
    <row r="76" spans="2:15" ht="23.25" customHeight="1">
      <c r="B76" s="1390" t="s">
        <v>23</v>
      </c>
      <c r="C76" s="125" t="s">
        <v>1101</v>
      </c>
      <c r="D76" s="12"/>
      <c r="E76" s="14"/>
      <c r="F76" s="56"/>
      <c r="H76" s="10" t="s">
        <v>1719</v>
      </c>
      <c r="I76" s="11" t="s">
        <v>1320</v>
      </c>
      <c r="J76" s="1400"/>
      <c r="N76" s="34" t="s">
        <v>24</v>
      </c>
      <c r="O76" s="574">
        <f>SUM(O75)</f>
        <v>16035</v>
      </c>
    </row>
    <row r="77" spans="2:10" ht="15">
      <c r="B77" s="54"/>
      <c r="C77" s="45" t="s">
        <v>1102</v>
      </c>
      <c r="D77" s="15"/>
      <c r="E77" s="14"/>
      <c r="F77" s="56"/>
      <c r="H77" s="190"/>
      <c r="I77" s="14" t="s">
        <v>189</v>
      </c>
      <c r="J77" s="1401"/>
    </row>
    <row r="78" spans="2:10" ht="15.75" thickBot="1">
      <c r="B78" s="54"/>
      <c r="C78" s="45" t="s">
        <v>168</v>
      </c>
      <c r="D78" s="15"/>
      <c r="E78" s="14"/>
      <c r="F78" s="56"/>
      <c r="H78" s="193"/>
      <c r="I78" s="17" t="s">
        <v>168</v>
      </c>
      <c r="J78" s="671"/>
    </row>
    <row r="79" spans="2:6" ht="15">
      <c r="B79" s="69" t="s">
        <v>169</v>
      </c>
      <c r="C79" s="45">
        <v>8222160292</v>
      </c>
      <c r="D79" s="15"/>
      <c r="E79" s="14"/>
      <c r="F79" s="56"/>
    </row>
    <row r="80" spans="1:10" ht="15.75" thickBot="1">
      <c r="A80" s="280"/>
      <c r="B80" s="455" t="s">
        <v>1112</v>
      </c>
      <c r="C80" s="116" t="s">
        <v>1241</v>
      </c>
      <c r="D80" s="18"/>
      <c r="E80" s="14"/>
      <c r="F80" s="56"/>
      <c r="J80" s="280"/>
    </row>
    <row r="81" spans="2:4" ht="15" thickBot="1">
      <c r="B81" s="55"/>
      <c r="C81" s="56"/>
      <c r="D81" s="56"/>
    </row>
    <row r="82" spans="1:15" ht="41.25" customHeight="1">
      <c r="A82" s="1588" t="s">
        <v>7</v>
      </c>
      <c r="B82" s="1591" t="s">
        <v>664</v>
      </c>
      <c r="C82" s="1594" t="s">
        <v>9</v>
      </c>
      <c r="D82" s="1594" t="s">
        <v>10</v>
      </c>
      <c r="E82" s="1574" t="s">
        <v>844</v>
      </c>
      <c r="F82" s="1574" t="s">
        <v>12</v>
      </c>
      <c r="G82" s="1594" t="s">
        <v>13</v>
      </c>
      <c r="H82" s="1574" t="s">
        <v>282</v>
      </c>
      <c r="I82" s="1574" t="s">
        <v>14</v>
      </c>
      <c r="J82" s="1574" t="s">
        <v>60</v>
      </c>
      <c r="K82" s="1583" t="s">
        <v>666</v>
      </c>
      <c r="L82" s="1640" t="s">
        <v>667</v>
      </c>
      <c r="M82" s="1634"/>
      <c r="N82" s="1634"/>
      <c r="O82" s="1641"/>
    </row>
    <row r="83" spans="1:15" ht="28.5" customHeight="1">
      <c r="A83" s="1589"/>
      <c r="B83" s="1592"/>
      <c r="C83" s="1595"/>
      <c r="D83" s="1595"/>
      <c r="E83" s="1575"/>
      <c r="F83" s="1575"/>
      <c r="G83" s="1595"/>
      <c r="H83" s="1575"/>
      <c r="I83" s="1575"/>
      <c r="J83" s="1575"/>
      <c r="K83" s="1584"/>
      <c r="L83" s="1597" t="s">
        <v>668</v>
      </c>
      <c r="M83" s="1568"/>
      <c r="N83" s="1568"/>
      <c r="O83" s="1598"/>
    </row>
    <row r="84" spans="1:15" ht="28.5" customHeight="1" thickBot="1">
      <c r="A84" s="1590"/>
      <c r="B84" s="1593"/>
      <c r="C84" s="1596"/>
      <c r="D84" s="1596"/>
      <c r="E84" s="1576"/>
      <c r="F84" s="1576"/>
      <c r="G84" s="1596"/>
      <c r="H84" s="1576"/>
      <c r="I84" s="1576"/>
      <c r="J84" s="1576"/>
      <c r="K84" s="1585"/>
      <c r="L84" s="589" t="s">
        <v>669</v>
      </c>
      <c r="M84" s="1373" t="s">
        <v>670</v>
      </c>
      <c r="N84" s="1373" t="s">
        <v>671</v>
      </c>
      <c r="O84" s="1374" t="s">
        <v>17</v>
      </c>
    </row>
    <row r="85" spans="1:15" ht="18.75" thickBot="1">
      <c r="A85" s="621" t="s">
        <v>27</v>
      </c>
      <c r="B85" s="273" t="s">
        <v>163</v>
      </c>
      <c r="C85" s="187" t="s">
        <v>190</v>
      </c>
      <c r="D85" s="187"/>
      <c r="E85" s="187">
        <v>50</v>
      </c>
      <c r="F85" s="187" t="s">
        <v>166</v>
      </c>
      <c r="G85" s="187" t="s">
        <v>165</v>
      </c>
      <c r="H85" s="106">
        <v>94553</v>
      </c>
      <c r="I85" s="1141" t="s">
        <v>1045</v>
      </c>
      <c r="J85" s="1330" t="s">
        <v>29</v>
      </c>
      <c r="K85" s="274">
        <v>12</v>
      </c>
      <c r="L85" s="275">
        <f>86590-73150</f>
        <v>13440</v>
      </c>
      <c r="M85" s="276"/>
      <c r="N85" s="276"/>
      <c r="O85" s="275">
        <f>L85</f>
        <v>13440</v>
      </c>
    </row>
    <row r="86" spans="2:15" ht="21.75" customHeight="1">
      <c r="B86" s="1390" t="s">
        <v>23</v>
      </c>
      <c r="C86" s="125" t="s">
        <v>1101</v>
      </c>
      <c r="D86" s="12"/>
      <c r="E86" s="14"/>
      <c r="H86" s="10" t="s">
        <v>1719</v>
      </c>
      <c r="I86" s="11" t="s">
        <v>191</v>
      </c>
      <c r="J86" s="1400"/>
      <c r="N86" s="34" t="s">
        <v>24</v>
      </c>
      <c r="O86" s="574">
        <f>SUM(O85)</f>
        <v>13440</v>
      </c>
    </row>
    <row r="87" spans="2:10" ht="15">
      <c r="B87" s="54"/>
      <c r="C87" s="45" t="s">
        <v>1102</v>
      </c>
      <c r="D87" s="15"/>
      <c r="E87" s="14"/>
      <c r="H87" s="190"/>
      <c r="I87" s="14" t="s">
        <v>192</v>
      </c>
      <c r="J87" s="1401"/>
    </row>
    <row r="88" spans="2:10" ht="15.75" thickBot="1">
      <c r="B88" s="54"/>
      <c r="C88" s="45" t="s">
        <v>168</v>
      </c>
      <c r="D88" s="15"/>
      <c r="E88" s="14"/>
      <c r="H88" s="193"/>
      <c r="I88" s="17" t="s">
        <v>168</v>
      </c>
      <c r="J88" s="671"/>
    </row>
    <row r="89" spans="2:5" ht="15">
      <c r="B89" s="69" t="s">
        <v>169</v>
      </c>
      <c r="C89" s="45">
        <v>8222160292</v>
      </c>
      <c r="D89" s="15"/>
      <c r="E89" s="14"/>
    </row>
    <row r="90" spans="1:10" ht="15.75" thickBot="1">
      <c r="A90" s="280"/>
      <c r="B90" s="455" t="s">
        <v>1112</v>
      </c>
      <c r="C90" s="116" t="s">
        <v>1241</v>
      </c>
      <c r="D90" s="18"/>
      <c r="E90" s="14"/>
      <c r="J90" s="280"/>
    </row>
    <row r="91" ht="15" thickBot="1"/>
    <row r="92" spans="1:15" ht="48.75" customHeight="1">
      <c r="A92" s="1588" t="s">
        <v>7</v>
      </c>
      <c r="B92" s="1591" t="s">
        <v>664</v>
      </c>
      <c r="C92" s="1594" t="s">
        <v>9</v>
      </c>
      <c r="D92" s="1594" t="s">
        <v>10</v>
      </c>
      <c r="E92" s="1574" t="s">
        <v>844</v>
      </c>
      <c r="F92" s="1574" t="s">
        <v>12</v>
      </c>
      <c r="G92" s="1594" t="s">
        <v>13</v>
      </c>
      <c r="H92" s="1574" t="s">
        <v>282</v>
      </c>
      <c r="I92" s="1574" t="s">
        <v>14</v>
      </c>
      <c r="J92" s="1574" t="s">
        <v>60</v>
      </c>
      <c r="K92" s="1583" t="s">
        <v>666</v>
      </c>
      <c r="L92" s="1640" t="s">
        <v>667</v>
      </c>
      <c r="M92" s="1634"/>
      <c r="N92" s="1634"/>
      <c r="O92" s="1641"/>
    </row>
    <row r="93" spans="1:15" ht="28.5" customHeight="1">
      <c r="A93" s="1589"/>
      <c r="B93" s="1592"/>
      <c r="C93" s="1595"/>
      <c r="D93" s="1595"/>
      <c r="E93" s="1575"/>
      <c r="F93" s="1575"/>
      <c r="G93" s="1595"/>
      <c r="H93" s="1575"/>
      <c r="I93" s="1575"/>
      <c r="J93" s="1575"/>
      <c r="K93" s="1584"/>
      <c r="L93" s="1597" t="s">
        <v>668</v>
      </c>
      <c r="M93" s="1568"/>
      <c r="N93" s="1568"/>
      <c r="O93" s="1598"/>
    </row>
    <row r="94" spans="1:15" ht="28.5" customHeight="1" thickBot="1">
      <c r="A94" s="1590"/>
      <c r="B94" s="1593"/>
      <c r="C94" s="1596"/>
      <c r="D94" s="1596"/>
      <c r="E94" s="1576"/>
      <c r="F94" s="1576"/>
      <c r="G94" s="1596"/>
      <c r="H94" s="1576"/>
      <c r="I94" s="1576"/>
      <c r="J94" s="1576"/>
      <c r="K94" s="1585"/>
      <c r="L94" s="589" t="s">
        <v>669</v>
      </c>
      <c r="M94" s="1373" t="s">
        <v>670</v>
      </c>
      <c r="N94" s="1373" t="s">
        <v>671</v>
      </c>
      <c r="O94" s="1374" t="s">
        <v>17</v>
      </c>
    </row>
    <row r="95" spans="1:15" ht="29.25">
      <c r="A95" s="593" t="s">
        <v>27</v>
      </c>
      <c r="B95" s="3" t="s">
        <v>193</v>
      </c>
      <c r="C95" s="4" t="s">
        <v>171</v>
      </c>
      <c r="D95" s="4" t="s">
        <v>194</v>
      </c>
      <c r="E95" s="4">
        <v>82</v>
      </c>
      <c r="F95" s="4" t="s">
        <v>173</v>
      </c>
      <c r="G95" s="4" t="s">
        <v>171</v>
      </c>
      <c r="H95" s="24">
        <v>288407</v>
      </c>
      <c r="I95" s="719" t="s">
        <v>1039</v>
      </c>
      <c r="J95" s="31" t="s">
        <v>67</v>
      </c>
      <c r="K95" s="8">
        <v>9</v>
      </c>
      <c r="L95" s="35"/>
      <c r="M95" s="34">
        <f>3091-1571</f>
        <v>1520</v>
      </c>
      <c r="N95" s="34">
        <f>15601-8351</f>
        <v>7250</v>
      </c>
      <c r="O95" s="34">
        <f>SUM(M95:N95)</f>
        <v>8770</v>
      </c>
    </row>
    <row r="96" spans="1:15" ht="30" thickBot="1">
      <c r="A96" s="593" t="s">
        <v>27</v>
      </c>
      <c r="B96" s="9" t="s">
        <v>193</v>
      </c>
      <c r="C96" s="6" t="s">
        <v>165</v>
      </c>
      <c r="D96" s="6" t="s">
        <v>195</v>
      </c>
      <c r="E96" s="6">
        <v>1</v>
      </c>
      <c r="F96" s="4" t="s">
        <v>166</v>
      </c>
      <c r="G96" s="4" t="s">
        <v>165</v>
      </c>
      <c r="H96" s="22">
        <v>8136864</v>
      </c>
      <c r="I96" s="797" t="s">
        <v>1040</v>
      </c>
      <c r="J96" s="769" t="s">
        <v>29</v>
      </c>
      <c r="K96" s="8">
        <v>6</v>
      </c>
      <c r="L96" s="34">
        <f>86046-72985</f>
        <v>13061</v>
      </c>
      <c r="M96" s="35"/>
      <c r="N96" s="35"/>
      <c r="O96" s="34">
        <f>L96</f>
        <v>13061</v>
      </c>
    </row>
    <row r="97" spans="2:15" ht="22.5" customHeight="1">
      <c r="B97" s="124" t="s">
        <v>167</v>
      </c>
      <c r="C97" s="125" t="s">
        <v>193</v>
      </c>
      <c r="D97" s="11"/>
      <c r="E97" s="12"/>
      <c r="H97" s="10" t="s">
        <v>1719</v>
      </c>
      <c r="I97" s="125" t="s">
        <v>193</v>
      </c>
      <c r="J97" s="1400"/>
      <c r="N97" s="34" t="s">
        <v>24</v>
      </c>
      <c r="O97" s="574">
        <f>SUM(O95:O96)</f>
        <v>21831</v>
      </c>
    </row>
    <row r="98" spans="2:10" ht="15">
      <c r="B98" s="54"/>
      <c r="C98" s="45" t="s">
        <v>196</v>
      </c>
      <c r="D98" s="14"/>
      <c r="E98" s="15"/>
      <c r="H98" s="190"/>
      <c r="I98" s="45" t="s">
        <v>196</v>
      </c>
      <c r="J98" s="1401"/>
    </row>
    <row r="99" spans="2:10" ht="15.75" thickBot="1">
      <c r="B99" s="54"/>
      <c r="C99" s="45" t="s">
        <v>168</v>
      </c>
      <c r="D99" s="14"/>
      <c r="E99" s="15"/>
      <c r="H99" s="193"/>
      <c r="I99" s="116" t="s">
        <v>168</v>
      </c>
      <c r="J99" s="671"/>
    </row>
    <row r="100" spans="2:5" ht="15">
      <c r="B100" s="69" t="s">
        <v>851</v>
      </c>
      <c r="C100" s="45" t="s">
        <v>1073</v>
      </c>
      <c r="D100" s="14"/>
      <c r="E100" s="15"/>
    </row>
    <row r="101" spans="1:10" ht="15.75" thickBot="1">
      <c r="A101" s="295"/>
      <c r="B101" s="455" t="s">
        <v>1112</v>
      </c>
      <c r="C101" s="116" t="s">
        <v>1169</v>
      </c>
      <c r="D101" s="17"/>
      <c r="E101" s="18"/>
      <c r="J101" s="295"/>
    </row>
    <row r="102" spans="1:10" ht="15.75" thickBot="1">
      <c r="A102" s="295"/>
      <c r="B102" s="470"/>
      <c r="C102" s="45"/>
      <c r="D102" s="14"/>
      <c r="E102" s="14"/>
      <c r="J102" s="295"/>
    </row>
    <row r="103" spans="1:15" ht="41.25" customHeight="1">
      <c r="A103" s="1588" t="s">
        <v>7</v>
      </c>
      <c r="B103" s="1591" t="s">
        <v>664</v>
      </c>
      <c r="C103" s="1594" t="s">
        <v>9</v>
      </c>
      <c r="D103" s="1594" t="s">
        <v>10</v>
      </c>
      <c r="E103" s="1574" t="s">
        <v>844</v>
      </c>
      <c r="F103" s="1574" t="s">
        <v>12</v>
      </c>
      <c r="G103" s="1594" t="s">
        <v>13</v>
      </c>
      <c r="H103" s="1574" t="s">
        <v>282</v>
      </c>
      <c r="I103" s="1574" t="s">
        <v>14</v>
      </c>
      <c r="J103" s="1574" t="s">
        <v>60</v>
      </c>
      <c r="K103" s="1583" t="s">
        <v>666</v>
      </c>
      <c r="L103" s="1640" t="s">
        <v>667</v>
      </c>
      <c r="M103" s="1634"/>
      <c r="N103" s="1634"/>
      <c r="O103" s="1641"/>
    </row>
    <row r="104" spans="1:15" ht="36" customHeight="1">
      <c r="A104" s="1589"/>
      <c r="B104" s="1592"/>
      <c r="C104" s="1595"/>
      <c r="D104" s="1595"/>
      <c r="E104" s="1575"/>
      <c r="F104" s="1575"/>
      <c r="G104" s="1595"/>
      <c r="H104" s="1575"/>
      <c r="I104" s="1575"/>
      <c r="J104" s="1575"/>
      <c r="K104" s="1584"/>
      <c r="L104" s="1597" t="s">
        <v>668</v>
      </c>
      <c r="M104" s="1568"/>
      <c r="N104" s="1568"/>
      <c r="O104" s="1598"/>
    </row>
    <row r="105" spans="1:15" ht="24" customHeight="1" thickBot="1">
      <c r="A105" s="1590"/>
      <c r="B105" s="1593"/>
      <c r="C105" s="1596"/>
      <c r="D105" s="1596"/>
      <c r="E105" s="1576"/>
      <c r="F105" s="1576"/>
      <c r="G105" s="1596"/>
      <c r="H105" s="1576"/>
      <c r="I105" s="1576"/>
      <c r="J105" s="1576"/>
      <c r="K105" s="1585"/>
      <c r="L105" s="589" t="s">
        <v>669</v>
      </c>
      <c r="M105" s="1373" t="s">
        <v>670</v>
      </c>
      <c r="N105" s="1373" t="s">
        <v>671</v>
      </c>
      <c r="O105" s="1374" t="s">
        <v>17</v>
      </c>
    </row>
    <row r="106" spans="1:15" ht="18">
      <c r="A106" s="621" t="s">
        <v>27</v>
      </c>
      <c r="B106" s="828"/>
      <c r="C106" s="715" t="s">
        <v>165</v>
      </c>
      <c r="D106" s="691" t="s">
        <v>195</v>
      </c>
      <c r="E106" s="691">
        <v>1</v>
      </c>
      <c r="F106" s="187" t="s">
        <v>166</v>
      </c>
      <c r="G106" s="187" t="s">
        <v>165</v>
      </c>
      <c r="H106" s="187">
        <v>847970</v>
      </c>
      <c r="I106" s="734" t="s">
        <v>1100</v>
      </c>
      <c r="J106" s="444" t="s">
        <v>29</v>
      </c>
      <c r="K106" s="274">
        <v>40</v>
      </c>
      <c r="L106" s="275">
        <f>(16935.52-12467.94)*20</f>
        <v>89351.6</v>
      </c>
      <c r="M106" s="276"/>
      <c r="N106" s="276"/>
      <c r="O106" s="275">
        <f>L106</f>
        <v>89351.6</v>
      </c>
    </row>
    <row r="107" spans="1:15" ht="29.25">
      <c r="A107" s="570" t="s">
        <v>27</v>
      </c>
      <c r="B107" s="108"/>
      <c r="C107" s="3" t="s">
        <v>1237</v>
      </c>
      <c r="D107" s="3" t="s">
        <v>1236</v>
      </c>
      <c r="E107" s="4">
        <v>53</v>
      </c>
      <c r="F107" s="4" t="s">
        <v>166</v>
      </c>
      <c r="G107" s="4" t="s">
        <v>165</v>
      </c>
      <c r="H107" s="24">
        <v>90643781</v>
      </c>
      <c r="I107" s="719" t="s">
        <v>1235</v>
      </c>
      <c r="J107" s="398" t="s">
        <v>29</v>
      </c>
      <c r="K107" s="178">
        <v>6</v>
      </c>
      <c r="L107" s="36">
        <f>29192-23897</f>
        <v>5295</v>
      </c>
      <c r="M107" s="35"/>
      <c r="N107" s="35"/>
      <c r="O107" s="927">
        <f>L107</f>
        <v>5295</v>
      </c>
    </row>
    <row r="108" spans="1:15" ht="18">
      <c r="A108" s="570" t="s">
        <v>27</v>
      </c>
      <c r="B108" s="108"/>
      <c r="C108" s="3" t="s">
        <v>165</v>
      </c>
      <c r="D108" s="3" t="s">
        <v>279</v>
      </c>
      <c r="E108" s="4" t="s">
        <v>1234</v>
      </c>
      <c r="F108" s="4" t="s">
        <v>166</v>
      </c>
      <c r="G108" s="4" t="s">
        <v>165</v>
      </c>
      <c r="H108" s="24">
        <v>8445928</v>
      </c>
      <c r="I108" s="719" t="s">
        <v>1233</v>
      </c>
      <c r="J108" s="398" t="s">
        <v>29</v>
      </c>
      <c r="K108" s="178">
        <v>3.8</v>
      </c>
      <c r="L108" s="36">
        <f>2955-1936</f>
        <v>1019</v>
      </c>
      <c r="M108" s="35"/>
      <c r="N108" s="35"/>
      <c r="O108" s="34">
        <f>L108</f>
        <v>1019</v>
      </c>
    </row>
    <row r="109" spans="1:15" ht="18">
      <c r="A109" s="615" t="s">
        <v>27</v>
      </c>
      <c r="B109" s="108"/>
      <c r="C109" s="3" t="s">
        <v>171</v>
      </c>
      <c r="D109" s="785" t="s">
        <v>1239</v>
      </c>
      <c r="E109" s="4">
        <v>28</v>
      </c>
      <c r="F109" s="4" t="s">
        <v>173</v>
      </c>
      <c r="G109" s="4" t="s">
        <v>171</v>
      </c>
      <c r="H109" s="24">
        <v>9322385</v>
      </c>
      <c r="I109" s="719" t="s">
        <v>1240</v>
      </c>
      <c r="J109" s="398" t="s">
        <v>29</v>
      </c>
      <c r="K109" s="178">
        <v>34</v>
      </c>
      <c r="L109" s="36">
        <f>7462-6380</f>
        <v>1082</v>
      </c>
      <c r="M109" s="35"/>
      <c r="N109" s="35"/>
      <c r="O109" s="34">
        <f>L109</f>
        <v>1082</v>
      </c>
    </row>
    <row r="110" spans="1:15" ht="18">
      <c r="A110" s="570" t="s">
        <v>27</v>
      </c>
      <c r="B110" s="25"/>
      <c r="C110" s="3" t="s">
        <v>171</v>
      </c>
      <c r="D110" s="785" t="s">
        <v>1239</v>
      </c>
      <c r="E110" s="4">
        <v>28</v>
      </c>
      <c r="F110" s="4" t="s">
        <v>173</v>
      </c>
      <c r="G110" s="4" t="s">
        <v>171</v>
      </c>
      <c r="H110" s="24">
        <v>71878628</v>
      </c>
      <c r="I110" s="719" t="s">
        <v>1238</v>
      </c>
      <c r="J110" s="31" t="s">
        <v>67</v>
      </c>
      <c r="K110" s="178">
        <v>34</v>
      </c>
      <c r="L110" s="35"/>
      <c r="M110" s="34">
        <f>1404-578</f>
        <v>826</v>
      </c>
      <c r="N110" s="34">
        <f>45622-23862</f>
        <v>21760</v>
      </c>
      <c r="O110" s="34">
        <f>SUM(M110:N110)</f>
        <v>22586</v>
      </c>
    </row>
    <row r="111" spans="1:15" ht="18.75" thickBot="1">
      <c r="A111" s="593" t="s">
        <v>27</v>
      </c>
      <c r="B111" s="9"/>
      <c r="C111" s="6" t="s">
        <v>183</v>
      </c>
      <c r="D111" s="6"/>
      <c r="E111" s="4">
        <v>74</v>
      </c>
      <c r="F111" s="4" t="s">
        <v>166</v>
      </c>
      <c r="G111" s="4" t="s">
        <v>165</v>
      </c>
      <c r="H111" s="24">
        <v>99605</v>
      </c>
      <c r="I111" s="719" t="s">
        <v>1044</v>
      </c>
      <c r="J111" s="398" t="s">
        <v>29</v>
      </c>
      <c r="K111" s="8">
        <v>20</v>
      </c>
      <c r="L111" s="34">
        <f>17486-16153</f>
        <v>1333</v>
      </c>
      <c r="M111" s="35"/>
      <c r="N111" s="35"/>
      <c r="O111" s="34">
        <f>L111</f>
        <v>1333</v>
      </c>
    </row>
    <row r="112" spans="1:15" ht="22.5" customHeight="1">
      <c r="A112" s="295"/>
      <c r="B112" s="1390" t="s">
        <v>23</v>
      </c>
      <c r="C112" s="125" t="s">
        <v>1101</v>
      </c>
      <c r="D112" s="12"/>
      <c r="E112" s="14"/>
      <c r="H112" s="10" t="s">
        <v>1719</v>
      </c>
      <c r="I112" s="670" t="s">
        <v>1101</v>
      </c>
      <c r="J112" s="295"/>
      <c r="N112" s="34" t="s">
        <v>24</v>
      </c>
      <c r="O112" s="585">
        <f>SUM(O106:O111)</f>
        <v>120666.6</v>
      </c>
    </row>
    <row r="113" spans="1:10" ht="15">
      <c r="A113" s="295"/>
      <c r="B113" s="54"/>
      <c r="C113" s="45" t="s">
        <v>1102</v>
      </c>
      <c r="D113" s="15"/>
      <c r="E113" s="14"/>
      <c r="H113" s="190"/>
      <c r="I113" s="181" t="s">
        <v>1102</v>
      </c>
      <c r="J113" s="295"/>
    </row>
    <row r="114" spans="1:10" ht="15.75" thickBot="1">
      <c r="A114" s="295"/>
      <c r="B114" s="54"/>
      <c r="C114" s="45" t="s">
        <v>168</v>
      </c>
      <c r="D114" s="15"/>
      <c r="E114" s="14"/>
      <c r="H114" s="193"/>
      <c r="I114" s="182" t="s">
        <v>168</v>
      </c>
      <c r="J114" s="295"/>
    </row>
    <row r="115" spans="1:10" ht="15">
      <c r="A115" s="295"/>
      <c r="B115" s="69" t="s">
        <v>169</v>
      </c>
      <c r="C115" s="45">
        <v>8222160292</v>
      </c>
      <c r="D115" s="15"/>
      <c r="E115" s="14"/>
      <c r="J115" s="295"/>
    </row>
    <row r="116" spans="1:10" ht="15.75" thickBot="1">
      <c r="A116" s="295"/>
      <c r="B116" s="455" t="s">
        <v>1112</v>
      </c>
      <c r="C116" s="116" t="s">
        <v>1241</v>
      </c>
      <c r="D116" s="18"/>
      <c r="E116" s="14"/>
      <c r="J116" s="295"/>
    </row>
    <row r="117" spans="1:10" ht="15.75" thickBot="1">
      <c r="A117" s="295"/>
      <c r="B117" s="20"/>
      <c r="C117" s="45"/>
      <c r="D117" s="14"/>
      <c r="E117" s="14"/>
      <c r="J117" s="295"/>
    </row>
    <row r="118" spans="1:20" ht="39" customHeight="1">
      <c r="A118" s="1588" t="s">
        <v>7</v>
      </c>
      <c r="B118" s="1591" t="s">
        <v>664</v>
      </c>
      <c r="C118" s="1594" t="s">
        <v>9</v>
      </c>
      <c r="D118" s="1594" t="s">
        <v>10</v>
      </c>
      <c r="E118" s="1574" t="s">
        <v>844</v>
      </c>
      <c r="F118" s="1574" t="s">
        <v>12</v>
      </c>
      <c r="G118" s="1594" t="s">
        <v>13</v>
      </c>
      <c r="H118" s="1574" t="s">
        <v>282</v>
      </c>
      <c r="I118" s="1574" t="s">
        <v>14</v>
      </c>
      <c r="J118" s="1574" t="s">
        <v>60</v>
      </c>
      <c r="K118" s="1583" t="s">
        <v>666</v>
      </c>
      <c r="L118" s="1640" t="s">
        <v>667</v>
      </c>
      <c r="M118" s="1634"/>
      <c r="N118" s="1634"/>
      <c r="O118" s="1641"/>
      <c r="P118" s="629"/>
      <c r="Q118" s="629"/>
      <c r="R118" s="629"/>
      <c r="S118" s="630"/>
      <c r="T118" s="630"/>
    </row>
    <row r="119" spans="1:20" ht="30" customHeight="1">
      <c r="A119" s="1589"/>
      <c r="B119" s="1592"/>
      <c r="C119" s="1595"/>
      <c r="D119" s="1595"/>
      <c r="E119" s="1575"/>
      <c r="F119" s="1575"/>
      <c r="G119" s="1595"/>
      <c r="H119" s="1575"/>
      <c r="I119" s="1575"/>
      <c r="J119" s="1575"/>
      <c r="K119" s="1584"/>
      <c r="L119" s="1597" t="s">
        <v>668</v>
      </c>
      <c r="M119" s="1568"/>
      <c r="N119" s="1568"/>
      <c r="O119" s="1598"/>
      <c r="P119" s="629"/>
      <c r="Q119" s="629"/>
      <c r="R119" s="629"/>
      <c r="S119" s="630"/>
      <c r="T119" s="630"/>
    </row>
    <row r="120" spans="1:20" ht="30" customHeight="1" thickBot="1">
      <c r="A120" s="1590"/>
      <c r="B120" s="1593"/>
      <c r="C120" s="1596"/>
      <c r="D120" s="1596"/>
      <c r="E120" s="1576"/>
      <c r="F120" s="1576"/>
      <c r="G120" s="1596"/>
      <c r="H120" s="1576"/>
      <c r="I120" s="1576"/>
      <c r="J120" s="1576"/>
      <c r="K120" s="1585"/>
      <c r="L120" s="589" t="s">
        <v>669</v>
      </c>
      <c r="M120" s="1373" t="s">
        <v>670</v>
      </c>
      <c r="N120" s="1373" t="s">
        <v>671</v>
      </c>
      <c r="O120" s="1374" t="s">
        <v>17</v>
      </c>
      <c r="P120" s="629"/>
      <c r="Q120" s="629"/>
      <c r="R120" s="629"/>
      <c r="S120" s="630"/>
      <c r="T120" s="630"/>
    </row>
    <row r="121" spans="1:20" s="2" customFormat="1" ht="43.5">
      <c r="A121" s="631" t="s">
        <v>27</v>
      </c>
      <c r="B121" s="472" t="s">
        <v>1402</v>
      </c>
      <c r="C121" s="473" t="s">
        <v>764</v>
      </c>
      <c r="D121" s="472"/>
      <c r="E121" s="837"/>
      <c r="F121" s="273" t="s">
        <v>166</v>
      </c>
      <c r="G121" s="273" t="s">
        <v>165</v>
      </c>
      <c r="H121" s="273">
        <v>643326</v>
      </c>
      <c r="I121" s="759" t="s">
        <v>1163</v>
      </c>
      <c r="J121" s="828" t="s">
        <v>22</v>
      </c>
      <c r="K121" s="415">
        <v>175</v>
      </c>
      <c r="L121" s="1395">
        <f>(46625.72-38212.34)*60</f>
        <v>504802.8000000003</v>
      </c>
      <c r="M121" s="1396"/>
      <c r="N121" s="1396"/>
      <c r="O121" s="1397">
        <f>L121</f>
        <v>504802.8000000003</v>
      </c>
      <c r="P121" s="628"/>
      <c r="Q121" s="628"/>
      <c r="R121" s="628"/>
      <c r="S121" s="68"/>
      <c r="T121" s="113"/>
    </row>
    <row r="122" spans="1:20" s="2" customFormat="1" ht="29.25">
      <c r="A122" s="631" t="s">
        <v>27</v>
      </c>
      <c r="B122" s="47" t="s">
        <v>1403</v>
      </c>
      <c r="C122" s="446" t="s">
        <v>165</v>
      </c>
      <c r="D122" s="47" t="s">
        <v>536</v>
      </c>
      <c r="E122" s="765">
        <v>77</v>
      </c>
      <c r="F122" s="3" t="s">
        <v>166</v>
      </c>
      <c r="G122" s="3" t="s">
        <v>165</v>
      </c>
      <c r="H122" s="3">
        <v>71010336</v>
      </c>
      <c r="I122" s="750" t="s">
        <v>1161</v>
      </c>
      <c r="J122" s="829" t="s">
        <v>29</v>
      </c>
      <c r="K122" s="414">
        <v>17</v>
      </c>
      <c r="L122" s="413">
        <f>82204-65942</f>
        <v>16262</v>
      </c>
      <c r="M122" s="412"/>
      <c r="N122" s="412"/>
      <c r="O122" s="687">
        <f>L122</f>
        <v>16262</v>
      </c>
      <c r="P122" s="628"/>
      <c r="Q122" s="628"/>
      <c r="R122" s="628"/>
      <c r="S122" s="68"/>
      <c r="T122" s="113"/>
    </row>
    <row r="123" spans="1:20" s="2" customFormat="1" ht="43.5">
      <c r="A123" s="631" t="s">
        <v>27</v>
      </c>
      <c r="B123" s="47" t="s">
        <v>1404</v>
      </c>
      <c r="C123" s="446" t="s">
        <v>165</v>
      </c>
      <c r="D123" s="47" t="s">
        <v>765</v>
      </c>
      <c r="E123" s="765">
        <v>6</v>
      </c>
      <c r="F123" s="3" t="s">
        <v>166</v>
      </c>
      <c r="G123" s="3" t="s">
        <v>165</v>
      </c>
      <c r="H123" s="3">
        <v>10146510</v>
      </c>
      <c r="I123" s="750" t="s">
        <v>1162</v>
      </c>
      <c r="J123" s="829" t="s">
        <v>29</v>
      </c>
      <c r="K123" s="414">
        <v>5</v>
      </c>
      <c r="L123" s="413">
        <f>2913-2385</f>
        <v>528</v>
      </c>
      <c r="M123" s="412"/>
      <c r="N123" s="412"/>
      <c r="O123" s="687">
        <f aca="true" t="shared" si="0" ref="O123:O132">L123</f>
        <v>528</v>
      </c>
      <c r="P123" s="628"/>
      <c r="Q123" s="628"/>
      <c r="R123" s="628"/>
      <c r="S123" s="68"/>
      <c r="T123" s="113"/>
    </row>
    <row r="124" spans="1:20" s="2" customFormat="1" ht="43.5">
      <c r="A124" s="631" t="s">
        <v>27</v>
      </c>
      <c r="B124" s="47" t="s">
        <v>766</v>
      </c>
      <c r="C124" s="446" t="s">
        <v>165</v>
      </c>
      <c r="D124" s="47" t="s">
        <v>767</v>
      </c>
      <c r="E124" s="765"/>
      <c r="F124" s="3" t="s">
        <v>166</v>
      </c>
      <c r="G124" s="3" t="s">
        <v>165</v>
      </c>
      <c r="H124" s="3">
        <v>12931531</v>
      </c>
      <c r="I124" s="750" t="s">
        <v>1158</v>
      </c>
      <c r="J124" s="829" t="s">
        <v>29</v>
      </c>
      <c r="K124" s="414">
        <v>7</v>
      </c>
      <c r="L124" s="413">
        <f>16813-15588</f>
        <v>1225</v>
      </c>
      <c r="M124" s="412"/>
      <c r="N124" s="412"/>
      <c r="O124" s="687">
        <f t="shared" si="0"/>
        <v>1225</v>
      </c>
      <c r="P124" s="628"/>
      <c r="Q124" s="628"/>
      <c r="R124" s="628"/>
      <c r="S124" s="68"/>
      <c r="T124" s="113"/>
    </row>
    <row r="125" spans="1:20" s="2" customFormat="1" ht="29.25">
      <c r="A125" s="631" t="s">
        <v>27</v>
      </c>
      <c r="B125" s="47" t="s">
        <v>768</v>
      </c>
      <c r="C125" s="446" t="s">
        <v>165</v>
      </c>
      <c r="D125" s="47" t="s">
        <v>279</v>
      </c>
      <c r="E125" s="765">
        <v>8</v>
      </c>
      <c r="F125" s="3" t="s">
        <v>166</v>
      </c>
      <c r="G125" s="3" t="s">
        <v>165</v>
      </c>
      <c r="H125" s="3">
        <v>226806</v>
      </c>
      <c r="I125" s="750" t="s">
        <v>1159</v>
      </c>
      <c r="J125" s="829" t="s">
        <v>29</v>
      </c>
      <c r="K125" s="414">
        <v>10</v>
      </c>
      <c r="L125" s="413">
        <f>16601-9902</f>
        <v>6699</v>
      </c>
      <c r="M125" s="412"/>
      <c r="N125" s="412"/>
      <c r="O125" s="687">
        <f t="shared" si="0"/>
        <v>6699</v>
      </c>
      <c r="P125" s="628"/>
      <c r="Q125" s="628"/>
      <c r="R125" s="628"/>
      <c r="S125" s="68"/>
      <c r="T125" s="113"/>
    </row>
    <row r="126" spans="1:20" s="2" customFormat="1" ht="44.25" thickBot="1">
      <c r="A126" s="631" t="s">
        <v>27</v>
      </c>
      <c r="B126" s="47" t="s">
        <v>1404</v>
      </c>
      <c r="C126" s="446" t="s">
        <v>764</v>
      </c>
      <c r="D126" s="47" t="s">
        <v>770</v>
      </c>
      <c r="E126" s="838"/>
      <c r="F126" s="3" t="s">
        <v>166</v>
      </c>
      <c r="G126" s="3" t="s">
        <v>165</v>
      </c>
      <c r="H126" s="3">
        <v>90695324</v>
      </c>
      <c r="I126" s="750" t="s">
        <v>1160</v>
      </c>
      <c r="J126" s="829" t="s">
        <v>29</v>
      </c>
      <c r="K126" s="414">
        <v>4</v>
      </c>
      <c r="L126" s="974">
        <v>500</v>
      </c>
      <c r="M126" s="412"/>
      <c r="N126" s="412"/>
      <c r="O126" s="687">
        <f t="shared" si="0"/>
        <v>500</v>
      </c>
      <c r="P126" s="628"/>
      <c r="Q126" s="628"/>
      <c r="R126" s="628"/>
      <c r="S126" s="68"/>
      <c r="T126" s="113"/>
    </row>
    <row r="127" spans="1:20" s="2" customFormat="1" ht="44.25" thickBot="1">
      <c r="A127" s="631" t="s">
        <v>27</v>
      </c>
      <c r="B127" s="47" t="s">
        <v>1405</v>
      </c>
      <c r="C127" s="446" t="s">
        <v>771</v>
      </c>
      <c r="D127" s="47" t="s">
        <v>1406</v>
      </c>
      <c r="E127" s="765"/>
      <c r="F127" s="3" t="s">
        <v>166</v>
      </c>
      <c r="G127" s="3" t="s">
        <v>165</v>
      </c>
      <c r="H127" s="3">
        <v>4098772</v>
      </c>
      <c r="I127" s="750" t="s">
        <v>1156</v>
      </c>
      <c r="J127" s="708" t="s">
        <v>22</v>
      </c>
      <c r="K127" s="414">
        <v>60</v>
      </c>
      <c r="L127" s="974">
        <v>69267</v>
      </c>
      <c r="M127" s="412"/>
      <c r="N127" s="412"/>
      <c r="O127" s="687">
        <f t="shared" si="0"/>
        <v>69267</v>
      </c>
      <c r="P127" s="1109"/>
      <c r="Q127" s="628"/>
      <c r="R127" s="628"/>
      <c r="S127" s="68"/>
      <c r="T127" s="113"/>
    </row>
    <row r="128" spans="1:20" s="2" customFormat="1" ht="43.5">
      <c r="A128" s="631" t="s">
        <v>27</v>
      </c>
      <c r="B128" s="47" t="s">
        <v>1404</v>
      </c>
      <c r="C128" s="446" t="s">
        <v>764</v>
      </c>
      <c r="D128" s="839" t="s">
        <v>1445</v>
      </c>
      <c r="E128" s="840"/>
      <c r="F128" s="3" t="s">
        <v>166</v>
      </c>
      <c r="G128" s="3" t="s">
        <v>165</v>
      </c>
      <c r="H128" s="3">
        <v>357743</v>
      </c>
      <c r="I128" s="750" t="s">
        <v>1157</v>
      </c>
      <c r="J128" s="829" t="s">
        <v>29</v>
      </c>
      <c r="K128" s="414">
        <v>4</v>
      </c>
      <c r="L128" s="413">
        <f>559-378</f>
        <v>181</v>
      </c>
      <c r="M128" s="412"/>
      <c r="N128" s="412"/>
      <c r="O128" s="687">
        <f t="shared" si="0"/>
        <v>181</v>
      </c>
      <c r="P128" s="628"/>
      <c r="Q128" s="628"/>
      <c r="R128" s="628"/>
      <c r="S128" s="68"/>
      <c r="T128" s="113"/>
    </row>
    <row r="129" spans="1:20" s="2" customFormat="1" ht="29.25">
      <c r="A129" s="631" t="s">
        <v>27</v>
      </c>
      <c r="B129" s="47" t="s">
        <v>1407</v>
      </c>
      <c r="C129" s="446" t="s">
        <v>772</v>
      </c>
      <c r="D129" s="47" t="s">
        <v>1408</v>
      </c>
      <c r="E129" s="765"/>
      <c r="F129" s="3" t="s">
        <v>166</v>
      </c>
      <c r="G129" s="3" t="s">
        <v>165</v>
      </c>
      <c r="H129" s="3">
        <v>782323</v>
      </c>
      <c r="I129" s="750" t="s">
        <v>1164</v>
      </c>
      <c r="J129" s="708" t="s">
        <v>22</v>
      </c>
      <c r="K129" s="414">
        <v>120</v>
      </c>
      <c r="L129" s="413">
        <f>(46530.32-38605.79)*40</f>
        <v>316981.19999999995</v>
      </c>
      <c r="M129" s="412"/>
      <c r="N129" s="412"/>
      <c r="O129" s="687">
        <f t="shared" si="0"/>
        <v>316981.19999999995</v>
      </c>
      <c r="P129" s="628"/>
      <c r="Q129" s="628"/>
      <c r="R129" s="628"/>
      <c r="S129" s="68"/>
      <c r="T129" s="113"/>
    </row>
    <row r="130" spans="1:20" s="2" customFormat="1" ht="43.5">
      <c r="A130" s="631" t="s">
        <v>27</v>
      </c>
      <c r="B130" s="47" t="s">
        <v>1404</v>
      </c>
      <c r="C130" s="446" t="s">
        <v>773</v>
      </c>
      <c r="D130" s="47"/>
      <c r="E130" s="765"/>
      <c r="F130" s="3" t="s">
        <v>166</v>
      </c>
      <c r="G130" s="3" t="s">
        <v>165</v>
      </c>
      <c r="H130" s="3">
        <v>790242</v>
      </c>
      <c r="I130" s="750" t="s">
        <v>1165</v>
      </c>
      <c r="J130" s="708" t="s">
        <v>22</v>
      </c>
      <c r="K130" s="414">
        <v>40</v>
      </c>
      <c r="L130" s="413">
        <f>(47792.23-39724.47)*15</f>
        <v>121016.40000000002</v>
      </c>
      <c r="M130" s="412"/>
      <c r="N130" s="412"/>
      <c r="O130" s="687">
        <f t="shared" si="0"/>
        <v>121016.40000000002</v>
      </c>
      <c r="P130" s="628"/>
      <c r="Q130" s="628"/>
      <c r="R130" s="628"/>
      <c r="S130" s="68"/>
      <c r="T130" s="113"/>
    </row>
    <row r="131" spans="1:20" s="2" customFormat="1" ht="29.25">
      <c r="A131" s="627" t="s">
        <v>27</v>
      </c>
      <c r="B131" s="47" t="s">
        <v>1409</v>
      </c>
      <c r="C131" s="446" t="s">
        <v>171</v>
      </c>
      <c r="D131" s="47"/>
      <c r="E131" s="765"/>
      <c r="F131" s="3" t="s">
        <v>173</v>
      </c>
      <c r="G131" s="3" t="s">
        <v>171</v>
      </c>
      <c r="H131" s="3">
        <v>782484</v>
      </c>
      <c r="I131" s="750" t="s">
        <v>1166</v>
      </c>
      <c r="J131" s="708" t="s">
        <v>22</v>
      </c>
      <c r="K131" s="414">
        <v>38</v>
      </c>
      <c r="L131" s="413">
        <f>(31562.49-25820.69)*15</f>
        <v>86127.00000000004</v>
      </c>
      <c r="M131" s="412"/>
      <c r="N131" s="412"/>
      <c r="O131" s="687">
        <f t="shared" si="0"/>
        <v>86127.00000000004</v>
      </c>
      <c r="P131" s="628"/>
      <c r="Q131" s="628"/>
      <c r="R131" s="628"/>
      <c r="S131" s="68"/>
      <c r="T131" s="113"/>
    </row>
    <row r="132" spans="1:20" s="2" customFormat="1" ht="44.25" thickBot="1">
      <c r="A132" s="627" t="s">
        <v>27</v>
      </c>
      <c r="B132" s="785" t="s">
        <v>1404</v>
      </c>
      <c r="C132" s="4" t="s">
        <v>773</v>
      </c>
      <c r="D132" s="4" t="s">
        <v>1167</v>
      </c>
      <c r="E132" s="234" t="s">
        <v>1168</v>
      </c>
      <c r="F132" s="4" t="s">
        <v>166</v>
      </c>
      <c r="G132" s="4" t="s">
        <v>165</v>
      </c>
      <c r="H132" s="731">
        <v>11348820</v>
      </c>
      <c r="I132" s="750" t="s">
        <v>1374</v>
      </c>
      <c r="J132" s="505" t="s">
        <v>29</v>
      </c>
      <c r="K132" s="695">
        <v>6</v>
      </c>
      <c r="L132" s="827">
        <f>2213-1448</f>
        <v>765</v>
      </c>
      <c r="M132" s="204"/>
      <c r="N132" s="204"/>
      <c r="O132" s="997">
        <f t="shared" si="0"/>
        <v>765</v>
      </c>
      <c r="P132" s="628"/>
      <c r="Q132" s="628"/>
      <c r="R132" s="628"/>
      <c r="S132" s="68"/>
      <c r="T132" s="113"/>
    </row>
    <row r="133" spans="1:20" s="2" customFormat="1" ht="21.75" customHeight="1">
      <c r="A133" s="80"/>
      <c r="B133" s="1390" t="s">
        <v>23</v>
      </c>
      <c r="C133" s="125" t="s">
        <v>1101</v>
      </c>
      <c r="D133" s="12"/>
      <c r="E133" s="20"/>
      <c r="H133" s="10" t="s">
        <v>1719</v>
      </c>
      <c r="I133" s="12" t="s">
        <v>769</v>
      </c>
      <c r="K133" s="80"/>
      <c r="L133" s="410"/>
      <c r="M133" s="405"/>
      <c r="N133" s="275" t="s">
        <v>24</v>
      </c>
      <c r="O133" s="686">
        <f>SUM(O121:O132)</f>
        <v>1124354.4000000004</v>
      </c>
      <c r="P133" s="68"/>
      <c r="Q133" s="68"/>
      <c r="R133" s="406"/>
      <c r="S133" s="68"/>
      <c r="T133" s="68"/>
    </row>
    <row r="134" spans="1:15" s="2" customFormat="1" ht="15">
      <c r="A134" s="80"/>
      <c r="B134" s="54"/>
      <c r="C134" s="45" t="s">
        <v>1102</v>
      </c>
      <c r="D134" s="15"/>
      <c r="E134" s="20"/>
      <c r="H134" s="1128"/>
      <c r="I134" s="15" t="s">
        <v>1056</v>
      </c>
      <c r="J134" s="80"/>
      <c r="K134" s="410"/>
      <c r="L134" s="405"/>
      <c r="M134" s="405"/>
      <c r="N134" s="405"/>
      <c r="O134" s="405"/>
    </row>
    <row r="135" spans="1:15" s="2" customFormat="1" ht="15.75" thickBot="1">
      <c r="A135" s="80"/>
      <c r="B135" s="54"/>
      <c r="C135" s="45" t="s">
        <v>168</v>
      </c>
      <c r="D135" s="15"/>
      <c r="E135" s="55"/>
      <c r="H135" s="1376"/>
      <c r="I135" s="18" t="s">
        <v>168</v>
      </c>
      <c r="K135" s="410"/>
      <c r="L135" s="405"/>
      <c r="M135" s="405"/>
      <c r="O135" s="405"/>
    </row>
    <row r="136" spans="2:5" ht="15">
      <c r="B136" s="69" t="s">
        <v>169</v>
      </c>
      <c r="C136" s="45">
        <v>8222160292</v>
      </c>
      <c r="D136" s="15"/>
      <c r="E136" s="56"/>
    </row>
    <row r="137" spans="1:10" ht="15.75" thickBot="1">
      <c r="A137" s="295"/>
      <c r="B137" s="455" t="s">
        <v>1112</v>
      </c>
      <c r="C137" s="116" t="s">
        <v>1241</v>
      </c>
      <c r="D137" s="18"/>
      <c r="E137" s="56"/>
      <c r="J137" s="295"/>
    </row>
    <row r="138" spans="1:10" ht="15">
      <c r="A138" s="836"/>
      <c r="B138" s="470"/>
      <c r="C138" s="14"/>
      <c r="D138" s="14"/>
      <c r="E138" s="56"/>
      <c r="J138" s="836"/>
    </row>
    <row r="139" spans="1:10" ht="15.75" thickBot="1">
      <c r="A139" s="836"/>
      <c r="B139" s="470"/>
      <c r="C139" s="14"/>
      <c r="D139" s="14"/>
      <c r="E139" s="56"/>
      <c r="J139" s="836"/>
    </row>
    <row r="140" spans="1:15" ht="45.75" customHeight="1">
      <c r="A140" s="1580" t="s">
        <v>7</v>
      </c>
      <c r="B140" s="1574" t="s">
        <v>8</v>
      </c>
      <c r="C140" s="1574" t="s">
        <v>9</v>
      </c>
      <c r="D140" s="1574" t="s">
        <v>10</v>
      </c>
      <c r="E140" s="1574" t="s">
        <v>11</v>
      </c>
      <c r="F140" s="1574" t="s">
        <v>12</v>
      </c>
      <c r="G140" s="1574" t="s">
        <v>13</v>
      </c>
      <c r="H140" s="1574" t="s">
        <v>282</v>
      </c>
      <c r="I140" s="1574" t="s">
        <v>14</v>
      </c>
      <c r="J140" s="1574" t="s">
        <v>60</v>
      </c>
      <c r="K140" s="1577" t="s">
        <v>16</v>
      </c>
      <c r="L140" s="1570" t="s">
        <v>672</v>
      </c>
      <c r="M140" s="1570"/>
      <c r="N140" s="1570"/>
      <c r="O140" s="1587"/>
    </row>
    <row r="141" spans="1:15" ht="35.25" customHeight="1">
      <c r="A141" s="1581"/>
      <c r="B141" s="1575"/>
      <c r="C141" s="1575"/>
      <c r="D141" s="1575"/>
      <c r="E141" s="1575"/>
      <c r="F141" s="1575"/>
      <c r="G141" s="1575"/>
      <c r="H141" s="1575"/>
      <c r="I141" s="1575"/>
      <c r="J141" s="1575"/>
      <c r="K141" s="1578"/>
      <c r="L141" s="1568" t="s">
        <v>669</v>
      </c>
      <c r="M141" s="1568" t="s">
        <v>670</v>
      </c>
      <c r="N141" s="1568" t="s">
        <v>671</v>
      </c>
      <c r="O141" s="1598" t="s">
        <v>674</v>
      </c>
    </row>
    <row r="142" spans="1:15" ht="35.25" customHeight="1" thickBot="1">
      <c r="A142" s="1582"/>
      <c r="B142" s="1576"/>
      <c r="C142" s="1576"/>
      <c r="D142" s="1576"/>
      <c r="E142" s="1576"/>
      <c r="F142" s="1576"/>
      <c r="G142" s="1576"/>
      <c r="H142" s="1576"/>
      <c r="I142" s="1576"/>
      <c r="J142" s="1576"/>
      <c r="K142" s="1579"/>
      <c r="L142" s="1569"/>
      <c r="M142" s="1569"/>
      <c r="N142" s="1569"/>
      <c r="O142" s="1648"/>
    </row>
    <row r="143" spans="1:15" ht="30" customHeight="1">
      <c r="A143" s="631" t="s">
        <v>27</v>
      </c>
      <c r="B143" s="837" t="s">
        <v>1419</v>
      </c>
      <c r="C143" s="691" t="s">
        <v>171</v>
      </c>
      <c r="D143" s="691" t="s">
        <v>1368</v>
      </c>
      <c r="E143" s="715" t="s">
        <v>1410</v>
      </c>
      <c r="F143" s="691" t="s">
        <v>173</v>
      </c>
      <c r="G143" s="691" t="s">
        <v>171</v>
      </c>
      <c r="H143" s="691">
        <v>289087</v>
      </c>
      <c r="I143" s="759" t="s">
        <v>1446</v>
      </c>
      <c r="J143" s="501" t="s">
        <v>29</v>
      </c>
      <c r="K143" s="274">
        <v>17</v>
      </c>
      <c r="L143" s="448">
        <v>500</v>
      </c>
      <c r="M143" s="276"/>
      <c r="N143" s="276"/>
      <c r="O143" s="275">
        <f>L143</f>
        <v>500</v>
      </c>
    </row>
    <row r="144" spans="1:15" ht="30" customHeight="1">
      <c r="A144" s="627" t="s">
        <v>27</v>
      </c>
      <c r="B144" s="765" t="s">
        <v>1421</v>
      </c>
      <c r="C144" s="48" t="s">
        <v>171</v>
      </c>
      <c r="D144" s="48" t="s">
        <v>1370</v>
      </c>
      <c r="E144" s="46" t="s">
        <v>1411</v>
      </c>
      <c r="F144" s="48" t="s">
        <v>173</v>
      </c>
      <c r="G144" s="48" t="s">
        <v>171</v>
      </c>
      <c r="H144" s="48">
        <v>292031</v>
      </c>
      <c r="I144" s="750" t="s">
        <v>1453</v>
      </c>
      <c r="J144" s="31" t="s">
        <v>29</v>
      </c>
      <c r="K144" s="8">
        <v>17</v>
      </c>
      <c r="L144" s="36">
        <v>500</v>
      </c>
      <c r="M144" s="35"/>
      <c r="N144" s="35"/>
      <c r="O144" s="34">
        <f aca="true" t="shared" si="1" ref="O144:O149">L144</f>
        <v>500</v>
      </c>
    </row>
    <row r="145" spans="1:15" ht="30" customHeight="1">
      <c r="A145" s="627" t="s">
        <v>27</v>
      </c>
      <c r="B145" s="765" t="s">
        <v>1420</v>
      </c>
      <c r="C145" s="48" t="s">
        <v>171</v>
      </c>
      <c r="D145" s="48" t="s">
        <v>416</v>
      </c>
      <c r="E145" s="46" t="s">
        <v>1412</v>
      </c>
      <c r="F145" s="48" t="s">
        <v>173</v>
      </c>
      <c r="G145" s="48" t="s">
        <v>171</v>
      </c>
      <c r="H145" s="48">
        <v>292029</v>
      </c>
      <c r="I145" s="750" t="s">
        <v>1447</v>
      </c>
      <c r="J145" s="31" t="s">
        <v>29</v>
      </c>
      <c r="K145" s="8">
        <v>17</v>
      </c>
      <c r="L145" s="36">
        <f>500</f>
        <v>500</v>
      </c>
      <c r="M145" s="35"/>
      <c r="N145" s="35"/>
      <c r="O145" s="34">
        <f t="shared" si="1"/>
        <v>500</v>
      </c>
    </row>
    <row r="146" spans="1:15" ht="30" customHeight="1">
      <c r="A146" s="627" t="s">
        <v>27</v>
      </c>
      <c r="B146" s="765" t="s">
        <v>910</v>
      </c>
      <c r="C146" s="48" t="s">
        <v>171</v>
      </c>
      <c r="D146" s="48" t="s">
        <v>176</v>
      </c>
      <c r="E146" s="446" t="s">
        <v>1452</v>
      </c>
      <c r="F146" s="48" t="s">
        <v>173</v>
      </c>
      <c r="G146" s="48" t="s">
        <v>171</v>
      </c>
      <c r="H146" s="48">
        <v>10957391</v>
      </c>
      <c r="I146" s="750" t="s">
        <v>1451</v>
      </c>
      <c r="J146" s="31" t="s">
        <v>29</v>
      </c>
      <c r="K146" s="8">
        <v>17</v>
      </c>
      <c r="L146" s="36">
        <v>500</v>
      </c>
      <c r="M146" s="35"/>
      <c r="N146" s="35"/>
      <c r="O146" s="34">
        <f t="shared" si="1"/>
        <v>500</v>
      </c>
    </row>
    <row r="147" spans="1:15" ht="30" customHeight="1">
      <c r="A147" s="627" t="s">
        <v>27</v>
      </c>
      <c r="B147" s="765" t="s">
        <v>905</v>
      </c>
      <c r="C147" s="46" t="s">
        <v>171</v>
      </c>
      <c r="D147" s="46" t="s">
        <v>1414</v>
      </c>
      <c r="E147" s="46" t="s">
        <v>1415</v>
      </c>
      <c r="F147" s="48" t="s">
        <v>173</v>
      </c>
      <c r="G147" s="48" t="s">
        <v>171</v>
      </c>
      <c r="H147" s="48">
        <v>11119021</v>
      </c>
      <c r="I147" s="750" t="s">
        <v>1449</v>
      </c>
      <c r="J147" s="31" t="s">
        <v>29</v>
      </c>
      <c r="K147" s="8">
        <v>22</v>
      </c>
      <c r="L147" s="36">
        <v>1000</v>
      </c>
      <c r="M147" s="35"/>
      <c r="N147" s="35"/>
      <c r="O147" s="34">
        <f t="shared" si="1"/>
        <v>1000</v>
      </c>
    </row>
    <row r="148" spans="1:15" ht="30" customHeight="1">
      <c r="A148" s="627" t="s">
        <v>27</v>
      </c>
      <c r="B148" s="765" t="s">
        <v>908</v>
      </c>
      <c r="C148" s="46" t="s">
        <v>171</v>
      </c>
      <c r="D148" s="46" t="s">
        <v>172</v>
      </c>
      <c r="E148" s="46" t="s">
        <v>1416</v>
      </c>
      <c r="F148" s="48" t="s">
        <v>173</v>
      </c>
      <c r="G148" s="48" t="s">
        <v>171</v>
      </c>
      <c r="H148" s="48">
        <v>289094</v>
      </c>
      <c r="I148" s="750" t="s">
        <v>1450</v>
      </c>
      <c r="J148" s="31" t="s">
        <v>29</v>
      </c>
      <c r="K148" s="8">
        <v>17</v>
      </c>
      <c r="L148" s="36">
        <v>500</v>
      </c>
      <c r="M148" s="35"/>
      <c r="N148" s="35"/>
      <c r="O148" s="34">
        <f t="shared" si="1"/>
        <v>500</v>
      </c>
    </row>
    <row r="149" spans="1:15" ht="30" customHeight="1" thickBot="1">
      <c r="A149" s="627" t="s">
        <v>27</v>
      </c>
      <c r="B149" s="765" t="s">
        <v>1418</v>
      </c>
      <c r="C149" s="46" t="s">
        <v>171</v>
      </c>
      <c r="D149" s="46" t="s">
        <v>55</v>
      </c>
      <c r="E149" s="46" t="s">
        <v>1417</v>
      </c>
      <c r="F149" s="48" t="s">
        <v>173</v>
      </c>
      <c r="G149" s="48" t="s">
        <v>171</v>
      </c>
      <c r="H149" s="48">
        <v>292028</v>
      </c>
      <c r="I149" s="750" t="s">
        <v>1448</v>
      </c>
      <c r="J149" s="31" t="s">
        <v>29</v>
      </c>
      <c r="K149" s="8">
        <v>22</v>
      </c>
      <c r="L149" s="36">
        <v>1000</v>
      </c>
      <c r="M149" s="35"/>
      <c r="N149" s="35"/>
      <c r="O149" s="34">
        <f t="shared" si="1"/>
        <v>1000</v>
      </c>
    </row>
    <row r="150" spans="1:15" ht="15">
      <c r="A150" s="836"/>
      <c r="B150" s="1390" t="s">
        <v>23</v>
      </c>
      <c r="C150" s="125" t="s">
        <v>1101</v>
      </c>
      <c r="D150" s="12"/>
      <c r="E150" s="20"/>
      <c r="H150" s="10" t="s">
        <v>1719</v>
      </c>
      <c r="I150" s="12" t="s">
        <v>769</v>
      </c>
      <c r="J150" s="836"/>
      <c r="N150" s="34" t="s">
        <v>24</v>
      </c>
      <c r="O150" s="686">
        <f>SUM(O143:O149)</f>
        <v>4500</v>
      </c>
    </row>
    <row r="151" spans="1:10" ht="15">
      <c r="A151" s="836"/>
      <c r="B151" s="54"/>
      <c r="C151" s="45" t="s">
        <v>1102</v>
      </c>
      <c r="D151" s="15"/>
      <c r="E151" s="20"/>
      <c r="H151" s="190"/>
      <c r="I151" s="15" t="s">
        <v>1056</v>
      </c>
      <c r="J151" s="836"/>
    </row>
    <row r="152" spans="1:10" ht="15.75" thickBot="1">
      <c r="A152" s="836"/>
      <c r="B152" s="54"/>
      <c r="C152" s="45" t="s">
        <v>168</v>
      </c>
      <c r="D152" s="15"/>
      <c r="E152" s="55"/>
      <c r="H152" s="193"/>
      <c r="I152" s="18" t="s">
        <v>168</v>
      </c>
      <c r="J152" s="836"/>
    </row>
    <row r="153" spans="1:10" ht="15">
      <c r="A153" s="295"/>
      <c r="B153" s="69" t="s">
        <v>169</v>
      </c>
      <c r="C153" s="45">
        <v>8222160292</v>
      </c>
      <c r="D153" s="15"/>
      <c r="E153" s="56"/>
      <c r="J153" s="295"/>
    </row>
    <row r="154" spans="1:10" ht="15.75" thickBot="1">
      <c r="A154" s="922"/>
      <c r="B154" s="455" t="s">
        <v>1112</v>
      </c>
      <c r="C154" s="116" t="s">
        <v>1241</v>
      </c>
      <c r="D154" s="18"/>
      <c r="E154" s="56"/>
      <c r="J154" s="922"/>
    </row>
    <row r="155" spans="1:10" ht="15.75" thickBot="1">
      <c r="A155" s="922"/>
      <c r="B155" s="470"/>
      <c r="C155" s="14"/>
      <c r="D155" s="14"/>
      <c r="E155" s="56"/>
      <c r="J155" s="922"/>
    </row>
    <row r="156" spans="1:21" ht="50.25" customHeight="1">
      <c r="A156" s="1580" t="s">
        <v>7</v>
      </c>
      <c r="B156" s="1574" t="s">
        <v>8</v>
      </c>
      <c r="C156" s="1574" t="s">
        <v>9</v>
      </c>
      <c r="D156" s="1574" t="s">
        <v>10</v>
      </c>
      <c r="E156" s="1574" t="s">
        <v>11</v>
      </c>
      <c r="F156" s="1574" t="s">
        <v>12</v>
      </c>
      <c r="G156" s="1574" t="s">
        <v>13</v>
      </c>
      <c r="H156" s="1574" t="s">
        <v>15</v>
      </c>
      <c r="I156" s="1574" t="s">
        <v>282</v>
      </c>
      <c r="J156" s="1574" t="s">
        <v>60</v>
      </c>
      <c r="K156" s="1577" t="s">
        <v>16</v>
      </c>
      <c r="L156" s="1570" t="s">
        <v>672</v>
      </c>
      <c r="M156" s="1570"/>
      <c r="N156" s="1570"/>
      <c r="O156" s="1570"/>
      <c r="P156" s="1570" t="s">
        <v>673</v>
      </c>
      <c r="Q156" s="1570"/>
      <c r="R156" s="1570"/>
      <c r="S156" s="1570"/>
      <c r="T156" s="1574" t="s">
        <v>1232</v>
      </c>
      <c r="U156" s="1645" t="s">
        <v>1184</v>
      </c>
    </row>
    <row r="157" spans="1:21" ht="21" customHeight="1">
      <c r="A157" s="1581"/>
      <c r="B157" s="1575"/>
      <c r="C157" s="1575"/>
      <c r="D157" s="1575"/>
      <c r="E157" s="1575"/>
      <c r="F157" s="1575"/>
      <c r="G157" s="1575"/>
      <c r="H157" s="1575"/>
      <c r="I157" s="1575"/>
      <c r="J157" s="1575"/>
      <c r="K157" s="1578"/>
      <c r="L157" s="1568" t="s">
        <v>669</v>
      </c>
      <c r="M157" s="1568" t="s">
        <v>670</v>
      </c>
      <c r="N157" s="1568" t="s">
        <v>671</v>
      </c>
      <c r="O157" s="1568" t="s">
        <v>674</v>
      </c>
      <c r="P157" s="1568" t="s">
        <v>669</v>
      </c>
      <c r="Q157" s="1568" t="s">
        <v>670</v>
      </c>
      <c r="R157" s="1568" t="s">
        <v>671</v>
      </c>
      <c r="S157" s="1568" t="s">
        <v>674</v>
      </c>
      <c r="T157" s="1575"/>
      <c r="U157" s="1646"/>
    </row>
    <row r="158" spans="1:21" ht="30" customHeight="1" thickBot="1">
      <c r="A158" s="1582"/>
      <c r="B158" s="1576"/>
      <c r="C158" s="1576"/>
      <c r="D158" s="1576"/>
      <c r="E158" s="1576"/>
      <c r="F158" s="1576"/>
      <c r="G158" s="1576"/>
      <c r="H158" s="1576"/>
      <c r="I158" s="1576"/>
      <c r="J158" s="1576"/>
      <c r="K158" s="1579"/>
      <c r="L158" s="1569"/>
      <c r="M158" s="1569"/>
      <c r="N158" s="1569"/>
      <c r="O158" s="1569"/>
      <c r="P158" s="1569"/>
      <c r="Q158" s="1569"/>
      <c r="R158" s="1569"/>
      <c r="S158" s="1569"/>
      <c r="T158" s="1576"/>
      <c r="U158" s="1647"/>
    </row>
    <row r="159" spans="1:21" ht="45" customHeight="1">
      <c r="A159" s="631" t="s">
        <v>18</v>
      </c>
      <c r="B159" s="1393" t="s">
        <v>230</v>
      </c>
      <c r="C159" s="691" t="s">
        <v>165</v>
      </c>
      <c r="D159" s="691" t="s">
        <v>279</v>
      </c>
      <c r="E159" s="187">
        <v>8</v>
      </c>
      <c r="F159" s="273" t="s">
        <v>166</v>
      </c>
      <c r="G159" s="273" t="s">
        <v>165</v>
      </c>
      <c r="H159" s="734">
        <v>38045046</v>
      </c>
      <c r="I159" s="187">
        <v>90071653</v>
      </c>
      <c r="J159" s="501" t="s">
        <v>67</v>
      </c>
      <c r="K159" s="274">
        <v>8</v>
      </c>
      <c r="L159" s="276"/>
      <c r="M159" s="275">
        <v>100</v>
      </c>
      <c r="N159" s="275">
        <v>300</v>
      </c>
      <c r="O159" s="275">
        <f>SUM(M159:N159)</f>
        <v>400</v>
      </c>
      <c r="P159" s="276"/>
      <c r="Q159" s="275">
        <v>100</v>
      </c>
      <c r="R159" s="275">
        <v>300</v>
      </c>
      <c r="S159" s="1394">
        <f>SUM(Q159:R159)</f>
        <v>400</v>
      </c>
      <c r="T159" s="273" t="s">
        <v>1536</v>
      </c>
      <c r="U159" s="187" t="s">
        <v>1537</v>
      </c>
    </row>
    <row r="160" spans="1:21" ht="51" customHeight="1" thickBot="1">
      <c r="A160" s="627" t="s">
        <v>18</v>
      </c>
      <c r="B160" s="930" t="s">
        <v>230</v>
      </c>
      <c r="C160" s="505" t="s">
        <v>171</v>
      </c>
      <c r="D160" s="48" t="s">
        <v>1442</v>
      </c>
      <c r="E160" s="186" t="s">
        <v>1443</v>
      </c>
      <c r="F160" s="48" t="s">
        <v>173</v>
      </c>
      <c r="G160" s="48" t="s">
        <v>171</v>
      </c>
      <c r="H160" s="719">
        <v>38506007</v>
      </c>
      <c r="I160" s="4">
        <v>26259892</v>
      </c>
      <c r="J160" s="398" t="s">
        <v>29</v>
      </c>
      <c r="K160" s="8">
        <v>4</v>
      </c>
      <c r="L160" s="34">
        <v>1000</v>
      </c>
      <c r="M160" s="35"/>
      <c r="N160" s="35"/>
      <c r="O160" s="34">
        <f>L160</f>
        <v>1000</v>
      </c>
      <c r="P160" s="34">
        <v>1000</v>
      </c>
      <c r="Q160" s="35"/>
      <c r="R160" s="35"/>
      <c r="S160" s="931">
        <f>P160</f>
        <v>1000</v>
      </c>
      <c r="T160" s="3" t="s">
        <v>1536</v>
      </c>
      <c r="U160" s="4" t="s">
        <v>1537</v>
      </c>
    </row>
    <row r="161" spans="1:19" ht="15">
      <c r="A161" s="922"/>
      <c r="B161" s="1390" t="s">
        <v>23</v>
      </c>
      <c r="C161" s="125" t="s">
        <v>1101</v>
      </c>
      <c r="D161" s="12"/>
      <c r="E161" s="56"/>
      <c r="H161" s="10" t="s">
        <v>1719</v>
      </c>
      <c r="I161" s="12" t="s">
        <v>230</v>
      </c>
      <c r="J161" s="922"/>
      <c r="R161" s="34" t="s">
        <v>24</v>
      </c>
      <c r="S161" s="686">
        <f>SUM(S159:S160)</f>
        <v>1400</v>
      </c>
    </row>
    <row r="162" spans="1:10" ht="18.75" customHeight="1">
      <c r="A162" s="922"/>
      <c r="B162" s="54"/>
      <c r="C162" s="45" t="s">
        <v>1102</v>
      </c>
      <c r="D162" s="15"/>
      <c r="E162" s="56"/>
      <c r="H162" s="190"/>
      <c r="I162" s="15" t="s">
        <v>184</v>
      </c>
      <c r="J162" s="922"/>
    </row>
    <row r="163" spans="1:10" ht="15.75" thickBot="1">
      <c r="A163" s="922"/>
      <c r="B163" s="54"/>
      <c r="C163" s="45" t="s">
        <v>168</v>
      </c>
      <c r="D163" s="15"/>
      <c r="E163" s="56"/>
      <c r="H163" s="193"/>
      <c r="I163" s="18" t="s">
        <v>175</v>
      </c>
      <c r="J163" s="922"/>
    </row>
    <row r="164" spans="1:19" ht="15">
      <c r="A164" s="295"/>
      <c r="B164" s="69" t="s">
        <v>169</v>
      </c>
      <c r="C164" s="45">
        <v>8222160292</v>
      </c>
      <c r="D164" s="15"/>
      <c r="E164" s="56"/>
      <c r="F164" s="56"/>
      <c r="J164" s="1"/>
      <c r="K164" s="295"/>
      <c r="L164" s="426"/>
      <c r="M164" s="1"/>
      <c r="N164" s="1"/>
      <c r="P164" s="33"/>
      <c r="Q164" s="33"/>
      <c r="R164" s="33"/>
      <c r="S164" s="33"/>
    </row>
    <row r="165" spans="1:19" ht="15.75" thickBot="1">
      <c r="A165" s="922"/>
      <c r="B165" s="455" t="s">
        <v>1112</v>
      </c>
      <c r="C165" s="116" t="s">
        <v>1241</v>
      </c>
      <c r="D165" s="18"/>
      <c r="E165" s="56"/>
      <c r="F165" s="56"/>
      <c r="J165" s="1"/>
      <c r="K165" s="922"/>
      <c r="L165" s="426"/>
      <c r="M165" s="1"/>
      <c r="N165" s="1"/>
      <c r="P165" s="33"/>
      <c r="Q165" s="33"/>
      <c r="R165" s="33"/>
      <c r="S165" s="33"/>
    </row>
    <row r="166" spans="1:19" ht="15.75" thickBot="1">
      <c r="A166" s="922"/>
      <c r="B166" s="470"/>
      <c r="C166" s="14"/>
      <c r="D166" s="14"/>
      <c r="E166" s="56"/>
      <c r="F166" s="56"/>
      <c r="J166" s="1"/>
      <c r="K166" s="922"/>
      <c r="L166" s="426"/>
      <c r="M166" s="1"/>
      <c r="N166" s="1"/>
      <c r="P166" s="33"/>
      <c r="Q166" s="33"/>
      <c r="R166" s="33"/>
      <c r="S166" s="33"/>
    </row>
    <row r="167" spans="1:21" ht="44.25" customHeight="1">
      <c r="A167" s="1580" t="s">
        <v>7</v>
      </c>
      <c r="B167" s="1574" t="s">
        <v>8</v>
      </c>
      <c r="C167" s="1574" t="s">
        <v>9</v>
      </c>
      <c r="D167" s="1574" t="s">
        <v>10</v>
      </c>
      <c r="E167" s="1574" t="s">
        <v>11</v>
      </c>
      <c r="F167" s="1574" t="s">
        <v>12</v>
      </c>
      <c r="G167" s="1574" t="s">
        <v>13</v>
      </c>
      <c r="H167" s="1574" t="s">
        <v>15</v>
      </c>
      <c r="I167" s="1574" t="s">
        <v>282</v>
      </c>
      <c r="J167" s="1574" t="s">
        <v>60</v>
      </c>
      <c r="K167" s="1577" t="s">
        <v>16</v>
      </c>
      <c r="L167" s="1570" t="s">
        <v>672</v>
      </c>
      <c r="M167" s="1570"/>
      <c r="N167" s="1570"/>
      <c r="O167" s="1570"/>
      <c r="P167" s="1570" t="s">
        <v>673</v>
      </c>
      <c r="Q167" s="1570"/>
      <c r="R167" s="1570"/>
      <c r="S167" s="1570"/>
      <c r="T167" s="1574" t="s">
        <v>1232</v>
      </c>
      <c r="U167" s="1645" t="s">
        <v>1184</v>
      </c>
    </row>
    <row r="168" spans="1:21" ht="20.25" customHeight="1">
      <c r="A168" s="1581"/>
      <c r="B168" s="1575"/>
      <c r="C168" s="1575"/>
      <c r="D168" s="1575"/>
      <c r="E168" s="1575"/>
      <c r="F168" s="1575"/>
      <c r="G168" s="1575"/>
      <c r="H168" s="1575"/>
      <c r="I168" s="1575"/>
      <c r="J168" s="1575"/>
      <c r="K168" s="1578"/>
      <c r="L168" s="1568" t="s">
        <v>669</v>
      </c>
      <c r="M168" s="1568" t="s">
        <v>670</v>
      </c>
      <c r="N168" s="1568" t="s">
        <v>671</v>
      </c>
      <c r="O168" s="1568" t="s">
        <v>674</v>
      </c>
      <c r="P168" s="1568" t="s">
        <v>669</v>
      </c>
      <c r="Q168" s="1568" t="s">
        <v>670</v>
      </c>
      <c r="R168" s="1568" t="s">
        <v>671</v>
      </c>
      <c r="S168" s="1568" t="s">
        <v>674</v>
      </c>
      <c r="T168" s="1575"/>
      <c r="U168" s="1646"/>
    </row>
    <row r="169" spans="1:21" ht="20.25" customHeight="1" thickBot="1">
      <c r="A169" s="1582"/>
      <c r="B169" s="1576"/>
      <c r="C169" s="1576"/>
      <c r="D169" s="1576"/>
      <c r="E169" s="1576"/>
      <c r="F169" s="1576"/>
      <c r="G169" s="1576"/>
      <c r="H169" s="1576"/>
      <c r="I169" s="1576"/>
      <c r="J169" s="1576"/>
      <c r="K169" s="1579"/>
      <c r="L169" s="1569"/>
      <c r="M169" s="1569"/>
      <c r="N169" s="1569"/>
      <c r="O169" s="1569"/>
      <c r="P169" s="1569"/>
      <c r="Q169" s="1569"/>
      <c r="R169" s="1569"/>
      <c r="S169" s="1569"/>
      <c r="T169" s="1576"/>
      <c r="U169" s="1647"/>
    </row>
    <row r="170" spans="1:21" ht="50.25" customHeight="1" thickBot="1">
      <c r="A170" s="631" t="s">
        <v>18</v>
      </c>
      <c r="B170" s="1393" t="s">
        <v>1444</v>
      </c>
      <c r="C170" s="691" t="s">
        <v>165</v>
      </c>
      <c r="D170" s="691" t="s">
        <v>599</v>
      </c>
      <c r="E170" s="187">
        <v>115</v>
      </c>
      <c r="F170" s="273" t="s">
        <v>166</v>
      </c>
      <c r="G170" s="273" t="s">
        <v>165</v>
      </c>
      <c r="H170" s="734">
        <v>30382800</v>
      </c>
      <c r="I170" s="187">
        <v>4098695</v>
      </c>
      <c r="J170" s="556" t="s">
        <v>22</v>
      </c>
      <c r="K170" s="274">
        <v>130</v>
      </c>
      <c r="L170" s="976">
        <f>(((604.09-36.85)*40)/5)*12</f>
        <v>54455.04</v>
      </c>
      <c r="M170" s="276"/>
      <c r="N170" s="276"/>
      <c r="O170" s="275">
        <f>L170</f>
        <v>54455.04</v>
      </c>
      <c r="P170" s="976">
        <f>(((604.09-36.85)*40)/5)*12</f>
        <v>54455.04</v>
      </c>
      <c r="Q170" s="276"/>
      <c r="R170" s="276"/>
      <c r="S170" s="1394">
        <f>P170</f>
        <v>54455.04</v>
      </c>
      <c r="T170" s="273" t="s">
        <v>1536</v>
      </c>
      <c r="U170" s="187" t="s">
        <v>1537</v>
      </c>
    </row>
    <row r="171" spans="1:21" ht="18">
      <c r="A171" s="935"/>
      <c r="B171" s="1390" t="s">
        <v>23</v>
      </c>
      <c r="C171" s="125" t="s">
        <v>1101</v>
      </c>
      <c r="D171" s="12"/>
      <c r="E171" s="56"/>
      <c r="F171" s="55"/>
      <c r="H171" s="10" t="s">
        <v>1719</v>
      </c>
      <c r="I171" s="12" t="s">
        <v>1444</v>
      </c>
      <c r="J171" s="57"/>
      <c r="K171" s="933"/>
      <c r="L171" s="936"/>
      <c r="M171" s="72"/>
      <c r="N171" s="72"/>
      <c r="O171" s="72"/>
      <c r="P171" s="936"/>
      <c r="Q171" s="72"/>
      <c r="R171" s="34" t="s">
        <v>24</v>
      </c>
      <c r="S171" s="686">
        <f>SUM(S170)</f>
        <v>54455.04</v>
      </c>
      <c r="T171" s="56"/>
      <c r="U171" s="56"/>
    </row>
    <row r="172" spans="1:21" ht="18">
      <c r="A172" s="935"/>
      <c r="B172" s="54"/>
      <c r="C172" s="45" t="s">
        <v>1102</v>
      </c>
      <c r="D172" s="15"/>
      <c r="E172" s="56"/>
      <c r="F172" s="55"/>
      <c r="H172" s="1128"/>
      <c r="I172" s="15" t="s">
        <v>186</v>
      </c>
      <c r="J172" s="57"/>
      <c r="K172" s="933"/>
      <c r="L172" s="936"/>
      <c r="M172" s="72"/>
      <c r="N172" s="72"/>
      <c r="O172" s="72"/>
      <c r="P172" s="936"/>
      <c r="Q172" s="72"/>
      <c r="R172" s="72"/>
      <c r="S172" s="934"/>
      <c r="T172" s="56"/>
      <c r="U172" s="56"/>
    </row>
    <row r="173" spans="1:21" ht="18.75" thickBot="1">
      <c r="A173" s="935"/>
      <c r="B173" s="54"/>
      <c r="C173" s="45" t="s">
        <v>168</v>
      </c>
      <c r="D173" s="15"/>
      <c r="E173" s="56"/>
      <c r="F173" s="55"/>
      <c r="H173" s="1376"/>
      <c r="I173" s="18" t="s">
        <v>168</v>
      </c>
      <c r="J173" s="57"/>
      <c r="K173" s="933"/>
      <c r="L173" s="936"/>
      <c r="M173" s="72"/>
      <c r="N173" s="72"/>
      <c r="O173" s="72"/>
      <c r="P173" s="936"/>
      <c r="Q173" s="72"/>
      <c r="R173" s="72"/>
      <c r="S173" s="934"/>
      <c r="T173" s="56"/>
      <c r="U173" s="56"/>
    </row>
    <row r="174" spans="1:21" ht="18">
      <c r="A174" s="935"/>
      <c r="B174" s="69" t="s">
        <v>169</v>
      </c>
      <c r="C174" s="45">
        <v>8222160292</v>
      </c>
      <c r="D174" s="15"/>
      <c r="E174" s="56"/>
      <c r="F174" s="55"/>
      <c r="G174" s="55"/>
      <c r="H174" s="928"/>
      <c r="I174" s="56"/>
      <c r="J174" s="57"/>
      <c r="K174" s="933"/>
      <c r="L174" s="936"/>
      <c r="M174" s="72"/>
      <c r="N174" s="72"/>
      <c r="O174" s="72"/>
      <c r="P174" s="936"/>
      <c r="Q174" s="72"/>
      <c r="R174" s="72"/>
      <c r="S174" s="934"/>
      <c r="T174" s="56"/>
      <c r="U174" s="56"/>
    </row>
    <row r="175" spans="1:21" ht="18.75" thickBot="1">
      <c r="A175" s="935"/>
      <c r="B175" s="455" t="s">
        <v>1112</v>
      </c>
      <c r="C175" s="116" t="s">
        <v>1241</v>
      </c>
      <c r="D175" s="18"/>
      <c r="E175" s="56"/>
      <c r="F175" s="55"/>
      <c r="G175" s="55"/>
      <c r="H175" s="928"/>
      <c r="I175" s="56"/>
      <c r="J175" s="57"/>
      <c r="K175" s="933"/>
      <c r="L175" s="936"/>
      <c r="M175" s="72"/>
      <c r="N175" s="72"/>
      <c r="O175" s="72"/>
      <c r="P175" s="936"/>
      <c r="Q175" s="72"/>
      <c r="R175" s="72"/>
      <c r="S175" s="934"/>
      <c r="T175" s="56"/>
      <c r="U175" s="56"/>
    </row>
    <row r="176" spans="1:21" ht="18.75" thickBot="1">
      <c r="A176" s="935"/>
      <c r="B176" s="470"/>
      <c r="C176" s="45"/>
      <c r="D176" s="14"/>
      <c r="E176" s="56"/>
      <c r="F176" s="55"/>
      <c r="G176" s="55"/>
      <c r="H176" s="928"/>
      <c r="I176" s="56"/>
      <c r="J176" s="57"/>
      <c r="K176" s="933"/>
      <c r="L176" s="936"/>
      <c r="M176" s="72"/>
      <c r="N176" s="72"/>
      <c r="O176" s="72"/>
      <c r="P176" s="936"/>
      <c r="Q176" s="72"/>
      <c r="R176" s="72"/>
      <c r="S176" s="934"/>
      <c r="T176" s="56"/>
      <c r="U176" s="56"/>
    </row>
    <row r="177" spans="1:21" ht="42" customHeight="1">
      <c r="A177" s="1580" t="s">
        <v>7</v>
      </c>
      <c r="B177" s="1574" t="s">
        <v>8</v>
      </c>
      <c r="C177" s="1574" t="s">
        <v>9</v>
      </c>
      <c r="D177" s="1574" t="s">
        <v>10</v>
      </c>
      <c r="E177" s="1574" t="s">
        <v>11</v>
      </c>
      <c r="F177" s="1574" t="s">
        <v>12</v>
      </c>
      <c r="G177" s="1574" t="s">
        <v>13</v>
      </c>
      <c r="H177" s="1574" t="s">
        <v>15</v>
      </c>
      <c r="I177" s="1574" t="s">
        <v>282</v>
      </c>
      <c r="J177" s="1574" t="s">
        <v>60</v>
      </c>
      <c r="K177" s="1577" t="s">
        <v>16</v>
      </c>
      <c r="L177" s="1570" t="s">
        <v>672</v>
      </c>
      <c r="M177" s="1570"/>
      <c r="N177" s="1570"/>
      <c r="O177" s="1570"/>
      <c r="P177" s="1570" t="s">
        <v>673</v>
      </c>
      <c r="Q177" s="1570"/>
      <c r="R177" s="1570"/>
      <c r="S177" s="1570"/>
      <c r="T177" s="1574" t="s">
        <v>1232</v>
      </c>
      <c r="U177" s="1645" t="s">
        <v>1184</v>
      </c>
    </row>
    <row r="178" spans="1:21" ht="20.25" customHeight="1">
      <c r="A178" s="1581"/>
      <c r="B178" s="1575"/>
      <c r="C178" s="1575"/>
      <c r="D178" s="1575"/>
      <c r="E178" s="1575"/>
      <c r="F178" s="1575"/>
      <c r="G178" s="1575"/>
      <c r="H178" s="1575"/>
      <c r="I178" s="1575"/>
      <c r="J178" s="1575"/>
      <c r="K178" s="1578"/>
      <c r="L178" s="1568" t="s">
        <v>669</v>
      </c>
      <c r="M178" s="1568" t="s">
        <v>670</v>
      </c>
      <c r="N178" s="1568" t="s">
        <v>671</v>
      </c>
      <c r="O178" s="1568" t="s">
        <v>674</v>
      </c>
      <c r="P178" s="1568" t="s">
        <v>669</v>
      </c>
      <c r="Q178" s="1568" t="s">
        <v>670</v>
      </c>
      <c r="R178" s="1568" t="s">
        <v>671</v>
      </c>
      <c r="S178" s="1568" t="s">
        <v>674</v>
      </c>
      <c r="T178" s="1575"/>
      <c r="U178" s="1646"/>
    </row>
    <row r="179" spans="1:21" ht="20.25" customHeight="1" thickBot="1">
      <c r="A179" s="1582"/>
      <c r="B179" s="1576"/>
      <c r="C179" s="1576"/>
      <c r="D179" s="1576"/>
      <c r="E179" s="1576"/>
      <c r="F179" s="1576"/>
      <c r="G179" s="1576"/>
      <c r="H179" s="1576"/>
      <c r="I179" s="1576"/>
      <c r="J179" s="1576"/>
      <c r="K179" s="1579"/>
      <c r="L179" s="1569"/>
      <c r="M179" s="1569"/>
      <c r="N179" s="1569"/>
      <c r="O179" s="1569"/>
      <c r="P179" s="1569"/>
      <c r="Q179" s="1569"/>
      <c r="R179" s="1569"/>
      <c r="S179" s="1569"/>
      <c r="T179" s="1576"/>
      <c r="U179" s="1647"/>
    </row>
    <row r="180" spans="1:21" ht="48.75" customHeight="1">
      <c r="A180" s="631" t="s">
        <v>18</v>
      </c>
      <c r="B180" s="837" t="s">
        <v>1101</v>
      </c>
      <c r="C180" s="1391" t="s">
        <v>188</v>
      </c>
      <c r="D180" s="1391"/>
      <c r="E180" s="1391" t="s">
        <v>1455</v>
      </c>
      <c r="F180" s="837" t="s">
        <v>166</v>
      </c>
      <c r="G180" s="837" t="s">
        <v>165</v>
      </c>
      <c r="H180" s="734">
        <v>38865164</v>
      </c>
      <c r="I180" s="187">
        <v>90676</v>
      </c>
      <c r="J180" s="501" t="s">
        <v>747</v>
      </c>
      <c r="K180" s="274">
        <v>3</v>
      </c>
      <c r="L180" s="976">
        <v>500</v>
      </c>
      <c r="M180" s="276"/>
      <c r="N180" s="276"/>
      <c r="O180" s="275">
        <f>L180</f>
        <v>500</v>
      </c>
      <c r="P180" s="976">
        <v>500</v>
      </c>
      <c r="Q180" s="276"/>
      <c r="R180" s="276"/>
      <c r="S180" s="1392">
        <f>P180</f>
        <v>500</v>
      </c>
      <c r="T180" s="273" t="s">
        <v>1536</v>
      </c>
      <c r="U180" s="187" t="s">
        <v>1537</v>
      </c>
    </row>
    <row r="181" spans="1:21" ht="48.75" customHeight="1">
      <c r="A181" s="627" t="s">
        <v>18</v>
      </c>
      <c r="B181" s="765" t="s">
        <v>1101</v>
      </c>
      <c r="C181" s="668" t="s">
        <v>165</v>
      </c>
      <c r="D181" s="668" t="s">
        <v>215</v>
      </c>
      <c r="E181" s="668" t="s">
        <v>1456</v>
      </c>
      <c r="F181" s="765" t="s">
        <v>166</v>
      </c>
      <c r="G181" s="765" t="s">
        <v>165</v>
      </c>
      <c r="H181" s="719">
        <v>38863111</v>
      </c>
      <c r="I181" s="4">
        <v>28388975</v>
      </c>
      <c r="J181" s="31" t="s">
        <v>1155</v>
      </c>
      <c r="K181" s="8">
        <v>4</v>
      </c>
      <c r="L181" s="35"/>
      <c r="M181" s="34">
        <v>250</v>
      </c>
      <c r="N181" s="34">
        <v>250</v>
      </c>
      <c r="O181" s="34">
        <f>SUM(M181:N181)</f>
        <v>500</v>
      </c>
      <c r="P181" s="35"/>
      <c r="Q181" s="34">
        <v>250</v>
      </c>
      <c r="R181" s="34">
        <v>250</v>
      </c>
      <c r="S181" s="927">
        <f>SUM(Q181:R181)</f>
        <v>500</v>
      </c>
      <c r="T181" s="3" t="s">
        <v>1536</v>
      </c>
      <c r="U181" s="4" t="s">
        <v>1537</v>
      </c>
    </row>
    <row r="182" spans="1:21" ht="48.75" customHeight="1">
      <c r="A182" s="627" t="s">
        <v>18</v>
      </c>
      <c r="B182" s="765" t="s">
        <v>1101</v>
      </c>
      <c r="C182" s="668" t="s">
        <v>165</v>
      </c>
      <c r="D182" s="668" t="s">
        <v>215</v>
      </c>
      <c r="E182" s="668" t="s">
        <v>1457</v>
      </c>
      <c r="F182" s="765" t="s">
        <v>166</v>
      </c>
      <c r="G182" s="765" t="s">
        <v>165</v>
      </c>
      <c r="H182" s="719">
        <v>38863165</v>
      </c>
      <c r="I182" s="4">
        <v>43238</v>
      </c>
      <c r="J182" s="31" t="s">
        <v>1155</v>
      </c>
      <c r="K182" s="8">
        <v>3</v>
      </c>
      <c r="L182" s="35"/>
      <c r="M182" s="34">
        <v>250</v>
      </c>
      <c r="N182" s="34">
        <v>250</v>
      </c>
      <c r="O182" s="34">
        <f>SUM(M182:N182)</f>
        <v>500</v>
      </c>
      <c r="P182" s="35"/>
      <c r="Q182" s="34">
        <v>250</v>
      </c>
      <c r="R182" s="34">
        <v>250</v>
      </c>
      <c r="S182" s="927">
        <f>SUM(Q182:R182)</f>
        <v>500</v>
      </c>
      <c r="T182" s="3" t="s">
        <v>1536</v>
      </c>
      <c r="U182" s="4" t="s">
        <v>1537</v>
      </c>
    </row>
    <row r="183" spans="1:21" ht="48.75" customHeight="1">
      <c r="A183" s="627" t="s">
        <v>18</v>
      </c>
      <c r="B183" s="765" t="s">
        <v>1101</v>
      </c>
      <c r="C183" s="668" t="s">
        <v>165</v>
      </c>
      <c r="D183" s="668" t="s">
        <v>215</v>
      </c>
      <c r="E183" s="668">
        <v>23</v>
      </c>
      <c r="F183" s="765" t="s">
        <v>166</v>
      </c>
      <c r="G183" s="765" t="s">
        <v>165</v>
      </c>
      <c r="H183" s="719">
        <v>38863176</v>
      </c>
      <c r="I183" s="4">
        <v>84155</v>
      </c>
      <c r="J183" s="398" t="s">
        <v>29</v>
      </c>
      <c r="K183" s="8">
        <v>22</v>
      </c>
      <c r="L183" s="815">
        <f>673*12</f>
        <v>8076</v>
      </c>
      <c r="M183" s="35"/>
      <c r="N183" s="35"/>
      <c r="O183" s="34">
        <f>L183</f>
        <v>8076</v>
      </c>
      <c r="P183" s="815">
        <f>673*12</f>
        <v>8076</v>
      </c>
      <c r="Q183" s="35"/>
      <c r="R183" s="35"/>
      <c r="S183" s="927">
        <f>P183</f>
        <v>8076</v>
      </c>
      <c r="T183" s="3" t="s">
        <v>1536</v>
      </c>
      <c r="U183" s="4" t="s">
        <v>1537</v>
      </c>
    </row>
    <row r="184" spans="1:21" ht="48.75" customHeight="1" thickBot="1">
      <c r="A184" s="627" t="s">
        <v>18</v>
      </c>
      <c r="B184" s="765" t="s">
        <v>1101</v>
      </c>
      <c r="C184" s="668" t="s">
        <v>165</v>
      </c>
      <c r="D184" s="668" t="s">
        <v>215</v>
      </c>
      <c r="E184" s="668" t="s">
        <v>1458</v>
      </c>
      <c r="F184" s="765" t="s">
        <v>166</v>
      </c>
      <c r="G184" s="765" t="s">
        <v>165</v>
      </c>
      <c r="H184" s="719">
        <v>38863177</v>
      </c>
      <c r="I184" s="4">
        <v>45896</v>
      </c>
      <c r="J184" s="31" t="s">
        <v>1155</v>
      </c>
      <c r="K184" s="8">
        <v>5</v>
      </c>
      <c r="L184" s="35"/>
      <c r="M184" s="34">
        <v>250</v>
      </c>
      <c r="N184" s="34">
        <v>250</v>
      </c>
      <c r="O184" s="34">
        <f>SUM(M184:N184)</f>
        <v>500</v>
      </c>
      <c r="P184" s="35"/>
      <c r="Q184" s="34">
        <v>250</v>
      </c>
      <c r="R184" s="34">
        <v>250</v>
      </c>
      <c r="S184" s="927">
        <f>SUM(Q184:R184)</f>
        <v>500</v>
      </c>
      <c r="T184" s="3" t="s">
        <v>1536</v>
      </c>
      <c r="U184" s="4" t="s">
        <v>1537</v>
      </c>
    </row>
    <row r="185" spans="1:21" ht="15" customHeight="1">
      <c r="A185" s="935"/>
      <c r="B185" s="124" t="s">
        <v>167</v>
      </c>
      <c r="C185" s="125" t="s">
        <v>1101</v>
      </c>
      <c r="D185" s="12"/>
      <c r="E185" s="56"/>
      <c r="F185" s="55"/>
      <c r="H185" s="10" t="s">
        <v>1719</v>
      </c>
      <c r="I185" s="670" t="s">
        <v>1101</v>
      </c>
      <c r="J185" s="57"/>
      <c r="K185" s="933"/>
      <c r="L185" s="936"/>
      <c r="M185" s="72"/>
      <c r="N185" s="72"/>
      <c r="O185" s="72"/>
      <c r="P185" s="936"/>
      <c r="Q185" s="72"/>
      <c r="R185" s="34" t="s">
        <v>24</v>
      </c>
      <c r="S185" s="686">
        <f>SUM(S180:S184)</f>
        <v>10076</v>
      </c>
      <c r="T185" s="56"/>
      <c r="U185" s="56"/>
    </row>
    <row r="186" spans="1:21" ht="15" customHeight="1">
      <c r="A186" s="935"/>
      <c r="B186" s="54"/>
      <c r="C186" s="45" t="s">
        <v>1102</v>
      </c>
      <c r="D186" s="15"/>
      <c r="E186" s="56"/>
      <c r="F186" s="55"/>
      <c r="H186" s="1128"/>
      <c r="I186" s="181" t="s">
        <v>1102</v>
      </c>
      <c r="J186" s="57"/>
      <c r="K186" s="933"/>
      <c r="L186" s="936"/>
      <c r="M186" s="72"/>
      <c r="N186" s="72"/>
      <c r="O186" s="72"/>
      <c r="P186" s="936"/>
      <c r="Q186" s="72"/>
      <c r="R186" s="72"/>
      <c r="S186" s="934"/>
      <c r="T186" s="56"/>
      <c r="U186" s="56"/>
    </row>
    <row r="187" spans="1:21" ht="15" customHeight="1" thickBot="1">
      <c r="A187" s="935"/>
      <c r="B187" s="54"/>
      <c r="C187" s="45" t="s">
        <v>168</v>
      </c>
      <c r="D187" s="15"/>
      <c r="E187" s="56"/>
      <c r="F187" s="55"/>
      <c r="H187" s="1376"/>
      <c r="I187" s="182" t="s">
        <v>168</v>
      </c>
      <c r="J187" s="57"/>
      <c r="K187" s="933"/>
      <c r="L187" s="936"/>
      <c r="M187" s="72"/>
      <c r="N187" s="72"/>
      <c r="O187" s="72"/>
      <c r="P187" s="936"/>
      <c r="Q187" s="72"/>
      <c r="R187" s="72"/>
      <c r="S187" s="934"/>
      <c r="T187" s="56"/>
      <c r="U187" s="56"/>
    </row>
    <row r="188" spans="1:21" ht="15" customHeight="1" thickBot="1">
      <c r="A188" s="935"/>
      <c r="B188" s="455" t="s">
        <v>851</v>
      </c>
      <c r="C188" s="116">
        <v>8222160292</v>
      </c>
      <c r="D188" s="18"/>
      <c r="E188" s="56"/>
      <c r="F188" s="55"/>
      <c r="G188" s="55"/>
      <c r="H188" s="928"/>
      <c r="I188" s="56"/>
      <c r="J188" s="57"/>
      <c r="K188" s="933"/>
      <c r="L188" s="936"/>
      <c r="M188" s="72"/>
      <c r="N188" s="72"/>
      <c r="O188" s="72"/>
      <c r="P188" s="936"/>
      <c r="Q188" s="72"/>
      <c r="R188" s="72"/>
      <c r="S188" s="934"/>
      <c r="T188" s="56"/>
      <c r="U188" s="56"/>
    </row>
    <row r="189" spans="1:21" ht="20.25" customHeight="1">
      <c r="A189" s="935"/>
      <c r="B189" s="932"/>
      <c r="C189" s="445"/>
      <c r="D189" s="445"/>
      <c r="E189" s="56"/>
      <c r="F189" s="55"/>
      <c r="G189" s="55"/>
      <c r="H189" s="928"/>
      <c r="I189" s="56"/>
      <c r="J189" s="57"/>
      <c r="K189" s="933"/>
      <c r="L189" s="936"/>
      <c r="M189" s="72"/>
      <c r="N189" s="72"/>
      <c r="O189" s="72"/>
      <c r="P189" s="936"/>
      <c r="Q189" s="72"/>
      <c r="R189" s="72"/>
      <c r="S189" s="934"/>
      <c r="T189" s="56"/>
      <c r="U189" s="56"/>
    </row>
    <row r="190" spans="1:21" ht="20.25" customHeight="1">
      <c r="A190" s="935"/>
      <c r="B190" s="724"/>
      <c r="C190" s="445"/>
      <c r="D190" s="445"/>
      <c r="E190" s="56"/>
      <c r="F190" s="55"/>
      <c r="G190" s="55"/>
      <c r="H190" s="928"/>
      <c r="I190" s="56"/>
      <c r="J190" s="57"/>
      <c r="K190" s="933"/>
      <c r="L190" s="936"/>
      <c r="M190" s="72"/>
      <c r="N190" s="72"/>
      <c r="O190" s="72"/>
      <c r="P190" s="936"/>
      <c r="Q190" s="72"/>
      <c r="R190" s="72"/>
      <c r="S190" s="934"/>
      <c r="T190" s="56"/>
      <c r="U190" s="56"/>
    </row>
    <row r="191" spans="1:19" ht="20.25" customHeight="1">
      <c r="A191" s="922"/>
      <c r="B191" s="470"/>
      <c r="C191" s="14"/>
      <c r="D191" s="14"/>
      <c r="E191" s="56"/>
      <c r="F191" s="56"/>
      <c r="J191" s="1"/>
      <c r="K191" s="922"/>
      <c r="L191" s="426"/>
      <c r="M191" s="127"/>
      <c r="P191" s="33"/>
      <c r="Q191" s="33"/>
      <c r="R191" s="33"/>
      <c r="S191" s="33"/>
    </row>
    <row r="192" spans="1:19" ht="20.25" customHeight="1">
      <c r="A192" s="922"/>
      <c r="B192" s="470"/>
      <c r="C192" s="14"/>
      <c r="D192" s="14"/>
      <c r="E192" s="56"/>
      <c r="F192" s="56"/>
      <c r="J192" s="1"/>
      <c r="K192" s="922"/>
      <c r="L192" s="426"/>
      <c r="M192" s="127" t="s">
        <v>63</v>
      </c>
      <c r="N192" s="33">
        <f>O20+O30+O40+O53+O66+O76+O86+O97+O112+O133+O150+S161+S171+S185</f>
        <v>1713980.0400000005</v>
      </c>
      <c r="P192" s="33"/>
      <c r="Q192" s="33"/>
      <c r="R192" s="33"/>
      <c r="S192" s="33"/>
    </row>
    <row r="193" spans="1:19" ht="15" thickBot="1">
      <c r="A193" s="295"/>
      <c r="B193" s="614"/>
      <c r="C193" s="56"/>
      <c r="D193" s="56"/>
      <c r="E193" s="56"/>
      <c r="F193" s="56"/>
      <c r="J193" s="1"/>
      <c r="K193" s="295"/>
      <c r="L193" s="426"/>
      <c r="P193" s="33"/>
      <c r="Q193" s="33"/>
      <c r="R193" s="33"/>
      <c r="S193" s="33"/>
    </row>
    <row r="194" spans="5:15" ht="46.5" customHeight="1">
      <c r="E194" s="56"/>
      <c r="F194" s="56"/>
      <c r="K194" s="1621" t="s">
        <v>60</v>
      </c>
      <c r="L194" s="1623" t="s">
        <v>675</v>
      </c>
      <c r="M194" s="1624"/>
      <c r="N194" s="1625"/>
      <c r="O194" s="1626" t="s">
        <v>61</v>
      </c>
    </row>
    <row r="195" spans="1:15" ht="23.25" customHeight="1" thickBot="1">
      <c r="A195" s="295"/>
      <c r="B195" s="56"/>
      <c r="C195" s="56"/>
      <c r="D195" s="56"/>
      <c r="E195" s="56"/>
      <c r="F195" s="56"/>
      <c r="K195" s="1622"/>
      <c r="L195" s="282" t="s">
        <v>62</v>
      </c>
      <c r="M195" s="282" t="s">
        <v>670</v>
      </c>
      <c r="N195" s="282" t="s">
        <v>671</v>
      </c>
      <c r="O195" s="1627"/>
    </row>
    <row r="196" spans="1:15" ht="23.25" customHeight="1">
      <c r="A196" s="971"/>
      <c r="B196" s="56"/>
      <c r="C196" s="56"/>
      <c r="D196" s="56"/>
      <c r="E196" s="56"/>
      <c r="F196" s="56"/>
      <c r="J196" s="971"/>
      <c r="K196" s="999" t="s">
        <v>747</v>
      </c>
      <c r="L196" s="1003">
        <f>P180</f>
        <v>500</v>
      </c>
      <c r="M196" s="1004"/>
      <c r="N196" s="1005"/>
      <c r="O196" s="993">
        <v>1</v>
      </c>
    </row>
    <row r="197" spans="1:15" ht="23.25" customHeight="1">
      <c r="A197" s="971"/>
      <c r="B197" s="56"/>
      <c r="C197" s="56"/>
      <c r="D197" s="56"/>
      <c r="E197" s="56"/>
      <c r="F197" s="56"/>
      <c r="J197" s="971"/>
      <c r="K197" s="998" t="s">
        <v>1155</v>
      </c>
      <c r="L197" s="1006"/>
      <c r="M197" s="1007">
        <f>Q181+Q182+Q184</f>
        <v>750</v>
      </c>
      <c r="N197" s="1008">
        <f>R181+R182+R184</f>
        <v>750</v>
      </c>
      <c r="O197" s="994">
        <v>3</v>
      </c>
    </row>
    <row r="198" spans="11:15" ht="22.5" customHeight="1">
      <c r="K198" s="988" t="s">
        <v>29</v>
      </c>
      <c r="L198" s="1002">
        <f>O19+O29+O39+O65+O75+O85+O96+O106+O107+O108+O109+O111+O122+O123+O124+O125+O126+O128+O132+O143+O144+O145+O146+O147+O148+O149+S160+S183</f>
        <v>257379.6</v>
      </c>
      <c r="M198" s="1009"/>
      <c r="N198" s="1010"/>
      <c r="O198" s="987">
        <v>28</v>
      </c>
    </row>
    <row r="199" spans="11:15" ht="22.5" customHeight="1">
      <c r="K199" s="1000" t="s">
        <v>67</v>
      </c>
      <c r="L199" s="1011"/>
      <c r="M199" s="213">
        <f>M18+M50+M51+M52+M62+M64+M95+M110+Q159</f>
        <v>60503</v>
      </c>
      <c r="N199" s="1012">
        <f>N18+N50+N51+N52+N62+N64+N95+N110+R159</f>
        <v>137278</v>
      </c>
      <c r="O199" s="995">
        <v>9</v>
      </c>
    </row>
    <row r="200" spans="10:15" ht="22.5" customHeight="1" thickBot="1">
      <c r="J200" s="1"/>
      <c r="K200" s="1001" t="s">
        <v>22</v>
      </c>
      <c r="L200" s="1013">
        <f>O63+O121+O127+O129+O130+O131+S170</f>
        <v>1256819.4400000004</v>
      </c>
      <c r="M200" s="1014"/>
      <c r="N200" s="1015"/>
      <c r="O200" s="996">
        <v>7</v>
      </c>
    </row>
    <row r="201" spans="11:15" ht="22.5" customHeight="1" thickBot="1">
      <c r="K201" s="419" t="s">
        <v>63</v>
      </c>
      <c r="L201" s="1016">
        <f>SUM(L196:L200)</f>
        <v>1514699.0400000005</v>
      </c>
      <c r="M201" s="300">
        <f>SUM(M196:M200)</f>
        <v>61253</v>
      </c>
      <c r="N201" s="1017">
        <f>SUM(N196:N200)</f>
        <v>138028</v>
      </c>
      <c r="O201" s="688">
        <f>SUM(O196:O200)</f>
        <v>48</v>
      </c>
    </row>
    <row r="202" spans="11:13" ht="22.5" customHeight="1" thickBot="1">
      <c r="K202" s="1"/>
      <c r="L202" s="127" t="s">
        <v>64</v>
      </c>
      <c r="M202" s="681">
        <f>SUM(L201:N201)</f>
        <v>1713980.0400000005</v>
      </c>
    </row>
  </sheetData>
  <sheetProtection/>
  <mergeCells count="221">
    <mergeCell ref="A118:A120"/>
    <mergeCell ref="B92:B94"/>
    <mergeCell ref="C92:C94"/>
    <mergeCell ref="D92:D94"/>
    <mergeCell ref="A92:A94"/>
    <mergeCell ref="C103:C105"/>
    <mergeCell ref="D103:D105"/>
    <mergeCell ref="B118:B120"/>
    <mergeCell ref="C118:C120"/>
    <mergeCell ref="D118:D120"/>
    <mergeCell ref="D15:D17"/>
    <mergeCell ref="E15:E17"/>
    <mergeCell ref="F15:F17"/>
    <mergeCell ref="G15:G17"/>
    <mergeCell ref="K92:K94"/>
    <mergeCell ref="L93:O93"/>
    <mergeCell ref="H82:H84"/>
    <mergeCell ref="I82:I84"/>
    <mergeCell ref="L83:O83"/>
    <mergeCell ref="L82:O82"/>
    <mergeCell ref="L194:N194"/>
    <mergeCell ref="G92:G94"/>
    <mergeCell ref="H92:H94"/>
    <mergeCell ref="I92:I94"/>
    <mergeCell ref="J92:J94"/>
    <mergeCell ref="L103:O103"/>
    <mergeCell ref="O194:O195"/>
    <mergeCell ref="L92:O92"/>
    <mergeCell ref="K194:K195"/>
    <mergeCell ref="H103:H105"/>
    <mergeCell ref="E118:E120"/>
    <mergeCell ref="F118:F120"/>
    <mergeCell ref="K59:K61"/>
    <mergeCell ref="L59:O59"/>
    <mergeCell ref="L60:O60"/>
    <mergeCell ref="H59:H61"/>
    <mergeCell ref="L104:O104"/>
    <mergeCell ref="G103:G105"/>
    <mergeCell ref="J82:J84"/>
    <mergeCell ref="K82:K84"/>
    <mergeCell ref="A72:A74"/>
    <mergeCell ref="B72:B74"/>
    <mergeCell ref="C72:C74"/>
    <mergeCell ref="D72:D74"/>
    <mergeCell ref="E72:E74"/>
    <mergeCell ref="F72:F74"/>
    <mergeCell ref="K47:K49"/>
    <mergeCell ref="A59:A61"/>
    <mergeCell ref="B59:B61"/>
    <mergeCell ref="C59:C61"/>
    <mergeCell ref="D59:D61"/>
    <mergeCell ref="E59:E61"/>
    <mergeCell ref="F59:F61"/>
    <mergeCell ref="I59:I61"/>
    <mergeCell ref="J59:J61"/>
    <mergeCell ref="A47:A49"/>
    <mergeCell ref="J15:J17"/>
    <mergeCell ref="K15:K17"/>
    <mergeCell ref="L15:O15"/>
    <mergeCell ref="L16:O16"/>
    <mergeCell ref="H47:H49"/>
    <mergeCell ref="I47:I49"/>
    <mergeCell ref="J47:J49"/>
    <mergeCell ref="L37:O37"/>
    <mergeCell ref="J36:J38"/>
    <mergeCell ref="I15:I17"/>
    <mergeCell ref="B47:B49"/>
    <mergeCell ref="C47:C49"/>
    <mergeCell ref="D47:D49"/>
    <mergeCell ref="E47:E49"/>
    <mergeCell ref="F47:F49"/>
    <mergeCell ref="B3:I3"/>
    <mergeCell ref="B5:I5"/>
    <mergeCell ref="E26:E28"/>
    <mergeCell ref="H15:H17"/>
    <mergeCell ref="C15:C17"/>
    <mergeCell ref="A36:A38"/>
    <mergeCell ref="B36:B38"/>
    <mergeCell ref="C36:C38"/>
    <mergeCell ref="D36:D38"/>
    <mergeCell ref="E36:E38"/>
    <mergeCell ref="F36:F38"/>
    <mergeCell ref="A15:A17"/>
    <mergeCell ref="B15:B17"/>
    <mergeCell ref="A26:A28"/>
    <mergeCell ref="B26:B28"/>
    <mergeCell ref="I26:I28"/>
    <mergeCell ref="G26:G28"/>
    <mergeCell ref="F26:F28"/>
    <mergeCell ref="H26:H28"/>
    <mergeCell ref="C26:C28"/>
    <mergeCell ref="D26:D28"/>
    <mergeCell ref="L27:O27"/>
    <mergeCell ref="J26:J28"/>
    <mergeCell ref="K26:K28"/>
    <mergeCell ref="L36:O36"/>
    <mergeCell ref="G36:G38"/>
    <mergeCell ref="L26:O26"/>
    <mergeCell ref="K36:K38"/>
    <mergeCell ref="L47:O47"/>
    <mergeCell ref="L48:O48"/>
    <mergeCell ref="G72:G74"/>
    <mergeCell ref="H72:H74"/>
    <mergeCell ref="I72:I74"/>
    <mergeCell ref="L73:O73"/>
    <mergeCell ref="J72:J74"/>
    <mergeCell ref="K72:K74"/>
    <mergeCell ref="L72:O72"/>
    <mergeCell ref="G47:G49"/>
    <mergeCell ref="A82:A84"/>
    <mergeCell ref="B82:B84"/>
    <mergeCell ref="C82:C84"/>
    <mergeCell ref="A103:A105"/>
    <mergeCell ref="B103:B105"/>
    <mergeCell ref="G118:G120"/>
    <mergeCell ref="D82:D84"/>
    <mergeCell ref="E82:E84"/>
    <mergeCell ref="F82:F84"/>
    <mergeCell ref="G82:G84"/>
    <mergeCell ref="I103:I105"/>
    <mergeCell ref="I118:I120"/>
    <mergeCell ref="L118:O118"/>
    <mergeCell ref="H118:H120"/>
    <mergeCell ref="J118:J120"/>
    <mergeCell ref="K118:K120"/>
    <mergeCell ref="L119:O119"/>
    <mergeCell ref="B1:I1"/>
    <mergeCell ref="G59:G61"/>
    <mergeCell ref="H36:H38"/>
    <mergeCell ref="I36:I38"/>
    <mergeCell ref="J103:J105"/>
    <mergeCell ref="K103:K105"/>
    <mergeCell ref="E103:E105"/>
    <mergeCell ref="F103:F105"/>
    <mergeCell ref="E92:E94"/>
    <mergeCell ref="F92:F94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J140:J142"/>
    <mergeCell ref="K140:K142"/>
    <mergeCell ref="L140:O140"/>
    <mergeCell ref="L177:O177"/>
    <mergeCell ref="L141:L142"/>
    <mergeCell ref="M141:M142"/>
    <mergeCell ref="N141:N142"/>
    <mergeCell ref="O141:O142"/>
    <mergeCell ref="F177:F179"/>
    <mergeCell ref="G177:G179"/>
    <mergeCell ref="H177:H179"/>
    <mergeCell ref="I177:I179"/>
    <mergeCell ref="J177:J179"/>
    <mergeCell ref="K177:K179"/>
    <mergeCell ref="R157:R158"/>
    <mergeCell ref="L156:O156"/>
    <mergeCell ref="P156:S156"/>
    <mergeCell ref="A156:A158"/>
    <mergeCell ref="B156:B158"/>
    <mergeCell ref="C156:C158"/>
    <mergeCell ref="D156:D158"/>
    <mergeCell ref="E156:E158"/>
    <mergeCell ref="F156:F158"/>
    <mergeCell ref="J156:J158"/>
    <mergeCell ref="T156:T158"/>
    <mergeCell ref="K156:K158"/>
    <mergeCell ref="U156:U158"/>
    <mergeCell ref="L157:L158"/>
    <mergeCell ref="M157:M158"/>
    <mergeCell ref="N157:N158"/>
    <mergeCell ref="O157:O158"/>
    <mergeCell ref="P157:P158"/>
    <mergeCell ref="Q157:Q158"/>
    <mergeCell ref="E167:E169"/>
    <mergeCell ref="F167:F169"/>
    <mergeCell ref="G167:G169"/>
    <mergeCell ref="H167:H169"/>
    <mergeCell ref="I167:I169"/>
    <mergeCell ref="G156:G158"/>
    <mergeCell ref="H156:H158"/>
    <mergeCell ref="I156:I158"/>
    <mergeCell ref="T167:T169"/>
    <mergeCell ref="P168:P169"/>
    <mergeCell ref="Q168:Q169"/>
    <mergeCell ref="R168:R169"/>
    <mergeCell ref="S168:S169"/>
    <mergeCell ref="U167:U169"/>
    <mergeCell ref="A177:A179"/>
    <mergeCell ref="B177:B179"/>
    <mergeCell ref="C177:C179"/>
    <mergeCell ref="D177:D179"/>
    <mergeCell ref="E177:E179"/>
    <mergeCell ref="J167:J169"/>
    <mergeCell ref="A167:A169"/>
    <mergeCell ref="B167:B169"/>
    <mergeCell ref="C167:C169"/>
    <mergeCell ref="D167:D169"/>
    <mergeCell ref="Q178:Q179"/>
    <mergeCell ref="I140:I142"/>
    <mergeCell ref="K167:K169"/>
    <mergeCell ref="L167:O167"/>
    <mergeCell ref="P167:S167"/>
    <mergeCell ref="S157:S158"/>
    <mergeCell ref="L168:L169"/>
    <mergeCell ref="M168:M169"/>
    <mergeCell ref="N168:N169"/>
    <mergeCell ref="O168:O169"/>
    <mergeCell ref="R178:R179"/>
    <mergeCell ref="S178:S179"/>
    <mergeCell ref="P177:S177"/>
    <mergeCell ref="T177:T179"/>
    <mergeCell ref="U177:U179"/>
    <mergeCell ref="L178:L179"/>
    <mergeCell ref="M178:M179"/>
    <mergeCell ref="N178:N179"/>
    <mergeCell ref="O178:O179"/>
    <mergeCell ref="P178:P179"/>
  </mergeCells>
  <printOptions/>
  <pageMargins left="0.7" right="0.7" top="0.75" bottom="0.75" header="0.3" footer="0.3"/>
  <pageSetup horizontalDpi="600" verticalDpi="600" orientation="portrait" paperSize="9" r:id="rId1"/>
  <ignoredErrors>
    <ignoredError sqref="O63:O64 O110 O183 S1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238"/>
  <sheetViews>
    <sheetView zoomScale="70" zoomScaleNormal="70" zoomScalePageLayoutView="0" workbookViewId="0" topLeftCell="A162">
      <selection activeCell="G168" sqref="G168:H170"/>
    </sheetView>
  </sheetViews>
  <sheetFormatPr defaultColWidth="8.796875" defaultRowHeight="14.25"/>
  <cols>
    <col min="1" max="1" width="11.3984375" style="5" customWidth="1"/>
    <col min="2" max="2" width="16.09765625" style="1" customWidth="1"/>
    <col min="3" max="3" width="14.69921875" style="1" customWidth="1"/>
    <col min="4" max="4" width="14" style="1" customWidth="1"/>
    <col min="5" max="5" width="11.8984375" style="1" customWidth="1"/>
    <col min="6" max="6" width="12" style="1" customWidth="1"/>
    <col min="7" max="7" width="15.69921875" style="1" customWidth="1"/>
    <col min="8" max="8" width="27.8984375" style="1" customWidth="1"/>
    <col min="9" max="9" width="25.69921875" style="1" customWidth="1"/>
    <col min="10" max="10" width="15.8984375" style="1" customWidth="1"/>
    <col min="11" max="11" width="12.09765625" style="1" customWidth="1"/>
    <col min="12" max="12" width="12.69921875" style="1" customWidth="1"/>
    <col min="13" max="13" width="15.8984375" style="1" customWidth="1"/>
    <col min="14" max="14" width="16" style="1" customWidth="1"/>
    <col min="15" max="15" width="18" style="1" customWidth="1"/>
    <col min="16" max="16" width="17.5" style="1" customWidth="1"/>
    <col min="17" max="17" width="13.09765625" style="1" customWidth="1"/>
    <col min="18" max="18" width="14" style="1" customWidth="1"/>
    <col min="19" max="19" width="15.5" style="1" customWidth="1"/>
    <col min="20" max="20" width="23.59765625" style="1" customWidth="1"/>
    <col min="21" max="21" width="23.69921875" style="1" customWidth="1"/>
    <col min="22" max="22" width="25.09765625" style="1" customWidth="1"/>
    <col min="23" max="16384" width="9" style="1" customWidth="1"/>
  </cols>
  <sheetData>
    <row r="1" spans="1:9" ht="18">
      <c r="A1" s="295"/>
      <c r="B1" s="1609" t="s">
        <v>1231</v>
      </c>
      <c r="C1" s="1609"/>
      <c r="D1" s="1609"/>
      <c r="E1" s="1609"/>
      <c r="F1" s="1609"/>
      <c r="G1" s="1609"/>
      <c r="H1" s="1609"/>
      <c r="I1" s="1609"/>
    </row>
    <row r="2" ht="14.25">
      <c r="A2" s="295"/>
    </row>
    <row r="3" spans="1:10" ht="27.75" customHeight="1">
      <c r="A3" s="295"/>
      <c r="B3" s="1602" t="s">
        <v>676</v>
      </c>
      <c r="C3" s="1603"/>
      <c r="D3" s="1603"/>
      <c r="E3" s="1603"/>
      <c r="F3" s="1603"/>
      <c r="G3" s="1603"/>
      <c r="H3" s="1603"/>
      <c r="I3" s="1603"/>
      <c r="J3" s="1604"/>
    </row>
    <row r="4" spans="1:10" ht="15">
      <c r="A4" s="295"/>
      <c r="B4" s="487"/>
      <c r="C4" s="487"/>
      <c r="D4" s="487"/>
      <c r="E4" s="487"/>
      <c r="F4" s="487"/>
      <c r="G4" s="487"/>
      <c r="H4" s="487"/>
      <c r="I4" s="487"/>
      <c r="J4" s="487"/>
    </row>
    <row r="5" spans="1:14" ht="15">
      <c r="A5" s="1"/>
      <c r="B5" s="1605" t="s">
        <v>1103</v>
      </c>
      <c r="C5" s="1605"/>
      <c r="D5" s="1605"/>
      <c r="E5" s="1605"/>
      <c r="F5" s="1605"/>
      <c r="G5" s="1605"/>
      <c r="H5" s="1605"/>
      <c r="I5" s="1605"/>
      <c r="J5" s="1605"/>
      <c r="L5" s="7"/>
      <c r="N5" s="33"/>
    </row>
    <row r="6" spans="1:14" ht="15">
      <c r="A6" s="1"/>
      <c r="B6" s="487"/>
      <c r="C6" s="487"/>
      <c r="D6" s="487"/>
      <c r="E6" s="487"/>
      <c r="F6" s="487"/>
      <c r="G6" s="487"/>
      <c r="H6" s="487"/>
      <c r="I6" s="490"/>
      <c r="J6" s="489"/>
      <c r="L6" s="7"/>
      <c r="N6" s="33"/>
    </row>
    <row r="7" spans="1:14" ht="15.75">
      <c r="A7" s="1"/>
      <c r="B7" s="1389" t="s">
        <v>1833</v>
      </c>
      <c r="C7" s="489"/>
      <c r="D7" s="487"/>
      <c r="E7" s="487"/>
      <c r="F7" s="487"/>
      <c r="G7" s="489"/>
      <c r="H7" s="487"/>
      <c r="I7" s="490"/>
      <c r="J7" s="489"/>
      <c r="L7" s="7"/>
      <c r="N7" s="33"/>
    </row>
    <row r="8" spans="1:14" ht="15">
      <c r="A8" s="1"/>
      <c r="B8" s="489" t="s">
        <v>2</v>
      </c>
      <c r="C8" s="489"/>
      <c r="D8" s="487"/>
      <c r="E8" s="487"/>
      <c r="F8" s="487"/>
      <c r="G8" s="489"/>
      <c r="H8" s="487"/>
      <c r="I8" s="490"/>
      <c r="J8" s="489"/>
      <c r="L8" s="7"/>
      <c r="N8" s="33"/>
    </row>
    <row r="9" spans="1:14" ht="15.75">
      <c r="A9" s="1"/>
      <c r="B9" s="491" t="s">
        <v>1535</v>
      </c>
      <c r="C9" s="489"/>
      <c r="D9" s="492"/>
      <c r="E9" s="487"/>
      <c r="F9" s="487"/>
      <c r="G9" s="489"/>
      <c r="H9" s="487"/>
      <c r="I9" s="490"/>
      <c r="J9" s="489"/>
      <c r="L9" s="7"/>
      <c r="N9" s="33"/>
    </row>
    <row r="10" spans="1:14" ht="15.75">
      <c r="A10" s="1"/>
      <c r="B10" s="491" t="s">
        <v>1096</v>
      </c>
      <c r="C10" s="489"/>
      <c r="D10" s="492"/>
      <c r="E10" s="487"/>
      <c r="F10" s="487"/>
      <c r="G10" s="489"/>
      <c r="H10" s="487"/>
      <c r="I10" s="490"/>
      <c r="J10" s="489"/>
      <c r="L10" s="7"/>
      <c r="N10" s="33"/>
    </row>
    <row r="11" spans="1:14" ht="15">
      <c r="A11" s="1"/>
      <c r="B11" s="489" t="s">
        <v>727</v>
      </c>
      <c r="C11" s="489"/>
      <c r="D11" s="489"/>
      <c r="E11" s="489"/>
      <c r="F11" s="489"/>
      <c r="G11" s="489"/>
      <c r="H11" s="487"/>
      <c r="I11" s="490"/>
      <c r="J11" s="489"/>
      <c r="L11" s="7"/>
      <c r="N11" s="33"/>
    </row>
    <row r="12" spans="1:14" ht="15.75">
      <c r="A12" s="1"/>
      <c r="B12" s="493" t="s">
        <v>3</v>
      </c>
      <c r="C12" s="494" t="s">
        <v>4</v>
      </c>
      <c r="D12" s="492"/>
      <c r="E12" s="492"/>
      <c r="F12" s="492"/>
      <c r="G12" s="492"/>
      <c r="H12" s="495"/>
      <c r="I12" s="489"/>
      <c r="J12" s="489"/>
      <c r="L12" s="7"/>
      <c r="N12" s="33"/>
    </row>
    <row r="13" spans="1:14" ht="15.75">
      <c r="A13" s="1"/>
      <c r="B13" s="493" t="s">
        <v>5</v>
      </c>
      <c r="C13" s="488" t="s">
        <v>6</v>
      </c>
      <c r="D13" s="492"/>
      <c r="E13" s="492"/>
      <c r="F13" s="492"/>
      <c r="G13" s="492"/>
      <c r="H13" s="495"/>
      <c r="I13" s="489"/>
      <c r="J13" s="489"/>
      <c r="L13" s="7"/>
      <c r="N13" s="33"/>
    </row>
    <row r="14" ht="15" thickBot="1"/>
    <row r="15" spans="1:15" ht="55.5" customHeight="1">
      <c r="A15" s="1588" t="s">
        <v>7</v>
      </c>
      <c r="B15" s="1591" t="s">
        <v>664</v>
      </c>
      <c r="C15" s="1594" t="s">
        <v>9</v>
      </c>
      <c r="D15" s="1594" t="s">
        <v>10</v>
      </c>
      <c r="E15" s="1574" t="s">
        <v>844</v>
      </c>
      <c r="F15" s="1574" t="s">
        <v>12</v>
      </c>
      <c r="G15" s="1594" t="s">
        <v>13</v>
      </c>
      <c r="H15" s="1574" t="s">
        <v>14</v>
      </c>
      <c r="I15" s="1574" t="s">
        <v>282</v>
      </c>
      <c r="J15" s="1574" t="s">
        <v>60</v>
      </c>
      <c r="K15" s="1583" t="s">
        <v>666</v>
      </c>
      <c r="L15" s="1640" t="s">
        <v>667</v>
      </c>
      <c r="M15" s="1634"/>
      <c r="N15" s="1634"/>
      <c r="O15" s="1641"/>
    </row>
    <row r="16" spans="1:15" ht="37.5" customHeight="1">
      <c r="A16" s="1589"/>
      <c r="B16" s="1592"/>
      <c r="C16" s="1595"/>
      <c r="D16" s="1595"/>
      <c r="E16" s="1575"/>
      <c r="F16" s="1575"/>
      <c r="G16" s="1595"/>
      <c r="H16" s="1575"/>
      <c r="I16" s="1575"/>
      <c r="J16" s="1575"/>
      <c r="K16" s="1584"/>
      <c r="L16" s="1597" t="s">
        <v>668</v>
      </c>
      <c r="M16" s="1568"/>
      <c r="N16" s="1568"/>
      <c r="O16" s="1598"/>
    </row>
    <row r="17" spans="1:15" ht="25.5" customHeight="1" thickBot="1">
      <c r="A17" s="1590"/>
      <c r="B17" s="1593"/>
      <c r="C17" s="1596"/>
      <c r="D17" s="1596"/>
      <c r="E17" s="1576"/>
      <c r="F17" s="1576"/>
      <c r="G17" s="1596"/>
      <c r="H17" s="1576"/>
      <c r="I17" s="1576"/>
      <c r="J17" s="1576"/>
      <c r="K17" s="1585"/>
      <c r="L17" s="485" t="s">
        <v>669</v>
      </c>
      <c r="M17" s="486" t="s">
        <v>670</v>
      </c>
      <c r="N17" s="486" t="s">
        <v>671</v>
      </c>
      <c r="O17" s="484" t="s">
        <v>17</v>
      </c>
    </row>
    <row r="18" spans="1:15" s="27" customFormat="1" ht="18">
      <c r="A18" s="611" t="s">
        <v>27</v>
      </c>
      <c r="B18" s="512" t="s">
        <v>197</v>
      </c>
      <c r="C18" s="513" t="s">
        <v>198</v>
      </c>
      <c r="D18" s="513"/>
      <c r="E18" s="514" t="s">
        <v>199</v>
      </c>
      <c r="F18" s="513" t="s">
        <v>200</v>
      </c>
      <c r="G18" s="513" t="s">
        <v>201</v>
      </c>
      <c r="H18" s="945" t="s">
        <v>202</v>
      </c>
      <c r="I18" s="515" t="s">
        <v>1004</v>
      </c>
      <c r="J18" s="516" t="s">
        <v>67</v>
      </c>
      <c r="K18" s="517">
        <v>3</v>
      </c>
      <c r="L18" s="518"/>
      <c r="M18" s="519">
        <f>46-44</f>
        <v>2</v>
      </c>
      <c r="N18" s="520">
        <f>249-225</f>
        <v>24</v>
      </c>
      <c r="O18" s="519">
        <f>M18+N18</f>
        <v>26</v>
      </c>
    </row>
    <row r="19" spans="1:15" s="27" customFormat="1" ht="18">
      <c r="A19" s="610" t="s">
        <v>27</v>
      </c>
      <c r="B19" s="128" t="s">
        <v>197</v>
      </c>
      <c r="C19" s="129" t="s">
        <v>203</v>
      </c>
      <c r="D19" s="129"/>
      <c r="E19" s="130" t="s">
        <v>894</v>
      </c>
      <c r="F19" s="129" t="s">
        <v>200</v>
      </c>
      <c r="G19" s="129" t="s">
        <v>201</v>
      </c>
      <c r="H19" s="805" t="s">
        <v>204</v>
      </c>
      <c r="I19" s="467" t="s">
        <v>1005</v>
      </c>
      <c r="J19" s="132" t="s">
        <v>67</v>
      </c>
      <c r="K19" s="133">
        <v>6.6</v>
      </c>
      <c r="L19" s="134"/>
      <c r="M19" s="135">
        <f>2851-2431</f>
        <v>420</v>
      </c>
      <c r="N19" s="136">
        <f>6909-5849</f>
        <v>1060</v>
      </c>
      <c r="O19" s="519">
        <f>M19+N19</f>
        <v>1480</v>
      </c>
    </row>
    <row r="20" spans="1:15" s="27" customFormat="1" ht="18">
      <c r="A20" s="610" t="s">
        <v>27</v>
      </c>
      <c r="B20" s="128" t="s">
        <v>197</v>
      </c>
      <c r="C20" s="129" t="s">
        <v>205</v>
      </c>
      <c r="D20" s="129"/>
      <c r="E20" s="130" t="s">
        <v>206</v>
      </c>
      <c r="F20" s="129" t="s">
        <v>200</v>
      </c>
      <c r="G20" s="129" t="s">
        <v>201</v>
      </c>
      <c r="H20" s="946" t="s">
        <v>207</v>
      </c>
      <c r="I20" s="467" t="s">
        <v>1003</v>
      </c>
      <c r="J20" s="132" t="s">
        <v>67</v>
      </c>
      <c r="K20" s="133">
        <v>6.6</v>
      </c>
      <c r="L20" s="134"/>
      <c r="M20" s="135">
        <f>1371-844</f>
        <v>527</v>
      </c>
      <c r="N20" s="136">
        <f>3377-2041</f>
        <v>1336</v>
      </c>
      <c r="O20" s="519">
        <f>M20+N20</f>
        <v>1863</v>
      </c>
    </row>
    <row r="21" spans="1:15" s="27" customFormat="1" ht="18">
      <c r="A21" s="610" t="s">
        <v>27</v>
      </c>
      <c r="B21" s="128" t="s">
        <v>197</v>
      </c>
      <c r="C21" s="129" t="s">
        <v>208</v>
      </c>
      <c r="D21" s="129"/>
      <c r="E21" s="130" t="s">
        <v>209</v>
      </c>
      <c r="F21" s="129" t="s">
        <v>200</v>
      </c>
      <c r="G21" s="129" t="s">
        <v>201</v>
      </c>
      <c r="H21" s="805" t="s">
        <v>210</v>
      </c>
      <c r="I21" s="467" t="s">
        <v>1006</v>
      </c>
      <c r="J21" s="421" t="s">
        <v>29</v>
      </c>
      <c r="K21" s="133">
        <v>6.6</v>
      </c>
      <c r="L21" s="136">
        <f>11747-8939</f>
        <v>2808</v>
      </c>
      <c r="M21" s="137"/>
      <c r="N21" s="134"/>
      <c r="O21" s="135">
        <f>L21</f>
        <v>2808</v>
      </c>
    </row>
    <row r="22" spans="1:15" s="27" customFormat="1" ht="18">
      <c r="A22" s="610" t="s">
        <v>27</v>
      </c>
      <c r="B22" s="128" t="s">
        <v>197</v>
      </c>
      <c r="C22" s="129" t="s">
        <v>211</v>
      </c>
      <c r="D22" s="129"/>
      <c r="E22" s="130">
        <v>5</v>
      </c>
      <c r="F22" s="129" t="s">
        <v>212</v>
      </c>
      <c r="G22" s="129" t="s">
        <v>213</v>
      </c>
      <c r="H22" s="805" t="s">
        <v>214</v>
      </c>
      <c r="I22" s="467" t="s">
        <v>1002</v>
      </c>
      <c r="J22" s="132" t="s">
        <v>67</v>
      </c>
      <c r="K22" s="133">
        <v>2</v>
      </c>
      <c r="L22" s="134"/>
      <c r="M22" s="135">
        <f>3523-3454</f>
        <v>69</v>
      </c>
      <c r="N22" s="136">
        <f>11445-9344</f>
        <v>2101</v>
      </c>
      <c r="O22" s="135">
        <f aca="true" t="shared" si="0" ref="O22:O27">M22+N22</f>
        <v>2170</v>
      </c>
    </row>
    <row r="23" spans="1:15" s="27" customFormat="1" ht="18">
      <c r="A23" s="610" t="s">
        <v>27</v>
      </c>
      <c r="B23" s="128" t="s">
        <v>197</v>
      </c>
      <c r="C23" s="129" t="s">
        <v>215</v>
      </c>
      <c r="D23" s="129"/>
      <c r="E23" s="130" t="s">
        <v>1010</v>
      </c>
      <c r="F23" s="129" t="s">
        <v>200</v>
      </c>
      <c r="G23" s="129" t="s">
        <v>201</v>
      </c>
      <c r="H23" s="805" t="s">
        <v>216</v>
      </c>
      <c r="I23" s="467" t="s">
        <v>1011</v>
      </c>
      <c r="J23" s="132" t="s">
        <v>67</v>
      </c>
      <c r="K23" s="133">
        <v>16</v>
      </c>
      <c r="L23" s="134"/>
      <c r="M23" s="135">
        <f>30428-27765</f>
        <v>2663</v>
      </c>
      <c r="N23" s="136">
        <f>77836-70552</f>
        <v>7284</v>
      </c>
      <c r="O23" s="135">
        <f t="shared" si="0"/>
        <v>9947</v>
      </c>
    </row>
    <row r="24" spans="1:15" s="27" customFormat="1" ht="18">
      <c r="A24" s="610" t="s">
        <v>27</v>
      </c>
      <c r="B24" s="128" t="s">
        <v>197</v>
      </c>
      <c r="C24" s="129" t="s">
        <v>217</v>
      </c>
      <c r="D24" s="129"/>
      <c r="E24" s="130">
        <v>73</v>
      </c>
      <c r="F24" s="129" t="s">
        <v>200</v>
      </c>
      <c r="G24" s="129" t="s">
        <v>201</v>
      </c>
      <c r="H24" s="950" t="s">
        <v>218</v>
      </c>
      <c r="I24" s="467" t="s">
        <v>1007</v>
      </c>
      <c r="J24" s="132" t="s">
        <v>67</v>
      </c>
      <c r="K24" s="133">
        <v>6</v>
      </c>
      <c r="L24" s="134"/>
      <c r="M24" s="135">
        <f>31798-20815</f>
        <v>10983</v>
      </c>
      <c r="N24" s="136">
        <f>84768-53529</f>
        <v>31239</v>
      </c>
      <c r="O24" s="135">
        <f t="shared" si="0"/>
        <v>42222</v>
      </c>
    </row>
    <row r="25" spans="1:15" s="27" customFormat="1" ht="18">
      <c r="A25" s="610" t="s">
        <v>27</v>
      </c>
      <c r="B25" s="128" t="s">
        <v>219</v>
      </c>
      <c r="C25" s="129" t="s">
        <v>198</v>
      </c>
      <c r="D25" s="129"/>
      <c r="E25" s="130" t="s">
        <v>220</v>
      </c>
      <c r="F25" s="129" t="s">
        <v>200</v>
      </c>
      <c r="G25" s="129" t="s">
        <v>201</v>
      </c>
      <c r="H25" s="948" t="s">
        <v>221</v>
      </c>
      <c r="I25" s="467" t="s">
        <v>1145</v>
      </c>
      <c r="J25" s="132" t="s">
        <v>67</v>
      </c>
      <c r="K25" s="133">
        <v>2</v>
      </c>
      <c r="L25" s="137"/>
      <c r="M25" s="136">
        <f>1833-1824</f>
        <v>9</v>
      </c>
      <c r="N25" s="135">
        <f>9423-9391</f>
        <v>32</v>
      </c>
      <c r="O25" s="135">
        <f t="shared" si="0"/>
        <v>41</v>
      </c>
    </row>
    <row r="26" spans="1:15" s="27" customFormat="1" ht="30.75">
      <c r="A26" s="610" t="s">
        <v>27</v>
      </c>
      <c r="B26" s="138" t="s">
        <v>197</v>
      </c>
      <c r="C26" s="138" t="s">
        <v>222</v>
      </c>
      <c r="D26" s="139" t="s">
        <v>223</v>
      </c>
      <c r="E26" s="140">
        <v>17</v>
      </c>
      <c r="F26" s="139" t="s">
        <v>200</v>
      </c>
      <c r="G26" s="139" t="s">
        <v>201</v>
      </c>
      <c r="H26" s="947" t="s">
        <v>224</v>
      </c>
      <c r="I26" s="467" t="s">
        <v>1008</v>
      </c>
      <c r="J26" s="142" t="s">
        <v>67</v>
      </c>
      <c r="K26" s="143">
        <v>6.6</v>
      </c>
      <c r="L26" s="144"/>
      <c r="M26" s="145">
        <f>3894-3548</f>
        <v>346</v>
      </c>
      <c r="N26" s="146">
        <f>6088-5104</f>
        <v>984</v>
      </c>
      <c r="O26" s="135">
        <f t="shared" si="0"/>
        <v>1330</v>
      </c>
    </row>
    <row r="27" spans="1:15" s="27" customFormat="1" ht="18">
      <c r="A27" s="597" t="s">
        <v>27</v>
      </c>
      <c r="B27" s="138" t="s">
        <v>197</v>
      </c>
      <c r="C27" s="139" t="s">
        <v>280</v>
      </c>
      <c r="D27" s="139"/>
      <c r="E27" s="139">
        <v>20</v>
      </c>
      <c r="F27" s="139" t="s">
        <v>212</v>
      </c>
      <c r="G27" s="139" t="s">
        <v>213</v>
      </c>
      <c r="H27" s="949" t="s">
        <v>281</v>
      </c>
      <c r="I27" s="612">
        <v>70959424</v>
      </c>
      <c r="J27" s="142" t="s">
        <v>67</v>
      </c>
      <c r="K27" s="143">
        <v>13</v>
      </c>
      <c r="L27" s="144"/>
      <c r="M27" s="145">
        <f>5799-4555</f>
        <v>1244</v>
      </c>
      <c r="N27" s="146">
        <f>17788-13131</f>
        <v>4657</v>
      </c>
      <c r="O27" s="135">
        <f t="shared" si="0"/>
        <v>5901</v>
      </c>
    </row>
    <row r="28" spans="1:15" s="27" customFormat="1" ht="18">
      <c r="A28" s="610" t="s">
        <v>27</v>
      </c>
      <c r="B28" s="138" t="s">
        <v>197</v>
      </c>
      <c r="C28" s="139" t="s">
        <v>225</v>
      </c>
      <c r="D28" s="139"/>
      <c r="E28" s="141">
        <v>37</v>
      </c>
      <c r="F28" s="139" t="s">
        <v>212</v>
      </c>
      <c r="G28" s="139" t="s">
        <v>213</v>
      </c>
      <c r="H28" s="947" t="s">
        <v>226</v>
      </c>
      <c r="I28" s="467" t="s">
        <v>1013</v>
      </c>
      <c r="J28" s="422" t="s">
        <v>29</v>
      </c>
      <c r="K28" s="143">
        <v>5</v>
      </c>
      <c r="L28" s="145">
        <f>4449-3605</f>
        <v>844</v>
      </c>
      <c r="M28" s="144"/>
      <c r="N28" s="147"/>
      <c r="O28" s="145">
        <f>L28</f>
        <v>844</v>
      </c>
    </row>
    <row r="29" spans="1:15" s="27" customFormat="1" ht="18">
      <c r="A29" s="610" t="s">
        <v>27</v>
      </c>
      <c r="B29" s="138" t="s">
        <v>197</v>
      </c>
      <c r="C29" s="139" t="s">
        <v>227</v>
      </c>
      <c r="D29" s="139"/>
      <c r="E29" s="141">
        <v>44</v>
      </c>
      <c r="F29" s="139" t="s">
        <v>212</v>
      </c>
      <c r="G29" s="139" t="s">
        <v>213</v>
      </c>
      <c r="H29" s="947" t="s">
        <v>228</v>
      </c>
      <c r="I29" s="467" t="s">
        <v>1012</v>
      </c>
      <c r="J29" s="422" t="s">
        <v>29</v>
      </c>
      <c r="K29" s="143">
        <v>3</v>
      </c>
      <c r="L29" s="145">
        <f>3524-2681</f>
        <v>843</v>
      </c>
      <c r="M29" s="144"/>
      <c r="N29" s="147"/>
      <c r="O29" s="145">
        <f>L29</f>
        <v>843</v>
      </c>
    </row>
    <row r="30" spans="1:15" s="27" customFormat="1" ht="18">
      <c r="A30" s="610" t="s">
        <v>27</v>
      </c>
      <c r="B30" s="138" t="s">
        <v>197</v>
      </c>
      <c r="C30" s="139" t="s">
        <v>213</v>
      </c>
      <c r="D30" s="139" t="s">
        <v>194</v>
      </c>
      <c r="E30" s="140">
        <v>14</v>
      </c>
      <c r="F30" s="139" t="s">
        <v>212</v>
      </c>
      <c r="G30" s="139" t="s">
        <v>213</v>
      </c>
      <c r="H30" s="947" t="s">
        <v>229</v>
      </c>
      <c r="I30" s="467" t="s">
        <v>1009</v>
      </c>
      <c r="J30" s="422" t="s">
        <v>29</v>
      </c>
      <c r="K30" s="143">
        <v>3</v>
      </c>
      <c r="L30" s="145">
        <f>32938-20056</f>
        <v>12882</v>
      </c>
      <c r="M30" s="144"/>
      <c r="N30" s="147"/>
      <c r="O30" s="145">
        <f>L30</f>
        <v>12882</v>
      </c>
    </row>
    <row r="31" spans="1:15" s="27" customFormat="1" ht="29.25">
      <c r="A31" s="610" t="s">
        <v>27</v>
      </c>
      <c r="B31" s="411" t="s">
        <v>1461</v>
      </c>
      <c r="C31" s="781" t="s">
        <v>213</v>
      </c>
      <c r="D31" s="4"/>
      <c r="E31" s="4" t="s">
        <v>1306</v>
      </c>
      <c r="F31" s="4" t="s">
        <v>212</v>
      </c>
      <c r="G31" s="4" t="s">
        <v>213</v>
      </c>
      <c r="H31" s="947" t="s">
        <v>1462</v>
      </c>
      <c r="I31" s="4">
        <v>316657</v>
      </c>
      <c r="J31" s="505" t="s">
        <v>29</v>
      </c>
      <c r="K31" s="8">
        <v>5</v>
      </c>
      <c r="L31" s="34">
        <f>3931-3768</f>
        <v>163</v>
      </c>
      <c r="M31" s="35"/>
      <c r="N31" s="35"/>
      <c r="O31" s="34">
        <f>L31</f>
        <v>163</v>
      </c>
    </row>
    <row r="32" spans="1:15" s="27" customFormat="1" ht="18.75" thickBot="1">
      <c r="A32" s="610" t="s">
        <v>27</v>
      </c>
      <c r="B32" s="411"/>
      <c r="C32" s="781" t="s">
        <v>211</v>
      </c>
      <c r="D32" s="4"/>
      <c r="E32" s="4" t="s">
        <v>1524</v>
      </c>
      <c r="F32" s="4" t="s">
        <v>212</v>
      </c>
      <c r="G32" s="4" t="s">
        <v>213</v>
      </c>
      <c r="H32" s="947" t="s">
        <v>1525</v>
      </c>
      <c r="I32" s="4">
        <v>71869909</v>
      </c>
      <c r="J32" s="505" t="s">
        <v>29</v>
      </c>
      <c r="K32" s="8">
        <v>7</v>
      </c>
      <c r="L32" s="34">
        <f>4463-1521</f>
        <v>2942</v>
      </c>
      <c r="M32" s="35"/>
      <c r="N32" s="35"/>
      <c r="O32" s="34">
        <f>L32</f>
        <v>2942</v>
      </c>
    </row>
    <row r="33" spans="1:15" ht="21.75" customHeight="1">
      <c r="A33" s="57"/>
      <c r="B33" s="247" t="s">
        <v>23</v>
      </c>
      <c r="C33" s="248" t="s">
        <v>737</v>
      </c>
      <c r="D33" s="250"/>
      <c r="E33" s="1414"/>
      <c r="F33" s="1414"/>
      <c r="G33" s="10" t="s">
        <v>1719</v>
      </c>
      <c r="H33" s="1415" t="s">
        <v>737</v>
      </c>
      <c r="L33" s="33"/>
      <c r="M33" s="33"/>
      <c r="N33" s="34" t="s">
        <v>24</v>
      </c>
      <c r="O33" s="598">
        <f>SUM(O18:O32)</f>
        <v>85462</v>
      </c>
    </row>
    <row r="34" spans="2:8" ht="15">
      <c r="B34" s="251"/>
      <c r="C34" s="252" t="s">
        <v>1141</v>
      </c>
      <c r="D34" s="254"/>
      <c r="E34" s="1414"/>
      <c r="F34" s="1414"/>
      <c r="G34" s="197"/>
      <c r="H34" s="1416" t="s">
        <v>1141</v>
      </c>
    </row>
    <row r="35" spans="2:14" ht="15.75" thickBot="1">
      <c r="B35" s="197"/>
      <c r="C35" s="253" t="s">
        <v>738</v>
      </c>
      <c r="D35" s="254"/>
      <c r="E35" s="1414"/>
      <c r="F35" s="1414"/>
      <c r="G35" s="198"/>
      <c r="H35" s="258" t="s">
        <v>738</v>
      </c>
      <c r="M35" s="33"/>
      <c r="N35" s="33"/>
    </row>
    <row r="36" spans="2:8" ht="15">
      <c r="B36" s="624" t="s">
        <v>851</v>
      </c>
      <c r="C36" s="1351">
        <v>8222147185</v>
      </c>
      <c r="D36" s="254"/>
      <c r="E36" s="1414"/>
      <c r="F36" s="1414"/>
      <c r="G36" s="1414"/>
      <c r="H36" s="1414"/>
    </row>
    <row r="37" spans="2:8" ht="15.75" thickBot="1">
      <c r="B37" s="483" t="s">
        <v>1112</v>
      </c>
      <c r="C37" s="1353" t="s">
        <v>1142</v>
      </c>
      <c r="D37" s="258"/>
      <c r="E37" s="1414"/>
      <c r="F37" s="1414"/>
      <c r="G37" s="1414"/>
      <c r="H37" s="1414"/>
    </row>
    <row r="38" ht="15" thickBot="1"/>
    <row r="39" spans="1:15" ht="37.5" customHeight="1">
      <c r="A39" s="1588" t="s">
        <v>7</v>
      </c>
      <c r="B39" s="1591" t="s">
        <v>664</v>
      </c>
      <c r="C39" s="1594" t="s">
        <v>9</v>
      </c>
      <c r="D39" s="1594" t="s">
        <v>10</v>
      </c>
      <c r="E39" s="1574" t="s">
        <v>844</v>
      </c>
      <c r="F39" s="1574" t="s">
        <v>12</v>
      </c>
      <c r="G39" s="1594" t="s">
        <v>13</v>
      </c>
      <c r="H39" s="1574" t="s">
        <v>14</v>
      </c>
      <c r="I39" s="1574" t="s">
        <v>282</v>
      </c>
      <c r="J39" s="1574" t="s">
        <v>60</v>
      </c>
      <c r="K39" s="1583" t="s">
        <v>666</v>
      </c>
      <c r="L39" s="1640" t="s">
        <v>667</v>
      </c>
      <c r="M39" s="1634"/>
      <c r="N39" s="1634"/>
      <c r="O39" s="1641"/>
    </row>
    <row r="40" spans="1:15" ht="33.75" customHeight="1">
      <c r="A40" s="1589"/>
      <c r="B40" s="1592"/>
      <c r="C40" s="1595"/>
      <c r="D40" s="1595"/>
      <c r="E40" s="1575"/>
      <c r="F40" s="1575"/>
      <c r="G40" s="1595"/>
      <c r="H40" s="1575"/>
      <c r="I40" s="1575"/>
      <c r="J40" s="1575"/>
      <c r="K40" s="1584"/>
      <c r="L40" s="1597" t="s">
        <v>668</v>
      </c>
      <c r="M40" s="1568"/>
      <c r="N40" s="1568"/>
      <c r="O40" s="1598"/>
    </row>
    <row r="41" spans="1:15" ht="27.75" customHeight="1" thickBot="1">
      <c r="A41" s="1590"/>
      <c r="B41" s="1593"/>
      <c r="C41" s="1596"/>
      <c r="D41" s="1596"/>
      <c r="E41" s="1576"/>
      <c r="F41" s="1576"/>
      <c r="G41" s="1596"/>
      <c r="H41" s="1576"/>
      <c r="I41" s="1576"/>
      <c r="J41" s="1576"/>
      <c r="K41" s="1585"/>
      <c r="L41" s="485" t="s">
        <v>669</v>
      </c>
      <c r="M41" s="486" t="s">
        <v>670</v>
      </c>
      <c r="N41" s="486" t="s">
        <v>671</v>
      </c>
      <c r="O41" s="484" t="s">
        <v>17</v>
      </c>
    </row>
    <row r="42" spans="1:15" s="151" customFormat="1" ht="31.5" thickBot="1">
      <c r="A42" s="603" t="s">
        <v>27</v>
      </c>
      <c r="B42" s="507" t="s">
        <v>230</v>
      </c>
      <c r="C42" s="507" t="s">
        <v>201</v>
      </c>
      <c r="D42" s="510" t="s">
        <v>215</v>
      </c>
      <c r="E42" s="511">
        <v>22</v>
      </c>
      <c r="F42" s="154" t="s">
        <v>200</v>
      </c>
      <c r="G42" s="1417" t="s">
        <v>201</v>
      </c>
      <c r="H42" s="1418" t="s">
        <v>231</v>
      </c>
      <c r="I42" s="1419" t="s">
        <v>998</v>
      </c>
      <c r="J42" s="155" t="s">
        <v>67</v>
      </c>
      <c r="K42" s="156">
        <v>31</v>
      </c>
      <c r="L42" s="509"/>
      <c r="M42" s="158">
        <f>96356-81092</f>
        <v>15264</v>
      </c>
      <c r="N42" s="158">
        <f>212690-181441</f>
        <v>31249</v>
      </c>
      <c r="O42" s="506">
        <f>SUM(M42:N42)</f>
        <v>46513</v>
      </c>
    </row>
    <row r="43" spans="2:15" ht="24.75" customHeight="1">
      <c r="B43" s="10" t="s">
        <v>23</v>
      </c>
      <c r="C43" s="11" t="s">
        <v>996</v>
      </c>
      <c r="D43" s="11"/>
      <c r="E43" s="12"/>
      <c r="F43" s="267"/>
      <c r="G43" s="10" t="s">
        <v>1719</v>
      </c>
      <c r="H43" s="11" t="s">
        <v>996</v>
      </c>
      <c r="I43" s="28"/>
      <c r="N43" s="4" t="s">
        <v>24</v>
      </c>
      <c r="O43" s="598">
        <f>SUM(O42)</f>
        <v>46513</v>
      </c>
    </row>
    <row r="44" spans="2:9" ht="15">
      <c r="B44" s="13"/>
      <c r="C44" s="14" t="s">
        <v>997</v>
      </c>
      <c r="D44" s="14"/>
      <c r="E44" s="15"/>
      <c r="F44" s="267"/>
      <c r="G44" s="13"/>
      <c r="H44" s="14" t="s">
        <v>997</v>
      </c>
      <c r="I44" s="29"/>
    </row>
    <row r="45" spans="2:9" ht="15.75" thickBot="1">
      <c r="B45" s="13"/>
      <c r="C45" s="45" t="s">
        <v>738</v>
      </c>
      <c r="D45" s="14"/>
      <c r="E45" s="15"/>
      <c r="F45" s="267"/>
      <c r="G45" s="73"/>
      <c r="H45" s="116" t="s">
        <v>738</v>
      </c>
      <c r="I45" s="30"/>
    </row>
    <row r="46" spans="2:8" ht="15">
      <c r="B46" s="571" t="s">
        <v>851</v>
      </c>
      <c r="C46" s="724">
        <v>8222230555</v>
      </c>
      <c r="D46" s="14"/>
      <c r="E46" s="15"/>
      <c r="F46" s="267"/>
      <c r="G46" s="267"/>
      <c r="H46" s="267"/>
    </row>
    <row r="47" spans="1:8" ht="15.75" thickBot="1">
      <c r="A47" s="295"/>
      <c r="B47" s="447" t="s">
        <v>1112</v>
      </c>
      <c r="C47" s="726" t="s">
        <v>1139</v>
      </c>
      <c r="D47" s="17"/>
      <c r="E47" s="18"/>
      <c r="F47" s="267"/>
      <c r="G47" s="267"/>
      <c r="H47" s="267"/>
    </row>
    <row r="49" ht="15" thickBot="1"/>
    <row r="50" spans="1:15" ht="36.75" customHeight="1">
      <c r="A50" s="1588" t="s">
        <v>7</v>
      </c>
      <c r="B50" s="1591" t="s">
        <v>664</v>
      </c>
      <c r="C50" s="1594" t="s">
        <v>9</v>
      </c>
      <c r="D50" s="1594" t="s">
        <v>10</v>
      </c>
      <c r="E50" s="1574" t="s">
        <v>844</v>
      </c>
      <c r="F50" s="1574" t="s">
        <v>12</v>
      </c>
      <c r="G50" s="1594" t="s">
        <v>13</v>
      </c>
      <c r="H50" s="1574" t="s">
        <v>14</v>
      </c>
      <c r="I50" s="1574" t="s">
        <v>282</v>
      </c>
      <c r="J50" s="1574" t="s">
        <v>60</v>
      </c>
      <c r="K50" s="1583" t="s">
        <v>666</v>
      </c>
      <c r="L50" s="1640" t="s">
        <v>667</v>
      </c>
      <c r="M50" s="1634"/>
      <c r="N50" s="1634"/>
      <c r="O50" s="1641"/>
    </row>
    <row r="51" spans="1:15" ht="37.5" customHeight="1">
      <c r="A51" s="1589"/>
      <c r="B51" s="1592"/>
      <c r="C51" s="1595"/>
      <c r="D51" s="1595"/>
      <c r="E51" s="1575"/>
      <c r="F51" s="1575"/>
      <c r="G51" s="1595"/>
      <c r="H51" s="1575"/>
      <c r="I51" s="1575"/>
      <c r="J51" s="1575"/>
      <c r="K51" s="1584"/>
      <c r="L51" s="1597" t="s">
        <v>668</v>
      </c>
      <c r="M51" s="1568"/>
      <c r="N51" s="1568"/>
      <c r="O51" s="1598"/>
    </row>
    <row r="52" spans="1:15" ht="27.75" customHeight="1" thickBot="1">
      <c r="A52" s="1590"/>
      <c r="B52" s="1593"/>
      <c r="C52" s="1596"/>
      <c r="D52" s="1596"/>
      <c r="E52" s="1576"/>
      <c r="F52" s="1576"/>
      <c r="G52" s="1596"/>
      <c r="H52" s="1576"/>
      <c r="I52" s="1576"/>
      <c r="J52" s="1576"/>
      <c r="K52" s="1585"/>
      <c r="L52" s="485" t="s">
        <v>669</v>
      </c>
      <c r="M52" s="486" t="s">
        <v>670</v>
      </c>
      <c r="N52" s="486" t="s">
        <v>671</v>
      </c>
      <c r="O52" s="484" t="s">
        <v>17</v>
      </c>
    </row>
    <row r="53" spans="1:15" s="151" customFormat="1" ht="46.5" thickBot="1">
      <c r="A53" s="603" t="s">
        <v>27</v>
      </c>
      <c r="B53" s="507" t="s">
        <v>232</v>
      </c>
      <c r="C53" s="507" t="s">
        <v>201</v>
      </c>
      <c r="D53" s="507" t="s">
        <v>276</v>
      </c>
      <c r="E53" s="508" t="s">
        <v>1471</v>
      </c>
      <c r="F53" s="510" t="s">
        <v>200</v>
      </c>
      <c r="G53" s="153" t="s">
        <v>201</v>
      </c>
      <c r="H53" s="1418" t="s">
        <v>1473</v>
      </c>
      <c r="I53" s="1419" t="s">
        <v>1472</v>
      </c>
      <c r="J53" s="1420" t="s">
        <v>29</v>
      </c>
      <c r="K53" s="1421">
        <v>35</v>
      </c>
      <c r="L53" s="158">
        <f>7276-5329</f>
        <v>1947</v>
      </c>
      <c r="M53" s="952"/>
      <c r="N53" s="952"/>
      <c r="O53" s="506">
        <f>L53</f>
        <v>1947</v>
      </c>
    </row>
    <row r="54" spans="2:15" ht="21.75" customHeight="1">
      <c r="B54" s="10" t="s">
        <v>23</v>
      </c>
      <c r="C54" s="11" t="s">
        <v>1469</v>
      </c>
      <c r="D54" s="11"/>
      <c r="E54" s="11"/>
      <c r="F54" s="12"/>
      <c r="G54" s="267"/>
      <c r="H54" s="10" t="s">
        <v>1719</v>
      </c>
      <c r="I54" s="11" t="s">
        <v>1469</v>
      </c>
      <c r="J54" s="268"/>
      <c r="K54" s="28"/>
      <c r="N54" s="4" t="s">
        <v>24</v>
      </c>
      <c r="O54" s="598">
        <f>SUM(O53)</f>
        <v>1947</v>
      </c>
    </row>
    <row r="55" spans="2:11" ht="15">
      <c r="B55" s="13"/>
      <c r="C55" s="14" t="s">
        <v>1470</v>
      </c>
      <c r="D55" s="14"/>
      <c r="E55" s="14"/>
      <c r="F55" s="15"/>
      <c r="G55" s="267"/>
      <c r="H55" s="13"/>
      <c r="I55" s="14" t="s">
        <v>1470</v>
      </c>
      <c r="J55" s="56"/>
      <c r="K55" s="29"/>
    </row>
    <row r="56" spans="2:11" ht="15.75" thickBot="1">
      <c r="B56" s="13"/>
      <c r="C56" s="45" t="s">
        <v>738</v>
      </c>
      <c r="D56" s="14"/>
      <c r="E56" s="14"/>
      <c r="F56" s="15"/>
      <c r="G56" s="267"/>
      <c r="H56" s="73"/>
      <c r="I56" s="116" t="s">
        <v>738</v>
      </c>
      <c r="J56" s="233"/>
      <c r="K56" s="30"/>
    </row>
    <row r="57" spans="2:9" ht="15">
      <c r="B57" s="571" t="s">
        <v>851</v>
      </c>
      <c r="C57" s="724">
        <v>8221958800</v>
      </c>
      <c r="D57" s="14"/>
      <c r="E57" s="14"/>
      <c r="F57" s="15"/>
      <c r="G57" s="267"/>
      <c r="H57" s="267"/>
      <c r="I57" s="267"/>
    </row>
    <row r="58" spans="1:9" ht="15.75" thickBot="1">
      <c r="A58" s="295"/>
      <c r="B58" s="447" t="s">
        <v>1112</v>
      </c>
      <c r="C58" s="726" t="s">
        <v>1140</v>
      </c>
      <c r="D58" s="17"/>
      <c r="E58" s="17"/>
      <c r="F58" s="18"/>
      <c r="G58" s="267"/>
      <c r="H58" s="267"/>
      <c r="I58" s="267"/>
    </row>
    <row r="60" ht="15" thickBot="1"/>
    <row r="61" spans="1:15" ht="37.5" customHeight="1">
      <c r="A61" s="1588" t="s">
        <v>7</v>
      </c>
      <c r="B61" s="1591" t="s">
        <v>664</v>
      </c>
      <c r="C61" s="1594" t="s">
        <v>9</v>
      </c>
      <c r="D61" s="1594" t="s">
        <v>10</v>
      </c>
      <c r="E61" s="1574" t="s">
        <v>844</v>
      </c>
      <c r="F61" s="1574" t="s">
        <v>12</v>
      </c>
      <c r="G61" s="1594" t="s">
        <v>13</v>
      </c>
      <c r="H61" s="1574" t="s">
        <v>14</v>
      </c>
      <c r="I61" s="1574" t="s">
        <v>282</v>
      </c>
      <c r="J61" s="1574" t="s">
        <v>60</v>
      </c>
      <c r="K61" s="1583" t="s">
        <v>666</v>
      </c>
      <c r="L61" s="1640" t="s">
        <v>667</v>
      </c>
      <c r="M61" s="1634"/>
      <c r="N61" s="1634"/>
      <c r="O61" s="1641"/>
    </row>
    <row r="62" spans="1:15" ht="36" customHeight="1">
      <c r="A62" s="1589"/>
      <c r="B62" s="1592"/>
      <c r="C62" s="1595"/>
      <c r="D62" s="1595"/>
      <c r="E62" s="1575"/>
      <c r="F62" s="1575"/>
      <c r="G62" s="1595"/>
      <c r="H62" s="1575"/>
      <c r="I62" s="1575"/>
      <c r="J62" s="1575"/>
      <c r="K62" s="1584"/>
      <c r="L62" s="1597" t="s">
        <v>668</v>
      </c>
      <c r="M62" s="1568"/>
      <c r="N62" s="1568"/>
      <c r="O62" s="1598"/>
    </row>
    <row r="63" spans="1:15" ht="24" customHeight="1" thickBot="1">
      <c r="A63" s="1590"/>
      <c r="B63" s="1593"/>
      <c r="C63" s="1596"/>
      <c r="D63" s="1596"/>
      <c r="E63" s="1576"/>
      <c r="F63" s="1576"/>
      <c r="G63" s="1596"/>
      <c r="H63" s="1576"/>
      <c r="I63" s="1576"/>
      <c r="J63" s="1576"/>
      <c r="K63" s="1585"/>
      <c r="L63" s="485" t="s">
        <v>669</v>
      </c>
      <c r="M63" s="812" t="s">
        <v>670</v>
      </c>
      <c r="N63" s="812" t="s">
        <v>671</v>
      </c>
      <c r="O63" s="813" t="s">
        <v>17</v>
      </c>
    </row>
    <row r="64" spans="1:15" s="27" customFormat="1" ht="18">
      <c r="A64" s="603" t="s">
        <v>27</v>
      </c>
      <c r="B64" s="152" t="s">
        <v>234</v>
      </c>
      <c r="C64" s="153" t="s">
        <v>201</v>
      </c>
      <c r="D64" s="154" t="s">
        <v>215</v>
      </c>
      <c r="E64" s="154">
        <v>35</v>
      </c>
      <c r="F64" s="154" t="s">
        <v>200</v>
      </c>
      <c r="G64" s="154" t="s">
        <v>201</v>
      </c>
      <c r="H64" s="944" t="s">
        <v>235</v>
      </c>
      <c r="I64" s="496">
        <v>39304</v>
      </c>
      <c r="J64" s="155" t="s">
        <v>67</v>
      </c>
      <c r="K64" s="156">
        <v>10</v>
      </c>
      <c r="L64" s="157"/>
      <c r="M64" s="162">
        <f>64276-53773</f>
        <v>10503</v>
      </c>
      <c r="N64" s="162">
        <f>166352-139648</f>
        <v>26704</v>
      </c>
      <c r="O64" s="164">
        <f>SUM(M64:N64)</f>
        <v>37207</v>
      </c>
    </row>
    <row r="65" spans="1:15" s="27" customFormat="1" ht="18">
      <c r="A65" s="597" t="s">
        <v>27</v>
      </c>
      <c r="B65" s="138" t="s">
        <v>237</v>
      </c>
      <c r="C65" s="139" t="s">
        <v>225</v>
      </c>
      <c r="D65" s="139"/>
      <c r="E65" s="139">
        <v>16</v>
      </c>
      <c r="F65" s="139" t="s">
        <v>212</v>
      </c>
      <c r="G65" s="139" t="s">
        <v>213</v>
      </c>
      <c r="H65" s="946" t="s">
        <v>238</v>
      </c>
      <c r="I65" s="496">
        <v>40406</v>
      </c>
      <c r="J65" s="142" t="s">
        <v>67</v>
      </c>
      <c r="K65" s="143">
        <v>5</v>
      </c>
      <c r="L65" s="159"/>
      <c r="M65" s="149">
        <f>12278-12146</f>
        <v>132</v>
      </c>
      <c r="N65" s="149">
        <f>29168-28901</f>
        <v>267</v>
      </c>
      <c r="O65" s="164">
        <f>SUM(M65:N65)</f>
        <v>399</v>
      </c>
    </row>
    <row r="66" spans="1:15" s="27" customFormat="1" ht="18">
      <c r="A66" s="597" t="s">
        <v>27</v>
      </c>
      <c r="B66" s="138"/>
      <c r="C66" s="139" t="s">
        <v>213</v>
      </c>
      <c r="D66" s="139"/>
      <c r="E66" s="139" t="s">
        <v>894</v>
      </c>
      <c r="F66" s="139" t="s">
        <v>212</v>
      </c>
      <c r="G66" s="139" t="s">
        <v>213</v>
      </c>
      <c r="H66" s="946" t="s">
        <v>240</v>
      </c>
      <c r="I66" s="497">
        <v>40410</v>
      </c>
      <c r="J66" s="142" t="s">
        <v>67</v>
      </c>
      <c r="K66" s="143">
        <v>8</v>
      </c>
      <c r="L66" s="159"/>
      <c r="M66" s="149">
        <f>6660-5473</f>
        <v>1187</v>
      </c>
      <c r="N66" s="149">
        <f>16592-13515</f>
        <v>3077</v>
      </c>
      <c r="O66" s="164">
        <f>SUM(M66:N66)</f>
        <v>4264</v>
      </c>
    </row>
    <row r="67" spans="1:15" s="27" customFormat="1" ht="18">
      <c r="A67" s="597" t="s">
        <v>27</v>
      </c>
      <c r="B67" s="138" t="s">
        <v>241</v>
      </c>
      <c r="C67" s="139" t="s">
        <v>242</v>
      </c>
      <c r="D67" s="139"/>
      <c r="E67" s="139"/>
      <c r="F67" s="139" t="s">
        <v>200</v>
      </c>
      <c r="G67" s="139" t="s">
        <v>201</v>
      </c>
      <c r="H67" s="946" t="s">
        <v>243</v>
      </c>
      <c r="I67" s="496">
        <v>40412</v>
      </c>
      <c r="J67" s="142" t="s">
        <v>67</v>
      </c>
      <c r="K67" s="143">
        <v>5</v>
      </c>
      <c r="L67" s="159"/>
      <c r="M67" s="149">
        <f>4759-3663</f>
        <v>1096</v>
      </c>
      <c r="N67" s="149">
        <f>11681-9000</f>
        <v>2681</v>
      </c>
      <c r="O67" s="164">
        <f>SUM(M67:N67)</f>
        <v>3777</v>
      </c>
    </row>
    <row r="68" spans="1:15" s="27" customFormat="1" ht="18">
      <c r="A68" s="597" t="s">
        <v>27</v>
      </c>
      <c r="B68" s="138"/>
      <c r="C68" s="148" t="s">
        <v>201</v>
      </c>
      <c r="D68" s="139" t="s">
        <v>276</v>
      </c>
      <c r="E68" s="139" t="s">
        <v>1014</v>
      </c>
      <c r="F68" s="139" t="s">
        <v>200</v>
      </c>
      <c r="G68" s="139" t="s">
        <v>201</v>
      </c>
      <c r="H68" s="947" t="s">
        <v>1015</v>
      </c>
      <c r="I68" s="496">
        <v>39309</v>
      </c>
      <c r="J68" s="142" t="s">
        <v>67</v>
      </c>
      <c r="K68" s="143">
        <v>5</v>
      </c>
      <c r="L68" s="159"/>
      <c r="M68" s="149">
        <f>10747-10354</f>
        <v>393</v>
      </c>
      <c r="N68" s="149">
        <f>36121-34497</f>
        <v>1624</v>
      </c>
      <c r="O68" s="164">
        <f>SUM(M68:N68)</f>
        <v>2017</v>
      </c>
    </row>
    <row r="69" spans="1:15" s="27" customFormat="1" ht="18">
      <c r="A69" s="597" t="s">
        <v>27</v>
      </c>
      <c r="B69" s="138"/>
      <c r="C69" s="148" t="s">
        <v>217</v>
      </c>
      <c r="D69" s="139" t="s">
        <v>252</v>
      </c>
      <c r="E69" s="139"/>
      <c r="F69" s="139" t="s">
        <v>200</v>
      </c>
      <c r="G69" s="139" t="s">
        <v>201</v>
      </c>
      <c r="H69" s="947" t="s">
        <v>1016</v>
      </c>
      <c r="I69" s="496">
        <v>70958680</v>
      </c>
      <c r="J69" s="422" t="s">
        <v>29</v>
      </c>
      <c r="K69" s="143">
        <v>33</v>
      </c>
      <c r="L69" s="466">
        <f>26288-20660</f>
        <v>5628</v>
      </c>
      <c r="M69" s="160"/>
      <c r="N69" s="160"/>
      <c r="O69" s="150">
        <f>L69</f>
        <v>5628</v>
      </c>
    </row>
    <row r="70" spans="1:15" s="27" customFormat="1" ht="18">
      <c r="A70" s="597" t="s">
        <v>27</v>
      </c>
      <c r="B70" s="138" t="s">
        <v>241</v>
      </c>
      <c r="C70" s="148"/>
      <c r="D70" s="139" t="s">
        <v>247</v>
      </c>
      <c r="E70" s="139"/>
      <c r="F70" s="139" t="s">
        <v>200</v>
      </c>
      <c r="G70" s="139" t="s">
        <v>201</v>
      </c>
      <c r="H70" s="947" t="s">
        <v>248</v>
      </c>
      <c r="I70" s="496">
        <v>39853</v>
      </c>
      <c r="J70" s="142" t="s">
        <v>67</v>
      </c>
      <c r="K70" s="143">
        <v>16</v>
      </c>
      <c r="L70" s="160"/>
      <c r="M70" s="149">
        <f>10187-8704</f>
        <v>1483</v>
      </c>
      <c r="N70" s="149">
        <f>29365-25738</f>
        <v>3627</v>
      </c>
      <c r="O70" s="150">
        <f>M70+N70</f>
        <v>5110</v>
      </c>
    </row>
    <row r="71" spans="1:15" s="27" customFormat="1" ht="18">
      <c r="A71" s="597" t="s">
        <v>27</v>
      </c>
      <c r="B71" s="138" t="s">
        <v>241</v>
      </c>
      <c r="C71" s="139" t="s">
        <v>249</v>
      </c>
      <c r="D71" s="139"/>
      <c r="E71" s="139"/>
      <c r="F71" s="139" t="s">
        <v>200</v>
      </c>
      <c r="G71" s="139" t="s">
        <v>201</v>
      </c>
      <c r="H71" s="947" t="s">
        <v>250</v>
      </c>
      <c r="I71" s="497">
        <v>39638</v>
      </c>
      <c r="J71" s="142" t="s">
        <v>67</v>
      </c>
      <c r="K71" s="143">
        <v>16</v>
      </c>
      <c r="L71" s="160"/>
      <c r="M71" s="149">
        <f>10851-9803</f>
        <v>1048</v>
      </c>
      <c r="N71" s="149">
        <f>39964-37583</f>
        <v>2381</v>
      </c>
      <c r="O71" s="150">
        <f>M71+N71</f>
        <v>3429</v>
      </c>
    </row>
    <row r="72" spans="1:15" s="27" customFormat="1" ht="18.75" thickBot="1">
      <c r="A72" s="597" t="s">
        <v>27</v>
      </c>
      <c r="B72" s="57" t="s">
        <v>241</v>
      </c>
      <c r="C72" s="452" t="s">
        <v>1151</v>
      </c>
      <c r="D72" s="57" t="s">
        <v>1149</v>
      </c>
      <c r="E72" s="347" t="s">
        <v>1150</v>
      </c>
      <c r="F72" s="347" t="s">
        <v>200</v>
      </c>
      <c r="G72" s="820" t="s">
        <v>201</v>
      </c>
      <c r="H72" s="947" t="s">
        <v>1395</v>
      </c>
      <c r="I72" s="187">
        <v>216442</v>
      </c>
      <c r="J72" s="552" t="s">
        <v>29</v>
      </c>
      <c r="K72" s="143">
        <v>11</v>
      </c>
      <c r="L72" s="275">
        <f>9245-7357</f>
        <v>1888</v>
      </c>
      <c r="M72" s="276"/>
      <c r="N72" s="276"/>
      <c r="O72" s="275">
        <f>L72</f>
        <v>1888</v>
      </c>
    </row>
    <row r="73" spans="1:15" ht="25.5" customHeight="1">
      <c r="A73" s="57"/>
      <c r="B73" s="247" t="s">
        <v>23</v>
      </c>
      <c r="C73" s="248" t="s">
        <v>737</v>
      </c>
      <c r="D73" s="250"/>
      <c r="E73" s="1414"/>
      <c r="F73" s="1414"/>
      <c r="G73" s="10" t="s">
        <v>1719</v>
      </c>
      <c r="H73" s="1415" t="s">
        <v>737</v>
      </c>
      <c r="L73" s="33"/>
      <c r="M73" s="33"/>
      <c r="N73" s="34" t="s">
        <v>24</v>
      </c>
      <c r="O73" s="598">
        <f>SUM(O64:O72)</f>
        <v>63719</v>
      </c>
    </row>
    <row r="74" spans="2:8" ht="15">
      <c r="B74" s="251"/>
      <c r="C74" s="252" t="s">
        <v>1141</v>
      </c>
      <c r="D74" s="254"/>
      <c r="E74" s="1414"/>
      <c r="F74" s="1414"/>
      <c r="G74" s="197"/>
      <c r="H74" s="1416" t="s">
        <v>1141</v>
      </c>
    </row>
    <row r="75" spans="2:14" ht="15.75" thickBot="1">
      <c r="B75" s="197"/>
      <c r="C75" s="253" t="s">
        <v>738</v>
      </c>
      <c r="D75" s="254"/>
      <c r="E75" s="1414"/>
      <c r="F75" s="1414"/>
      <c r="G75" s="198"/>
      <c r="H75" s="258" t="s">
        <v>738</v>
      </c>
      <c r="M75" s="33"/>
      <c r="N75" s="33"/>
    </row>
    <row r="76" spans="2:8" ht="15">
      <c r="B76" s="624" t="s">
        <v>169</v>
      </c>
      <c r="C76" s="1351">
        <v>8222147185</v>
      </c>
      <c r="D76" s="254"/>
      <c r="E76" s="1414"/>
      <c r="F76" s="1414"/>
      <c r="G76" s="1414"/>
      <c r="H76" s="1414"/>
    </row>
    <row r="77" spans="2:8" ht="15.75" thickBot="1">
      <c r="B77" s="483" t="s">
        <v>1112</v>
      </c>
      <c r="C77" s="1353" t="s">
        <v>1142</v>
      </c>
      <c r="D77" s="258"/>
      <c r="E77" s="1414"/>
      <c r="F77" s="1414"/>
      <c r="G77" s="1414"/>
      <c r="H77" s="1414"/>
    </row>
    <row r="78" ht="15" thickBot="1"/>
    <row r="79" spans="1:15" ht="38.25" customHeight="1">
      <c r="A79" s="1588" t="s">
        <v>7</v>
      </c>
      <c r="B79" s="1591" t="s">
        <v>664</v>
      </c>
      <c r="C79" s="1594" t="s">
        <v>9</v>
      </c>
      <c r="D79" s="1594" t="s">
        <v>10</v>
      </c>
      <c r="E79" s="1574" t="s">
        <v>844</v>
      </c>
      <c r="F79" s="1574" t="s">
        <v>12</v>
      </c>
      <c r="G79" s="1594" t="s">
        <v>13</v>
      </c>
      <c r="H79" s="1574" t="s">
        <v>14</v>
      </c>
      <c r="I79" s="1574" t="s">
        <v>282</v>
      </c>
      <c r="J79" s="1574" t="s">
        <v>60</v>
      </c>
      <c r="K79" s="1583" t="s">
        <v>666</v>
      </c>
      <c r="L79" s="1640" t="s">
        <v>667</v>
      </c>
      <c r="M79" s="1634"/>
      <c r="N79" s="1634"/>
      <c r="O79" s="1641"/>
    </row>
    <row r="80" spans="1:15" ht="33.75" customHeight="1">
      <c r="A80" s="1589"/>
      <c r="B80" s="1592"/>
      <c r="C80" s="1595"/>
      <c r="D80" s="1595"/>
      <c r="E80" s="1575"/>
      <c r="F80" s="1575"/>
      <c r="G80" s="1595"/>
      <c r="H80" s="1575"/>
      <c r="I80" s="1575"/>
      <c r="J80" s="1575"/>
      <c r="K80" s="1584"/>
      <c r="L80" s="1597" t="s">
        <v>668</v>
      </c>
      <c r="M80" s="1568"/>
      <c r="N80" s="1568"/>
      <c r="O80" s="1598"/>
    </row>
    <row r="81" spans="1:15" ht="24.75" customHeight="1" thickBot="1">
      <c r="A81" s="1590"/>
      <c r="B81" s="1593"/>
      <c r="C81" s="1596"/>
      <c r="D81" s="1596"/>
      <c r="E81" s="1576"/>
      <c r="F81" s="1576"/>
      <c r="G81" s="1596"/>
      <c r="H81" s="1576"/>
      <c r="I81" s="1576"/>
      <c r="J81" s="1576"/>
      <c r="K81" s="1585"/>
      <c r="L81" s="485" t="s">
        <v>669</v>
      </c>
      <c r="M81" s="486" t="s">
        <v>670</v>
      </c>
      <c r="N81" s="486" t="s">
        <v>671</v>
      </c>
      <c r="O81" s="484" t="s">
        <v>17</v>
      </c>
    </row>
    <row r="82" spans="1:15" s="161" customFormat="1" ht="46.5" thickBot="1">
      <c r="A82" s="603" t="s">
        <v>27</v>
      </c>
      <c r="B82" s="1408" t="s">
        <v>251</v>
      </c>
      <c r="C82" s="1408" t="s">
        <v>217</v>
      </c>
      <c r="D82" s="1413" t="s">
        <v>252</v>
      </c>
      <c r="E82" s="521" t="s">
        <v>253</v>
      </c>
      <c r="F82" s="513" t="s">
        <v>200</v>
      </c>
      <c r="G82" s="513" t="s">
        <v>201</v>
      </c>
      <c r="H82" s="945" t="s">
        <v>254</v>
      </c>
      <c r="I82" s="522" t="s">
        <v>990</v>
      </c>
      <c r="J82" s="516" t="s">
        <v>67</v>
      </c>
      <c r="K82" s="517">
        <v>30</v>
      </c>
      <c r="L82" s="523"/>
      <c r="M82" s="519">
        <f>28524-23232</f>
        <v>5292</v>
      </c>
      <c r="N82" s="519">
        <f>49768-41494</f>
        <v>8274</v>
      </c>
      <c r="O82" s="519">
        <f>SUM(M82:N82)</f>
        <v>13566</v>
      </c>
    </row>
    <row r="83" spans="2:15" ht="22.5" customHeight="1">
      <c r="B83" s="247" t="s">
        <v>23</v>
      </c>
      <c r="C83" s="248" t="s">
        <v>737</v>
      </c>
      <c r="D83" s="250"/>
      <c r="G83" s="10" t="s">
        <v>1719</v>
      </c>
      <c r="H83" s="12" t="s">
        <v>251</v>
      </c>
      <c r="N83" s="4" t="s">
        <v>24</v>
      </c>
      <c r="O83" s="598">
        <f>SUM(O82)</f>
        <v>13566</v>
      </c>
    </row>
    <row r="84" spans="2:8" ht="15">
      <c r="B84" s="251"/>
      <c r="C84" s="252" t="s">
        <v>1141</v>
      </c>
      <c r="D84" s="254"/>
      <c r="G84" s="13"/>
      <c r="H84" s="15" t="s">
        <v>989</v>
      </c>
    </row>
    <row r="85" spans="2:8" ht="15">
      <c r="B85" s="197"/>
      <c r="C85" s="253" t="s">
        <v>738</v>
      </c>
      <c r="D85" s="254"/>
      <c r="G85" s="13"/>
      <c r="H85" s="181" t="s">
        <v>217</v>
      </c>
    </row>
    <row r="86" spans="2:8" ht="15.75" thickBot="1">
      <c r="B86" s="624" t="s">
        <v>169</v>
      </c>
      <c r="C86" s="1351">
        <v>8222147185</v>
      </c>
      <c r="D86" s="254"/>
      <c r="G86" s="73"/>
      <c r="H86" s="182" t="s">
        <v>738</v>
      </c>
    </row>
    <row r="87" spans="2:4" ht="15.75" thickBot="1">
      <c r="B87" s="483" t="s">
        <v>1112</v>
      </c>
      <c r="C87" s="1353" t="s">
        <v>1142</v>
      </c>
      <c r="D87" s="258"/>
    </row>
    <row r="88" spans="1:4" ht="14.25">
      <c r="A88" s="295"/>
      <c r="B88" s="614"/>
      <c r="C88" s="345"/>
      <c r="D88" s="56"/>
    </row>
    <row r="89" ht="15" thickBot="1"/>
    <row r="90" spans="1:15" ht="39.75" customHeight="1">
      <c r="A90" s="1588" t="s">
        <v>7</v>
      </c>
      <c r="B90" s="1591" t="s">
        <v>664</v>
      </c>
      <c r="C90" s="1594" t="s">
        <v>9</v>
      </c>
      <c r="D90" s="1594" t="s">
        <v>10</v>
      </c>
      <c r="E90" s="1574" t="s">
        <v>844</v>
      </c>
      <c r="F90" s="1574" t="s">
        <v>12</v>
      </c>
      <c r="G90" s="1594" t="s">
        <v>13</v>
      </c>
      <c r="H90" s="1574" t="s">
        <v>14</v>
      </c>
      <c r="I90" s="1574" t="s">
        <v>282</v>
      </c>
      <c r="J90" s="1574" t="s">
        <v>60</v>
      </c>
      <c r="K90" s="1583" t="s">
        <v>666</v>
      </c>
      <c r="L90" s="1640" t="s">
        <v>667</v>
      </c>
      <c r="M90" s="1634"/>
      <c r="N90" s="1634"/>
      <c r="O90" s="1641"/>
    </row>
    <row r="91" spans="1:15" ht="35.25" customHeight="1">
      <c r="A91" s="1589"/>
      <c r="B91" s="1592"/>
      <c r="C91" s="1595"/>
      <c r="D91" s="1595"/>
      <c r="E91" s="1575"/>
      <c r="F91" s="1575"/>
      <c r="G91" s="1595"/>
      <c r="H91" s="1575"/>
      <c r="I91" s="1575"/>
      <c r="J91" s="1575"/>
      <c r="K91" s="1584"/>
      <c r="L91" s="1597" t="s">
        <v>668</v>
      </c>
      <c r="M91" s="1568"/>
      <c r="N91" s="1568"/>
      <c r="O91" s="1598"/>
    </row>
    <row r="92" spans="1:15" ht="31.5" customHeight="1" thickBot="1">
      <c r="A92" s="1590"/>
      <c r="B92" s="1593"/>
      <c r="C92" s="1596"/>
      <c r="D92" s="1596"/>
      <c r="E92" s="1576"/>
      <c r="F92" s="1576"/>
      <c r="G92" s="1596"/>
      <c r="H92" s="1576"/>
      <c r="I92" s="1576"/>
      <c r="J92" s="1576"/>
      <c r="K92" s="1585"/>
      <c r="L92" s="485" t="s">
        <v>669</v>
      </c>
      <c r="M92" s="486" t="s">
        <v>670</v>
      </c>
      <c r="N92" s="486" t="s">
        <v>671</v>
      </c>
      <c r="O92" s="484" t="s">
        <v>17</v>
      </c>
    </row>
    <row r="93" spans="1:15" s="161" customFormat="1" ht="46.5" thickBot="1">
      <c r="A93" s="603" t="s">
        <v>27</v>
      </c>
      <c r="B93" s="1408" t="s">
        <v>255</v>
      </c>
      <c r="C93" s="1409" t="s">
        <v>201</v>
      </c>
      <c r="D93" s="1412" t="s">
        <v>172</v>
      </c>
      <c r="E93" s="513">
        <v>2</v>
      </c>
      <c r="F93" s="513" t="s">
        <v>200</v>
      </c>
      <c r="G93" s="524" t="s">
        <v>201</v>
      </c>
      <c r="H93" s="945" t="s">
        <v>256</v>
      </c>
      <c r="I93" s="525">
        <v>39311</v>
      </c>
      <c r="J93" s="516" t="s">
        <v>67</v>
      </c>
      <c r="K93" s="517">
        <v>35</v>
      </c>
      <c r="L93" s="523"/>
      <c r="M93" s="520">
        <f>138194-113749</f>
        <v>24445</v>
      </c>
      <c r="N93" s="520">
        <f>250557-205875</f>
        <v>44682</v>
      </c>
      <c r="O93" s="519">
        <f>SUM(M93:N93)</f>
        <v>69127</v>
      </c>
    </row>
    <row r="94" spans="2:15" ht="21.75" customHeight="1">
      <c r="B94" s="247" t="s">
        <v>23</v>
      </c>
      <c r="C94" s="248" t="s">
        <v>737</v>
      </c>
      <c r="D94" s="250"/>
      <c r="G94" s="10" t="s">
        <v>1719</v>
      </c>
      <c r="H94" s="12" t="s">
        <v>255</v>
      </c>
      <c r="N94" s="4" t="s">
        <v>24</v>
      </c>
      <c r="O94" s="598">
        <f>SUM(O93)</f>
        <v>69127</v>
      </c>
    </row>
    <row r="95" spans="2:8" ht="15">
      <c r="B95" s="251"/>
      <c r="C95" s="252" t="s">
        <v>1141</v>
      </c>
      <c r="D95" s="254"/>
      <c r="G95" s="13"/>
      <c r="H95" s="15" t="s">
        <v>1000</v>
      </c>
    </row>
    <row r="96" spans="2:8" ht="15.75" thickBot="1">
      <c r="B96" s="197"/>
      <c r="C96" s="253" t="s">
        <v>738</v>
      </c>
      <c r="D96" s="254"/>
      <c r="G96" s="73"/>
      <c r="H96" s="182" t="s">
        <v>738</v>
      </c>
    </row>
    <row r="97" spans="2:4" ht="15">
      <c r="B97" s="624" t="s">
        <v>169</v>
      </c>
      <c r="C97" s="1351">
        <v>8222147185</v>
      </c>
      <c r="D97" s="254"/>
    </row>
    <row r="98" spans="1:4" ht="15.75" thickBot="1">
      <c r="A98" s="295"/>
      <c r="B98" s="483" t="s">
        <v>1112</v>
      </c>
      <c r="C98" s="1353" t="s">
        <v>1142</v>
      </c>
      <c r="D98" s="258"/>
    </row>
    <row r="100" ht="15" thickBot="1"/>
    <row r="101" spans="1:15" ht="36.75" customHeight="1">
      <c r="A101" s="1588" t="s">
        <v>7</v>
      </c>
      <c r="B101" s="1591" t="s">
        <v>664</v>
      </c>
      <c r="C101" s="1594" t="s">
        <v>9</v>
      </c>
      <c r="D101" s="1594" t="s">
        <v>10</v>
      </c>
      <c r="E101" s="1574" t="s">
        <v>844</v>
      </c>
      <c r="F101" s="1574" t="s">
        <v>12</v>
      </c>
      <c r="G101" s="1594" t="s">
        <v>13</v>
      </c>
      <c r="H101" s="1574" t="s">
        <v>14</v>
      </c>
      <c r="I101" s="1574" t="s">
        <v>282</v>
      </c>
      <c r="J101" s="1574" t="s">
        <v>60</v>
      </c>
      <c r="K101" s="1583" t="s">
        <v>666</v>
      </c>
      <c r="L101" s="1640" t="s">
        <v>667</v>
      </c>
      <c r="M101" s="1634"/>
      <c r="N101" s="1634"/>
      <c r="O101" s="1641"/>
    </row>
    <row r="102" spans="1:15" ht="35.25" customHeight="1">
      <c r="A102" s="1589"/>
      <c r="B102" s="1592"/>
      <c r="C102" s="1595"/>
      <c r="D102" s="1595"/>
      <c r="E102" s="1575"/>
      <c r="F102" s="1575"/>
      <c r="G102" s="1595"/>
      <c r="H102" s="1575"/>
      <c r="I102" s="1575"/>
      <c r="J102" s="1575"/>
      <c r="K102" s="1584"/>
      <c r="L102" s="1597" t="s">
        <v>668</v>
      </c>
      <c r="M102" s="1568"/>
      <c r="N102" s="1568"/>
      <c r="O102" s="1598"/>
    </row>
    <row r="103" spans="1:15" ht="23.25" customHeight="1" thickBot="1">
      <c r="A103" s="1590"/>
      <c r="B103" s="1593"/>
      <c r="C103" s="1596"/>
      <c r="D103" s="1596"/>
      <c r="E103" s="1576"/>
      <c r="F103" s="1576"/>
      <c r="G103" s="1596"/>
      <c r="H103" s="1576"/>
      <c r="I103" s="1576"/>
      <c r="J103" s="1576"/>
      <c r="K103" s="1585"/>
      <c r="L103" s="485" t="s">
        <v>669</v>
      </c>
      <c r="M103" s="486" t="s">
        <v>670</v>
      </c>
      <c r="N103" s="486" t="s">
        <v>671</v>
      </c>
      <c r="O103" s="484" t="s">
        <v>17</v>
      </c>
    </row>
    <row r="104" spans="1:15" s="161" customFormat="1" ht="18.75" thickBot="1">
      <c r="A104" s="603" t="s">
        <v>27</v>
      </c>
      <c r="B104" s="1408"/>
      <c r="C104" s="1409" t="s">
        <v>213</v>
      </c>
      <c r="D104" s="1412" t="s">
        <v>172</v>
      </c>
      <c r="E104" s="513">
        <v>8</v>
      </c>
      <c r="F104" s="513" t="s">
        <v>212</v>
      </c>
      <c r="G104" s="524" t="s">
        <v>213</v>
      </c>
      <c r="H104" s="945" t="s">
        <v>257</v>
      </c>
      <c r="I104" s="515" t="s">
        <v>995</v>
      </c>
      <c r="J104" s="516" t="s">
        <v>67</v>
      </c>
      <c r="K104" s="517">
        <v>15</v>
      </c>
      <c r="L104" s="523"/>
      <c r="M104" s="520">
        <f>76516-63417</f>
        <v>13099</v>
      </c>
      <c r="N104" s="520">
        <f>149709-124897</f>
        <v>24812</v>
      </c>
      <c r="O104" s="526">
        <f>SUM(M104:N104)</f>
        <v>37911</v>
      </c>
    </row>
    <row r="105" spans="2:15" ht="24" customHeight="1">
      <c r="B105" s="247" t="s">
        <v>23</v>
      </c>
      <c r="C105" s="248" t="s">
        <v>737</v>
      </c>
      <c r="D105" s="250"/>
      <c r="G105" s="10" t="s">
        <v>1719</v>
      </c>
      <c r="H105" s="12" t="s">
        <v>992</v>
      </c>
      <c r="N105" s="4" t="s">
        <v>24</v>
      </c>
      <c r="O105" s="598">
        <f>SUM(O104)</f>
        <v>37911</v>
      </c>
    </row>
    <row r="106" spans="2:8" ht="15">
      <c r="B106" s="251"/>
      <c r="C106" s="252" t="s">
        <v>1141</v>
      </c>
      <c r="D106" s="254"/>
      <c r="G106" s="13"/>
      <c r="H106" s="15" t="s">
        <v>993</v>
      </c>
    </row>
    <row r="107" spans="2:8" ht="15.75" thickBot="1">
      <c r="B107" s="197"/>
      <c r="C107" s="253" t="s">
        <v>738</v>
      </c>
      <c r="D107" s="254"/>
      <c r="G107" s="73"/>
      <c r="H107" s="182" t="s">
        <v>994</v>
      </c>
    </row>
    <row r="108" spans="2:4" ht="15">
      <c r="B108" s="624" t="s">
        <v>169</v>
      </c>
      <c r="C108" s="1351">
        <v>8222147185</v>
      </c>
      <c r="D108" s="254"/>
    </row>
    <row r="109" spans="1:4" ht="15.75" thickBot="1">
      <c r="A109" s="295"/>
      <c r="B109" s="483" t="s">
        <v>1112</v>
      </c>
      <c r="C109" s="1353" t="s">
        <v>1142</v>
      </c>
      <c r="D109" s="258"/>
    </row>
    <row r="111" ht="15" thickBot="1"/>
    <row r="112" spans="1:15" ht="45" customHeight="1">
      <c r="A112" s="1588" t="s">
        <v>7</v>
      </c>
      <c r="B112" s="1591" t="s">
        <v>664</v>
      </c>
      <c r="C112" s="1594" t="s">
        <v>9</v>
      </c>
      <c r="D112" s="1594" t="s">
        <v>10</v>
      </c>
      <c r="E112" s="1574" t="s">
        <v>844</v>
      </c>
      <c r="F112" s="1574" t="s">
        <v>12</v>
      </c>
      <c r="G112" s="1594" t="s">
        <v>13</v>
      </c>
      <c r="H112" s="1574" t="s">
        <v>14</v>
      </c>
      <c r="I112" s="1574" t="s">
        <v>282</v>
      </c>
      <c r="J112" s="1574" t="s">
        <v>60</v>
      </c>
      <c r="K112" s="1583" t="s">
        <v>666</v>
      </c>
      <c r="L112" s="1640" t="s">
        <v>667</v>
      </c>
      <c r="M112" s="1634"/>
      <c r="N112" s="1634"/>
      <c r="O112" s="1641"/>
    </row>
    <row r="113" spans="1:15" ht="34.5" customHeight="1">
      <c r="A113" s="1589"/>
      <c r="B113" s="1592"/>
      <c r="C113" s="1595"/>
      <c r="D113" s="1595"/>
      <c r="E113" s="1575"/>
      <c r="F113" s="1575"/>
      <c r="G113" s="1595"/>
      <c r="H113" s="1575"/>
      <c r="I113" s="1575"/>
      <c r="J113" s="1575"/>
      <c r="K113" s="1584"/>
      <c r="L113" s="1597" t="s">
        <v>668</v>
      </c>
      <c r="M113" s="1568"/>
      <c r="N113" s="1568"/>
      <c r="O113" s="1598"/>
    </row>
    <row r="114" spans="1:15" ht="30" customHeight="1" thickBot="1">
      <c r="A114" s="1590"/>
      <c r="B114" s="1593"/>
      <c r="C114" s="1596"/>
      <c r="D114" s="1596"/>
      <c r="E114" s="1576"/>
      <c r="F114" s="1576"/>
      <c r="G114" s="1596"/>
      <c r="H114" s="1576"/>
      <c r="I114" s="1576"/>
      <c r="J114" s="1576"/>
      <c r="K114" s="1585"/>
      <c r="L114" s="485" t="s">
        <v>669</v>
      </c>
      <c r="M114" s="486" t="s">
        <v>670</v>
      </c>
      <c r="N114" s="486" t="s">
        <v>671</v>
      </c>
      <c r="O114" s="484" t="s">
        <v>17</v>
      </c>
    </row>
    <row r="115" spans="1:15" s="161" customFormat="1" ht="46.5" thickBot="1">
      <c r="A115" s="603" t="s">
        <v>27</v>
      </c>
      <c r="B115" s="1408" t="s">
        <v>258</v>
      </c>
      <c r="C115" s="1409" t="s">
        <v>201</v>
      </c>
      <c r="D115" s="1412" t="s">
        <v>259</v>
      </c>
      <c r="E115" s="1412">
        <v>3</v>
      </c>
      <c r="F115" s="513" t="s">
        <v>200</v>
      </c>
      <c r="G115" s="1428" t="s">
        <v>201</v>
      </c>
      <c r="H115" s="1429" t="s">
        <v>260</v>
      </c>
      <c r="I115" s="1430">
        <v>50437466</v>
      </c>
      <c r="J115" s="528" t="s">
        <v>22</v>
      </c>
      <c r="K115" s="517">
        <v>40</v>
      </c>
      <c r="L115" s="529">
        <f>(3426.5-1663.2)*30</f>
        <v>52899</v>
      </c>
      <c r="M115" s="530"/>
      <c r="N115" s="530"/>
      <c r="O115" s="531">
        <f>L115</f>
        <v>52899</v>
      </c>
    </row>
    <row r="116" spans="2:15" ht="24.75" customHeight="1">
      <c r="B116" s="247" t="s">
        <v>23</v>
      </c>
      <c r="C116" s="248" t="s">
        <v>737</v>
      </c>
      <c r="D116" s="250"/>
      <c r="E116" s="56"/>
      <c r="G116" s="10" t="s">
        <v>1719</v>
      </c>
      <c r="H116" s="11" t="s">
        <v>258</v>
      </c>
      <c r="I116" s="12"/>
      <c r="N116" s="4" t="s">
        <v>24</v>
      </c>
      <c r="O116" s="598">
        <f>SUM(O115)</f>
        <v>52899</v>
      </c>
    </row>
    <row r="117" spans="2:9" ht="15">
      <c r="B117" s="251"/>
      <c r="C117" s="252" t="s">
        <v>1141</v>
      </c>
      <c r="D117" s="254"/>
      <c r="E117" s="56"/>
      <c r="G117" s="13"/>
      <c r="H117" s="14" t="s">
        <v>991</v>
      </c>
      <c r="I117" s="15"/>
    </row>
    <row r="118" spans="2:9" ht="15.75" thickBot="1">
      <c r="B118" s="197"/>
      <c r="C118" s="253" t="s">
        <v>738</v>
      </c>
      <c r="D118" s="254"/>
      <c r="E118" s="56"/>
      <c r="G118" s="73"/>
      <c r="H118" s="116" t="s">
        <v>738</v>
      </c>
      <c r="I118" s="18"/>
    </row>
    <row r="119" spans="2:5" ht="15">
      <c r="B119" s="624" t="s">
        <v>169</v>
      </c>
      <c r="C119" s="1351">
        <v>8222147185</v>
      </c>
      <c r="D119" s="254"/>
      <c r="E119" s="56"/>
    </row>
    <row r="120" spans="1:5" ht="15.75" thickBot="1">
      <c r="A120" s="295"/>
      <c r="B120" s="483" t="s">
        <v>1112</v>
      </c>
      <c r="C120" s="1353" t="s">
        <v>1142</v>
      </c>
      <c r="D120" s="258"/>
      <c r="E120" s="56"/>
    </row>
    <row r="122" ht="15" thickBot="1"/>
    <row r="123" spans="1:15" ht="37.5" customHeight="1">
      <c r="A123" s="1588" t="s">
        <v>7</v>
      </c>
      <c r="B123" s="1591" t="s">
        <v>664</v>
      </c>
      <c r="C123" s="1594" t="s">
        <v>9</v>
      </c>
      <c r="D123" s="1594" t="s">
        <v>10</v>
      </c>
      <c r="E123" s="1574" t="s">
        <v>844</v>
      </c>
      <c r="F123" s="1574" t="s">
        <v>12</v>
      </c>
      <c r="G123" s="1594" t="s">
        <v>13</v>
      </c>
      <c r="H123" s="1574" t="s">
        <v>14</v>
      </c>
      <c r="I123" s="1574" t="s">
        <v>282</v>
      </c>
      <c r="J123" s="1574" t="s">
        <v>60</v>
      </c>
      <c r="K123" s="1583" t="s">
        <v>666</v>
      </c>
      <c r="L123" s="1640" t="s">
        <v>667</v>
      </c>
      <c r="M123" s="1634"/>
      <c r="N123" s="1634"/>
      <c r="O123" s="1641"/>
    </row>
    <row r="124" spans="1:15" ht="36.75" customHeight="1">
      <c r="A124" s="1589"/>
      <c r="B124" s="1592"/>
      <c r="C124" s="1595"/>
      <c r="D124" s="1595"/>
      <c r="E124" s="1575"/>
      <c r="F124" s="1575"/>
      <c r="G124" s="1595"/>
      <c r="H124" s="1575"/>
      <c r="I124" s="1575"/>
      <c r="J124" s="1575"/>
      <c r="K124" s="1584"/>
      <c r="L124" s="1597" t="s">
        <v>668</v>
      </c>
      <c r="M124" s="1568"/>
      <c r="N124" s="1568"/>
      <c r="O124" s="1598"/>
    </row>
    <row r="125" spans="1:15" ht="25.5" customHeight="1" thickBot="1">
      <c r="A125" s="1590"/>
      <c r="B125" s="1593"/>
      <c r="C125" s="1596"/>
      <c r="D125" s="1596"/>
      <c r="E125" s="1576"/>
      <c r="F125" s="1576"/>
      <c r="G125" s="1596"/>
      <c r="H125" s="1576"/>
      <c r="I125" s="1576"/>
      <c r="J125" s="1576"/>
      <c r="K125" s="1585"/>
      <c r="L125" s="485" t="s">
        <v>669</v>
      </c>
      <c r="M125" s="486" t="s">
        <v>670</v>
      </c>
      <c r="N125" s="486" t="s">
        <v>671</v>
      </c>
      <c r="O125" s="484" t="s">
        <v>17</v>
      </c>
    </row>
    <row r="126" spans="1:15" s="161" customFormat="1" ht="31.5" thickBot="1">
      <c r="A126" s="603" t="s">
        <v>27</v>
      </c>
      <c r="B126" s="1408" t="s">
        <v>261</v>
      </c>
      <c r="C126" s="1409" t="s">
        <v>201</v>
      </c>
      <c r="D126" s="1410" t="s">
        <v>262</v>
      </c>
      <c r="E126" s="1411">
        <v>121</v>
      </c>
      <c r="F126" s="513" t="s">
        <v>200</v>
      </c>
      <c r="G126" s="513" t="s">
        <v>201</v>
      </c>
      <c r="H126" s="945" t="s">
        <v>263</v>
      </c>
      <c r="I126" s="525">
        <v>39306</v>
      </c>
      <c r="J126" s="516" t="s">
        <v>67</v>
      </c>
      <c r="K126" s="517">
        <v>15</v>
      </c>
      <c r="L126" s="523"/>
      <c r="M126" s="529">
        <f>22688-18759</f>
        <v>3929</v>
      </c>
      <c r="N126" s="529">
        <f>52834-44146</f>
        <v>8688</v>
      </c>
      <c r="O126" s="531">
        <f>SUM(M126:N126)</f>
        <v>12617</v>
      </c>
    </row>
    <row r="127" spans="2:15" ht="24" customHeight="1">
      <c r="B127" s="247" t="s">
        <v>23</v>
      </c>
      <c r="C127" s="248" t="s">
        <v>737</v>
      </c>
      <c r="D127" s="250"/>
      <c r="G127" s="10" t="s">
        <v>1719</v>
      </c>
      <c r="H127" s="12" t="s">
        <v>999</v>
      </c>
      <c r="N127" s="4" t="s">
        <v>24</v>
      </c>
      <c r="O127" s="598">
        <f>SUM(O126)</f>
        <v>12617</v>
      </c>
    </row>
    <row r="128" spans="2:8" ht="15">
      <c r="B128" s="251"/>
      <c r="C128" s="252" t="s">
        <v>1141</v>
      </c>
      <c r="D128" s="254"/>
      <c r="G128" s="13"/>
      <c r="H128" s="15" t="s">
        <v>1138</v>
      </c>
    </row>
    <row r="129" spans="2:8" ht="15.75" thickBot="1">
      <c r="B129" s="197"/>
      <c r="C129" s="253" t="s">
        <v>738</v>
      </c>
      <c r="D129" s="254"/>
      <c r="G129" s="73"/>
      <c r="H129" s="182" t="s">
        <v>738</v>
      </c>
    </row>
    <row r="130" spans="2:4" ht="15">
      <c r="B130" s="624" t="s">
        <v>169</v>
      </c>
      <c r="C130" s="1351">
        <v>8222147185</v>
      </c>
      <c r="D130" s="254"/>
    </row>
    <row r="131" spans="1:4" ht="15.75" thickBot="1">
      <c r="A131" s="295"/>
      <c r="B131" s="483" t="s">
        <v>1112</v>
      </c>
      <c r="C131" s="1353" t="s">
        <v>1142</v>
      </c>
      <c r="D131" s="258"/>
    </row>
    <row r="133" ht="15" thickBot="1"/>
    <row r="134" spans="1:15" ht="39.75" customHeight="1">
      <c r="A134" s="1588" t="s">
        <v>7</v>
      </c>
      <c r="B134" s="1591" t="s">
        <v>664</v>
      </c>
      <c r="C134" s="1594" t="s">
        <v>9</v>
      </c>
      <c r="D134" s="1594" t="s">
        <v>10</v>
      </c>
      <c r="E134" s="1574" t="s">
        <v>844</v>
      </c>
      <c r="F134" s="1574" t="s">
        <v>12</v>
      </c>
      <c r="G134" s="1594" t="s">
        <v>13</v>
      </c>
      <c r="H134" s="1574" t="s">
        <v>14</v>
      </c>
      <c r="I134" s="1574" t="s">
        <v>282</v>
      </c>
      <c r="J134" s="1574" t="s">
        <v>60</v>
      </c>
      <c r="K134" s="1583" t="s">
        <v>666</v>
      </c>
      <c r="L134" s="1640" t="s">
        <v>667</v>
      </c>
      <c r="M134" s="1634"/>
      <c r="N134" s="1634"/>
      <c r="O134" s="1641"/>
    </row>
    <row r="135" spans="1:15" ht="40.5" customHeight="1">
      <c r="A135" s="1589"/>
      <c r="B135" s="1592"/>
      <c r="C135" s="1595"/>
      <c r="D135" s="1595"/>
      <c r="E135" s="1575"/>
      <c r="F135" s="1575"/>
      <c r="G135" s="1595"/>
      <c r="H135" s="1575"/>
      <c r="I135" s="1575"/>
      <c r="J135" s="1575"/>
      <c r="K135" s="1584"/>
      <c r="L135" s="1597" t="s">
        <v>668</v>
      </c>
      <c r="M135" s="1568"/>
      <c r="N135" s="1568"/>
      <c r="O135" s="1598"/>
    </row>
    <row r="136" spans="1:15" ht="24.75" customHeight="1" thickBot="1">
      <c r="A136" s="1590"/>
      <c r="B136" s="1593"/>
      <c r="C136" s="1596"/>
      <c r="D136" s="1596"/>
      <c r="E136" s="1576"/>
      <c r="F136" s="1576"/>
      <c r="G136" s="1596"/>
      <c r="H136" s="1576"/>
      <c r="I136" s="1576"/>
      <c r="J136" s="1576"/>
      <c r="K136" s="1585"/>
      <c r="L136" s="485" t="s">
        <v>669</v>
      </c>
      <c r="M136" s="486" t="s">
        <v>670</v>
      </c>
      <c r="N136" s="486" t="s">
        <v>671</v>
      </c>
      <c r="O136" s="484" t="s">
        <v>17</v>
      </c>
    </row>
    <row r="137" spans="1:20" s="161" customFormat="1" ht="30.75">
      <c r="A137" s="603" t="s">
        <v>27</v>
      </c>
      <c r="B137" s="512" t="s">
        <v>264</v>
      </c>
      <c r="C137" s="513" t="s">
        <v>265</v>
      </c>
      <c r="D137" s="513"/>
      <c r="E137" s="513"/>
      <c r="F137" s="513" t="s">
        <v>266</v>
      </c>
      <c r="G137" s="513" t="s">
        <v>267</v>
      </c>
      <c r="H137" s="945" t="s">
        <v>268</v>
      </c>
      <c r="I137" s="515" t="s">
        <v>1523</v>
      </c>
      <c r="J137" s="528" t="s">
        <v>72</v>
      </c>
      <c r="K137" s="517">
        <v>115</v>
      </c>
      <c r="L137" s="532"/>
      <c r="M137" s="519">
        <f>(8031.34-6660.56)*80</f>
        <v>109662.39999999998</v>
      </c>
      <c r="N137" s="520">
        <f>(17606.02-14650.89)*80</f>
        <v>236410.40000000008</v>
      </c>
      <c r="O137" s="519">
        <f>M137+N137</f>
        <v>346072.80000000005</v>
      </c>
      <c r="P137" s="604"/>
      <c r="R137" s="604"/>
      <c r="S137" s="604"/>
      <c r="T137" s="604"/>
    </row>
    <row r="138" spans="1:19" s="161" customFormat="1" ht="30.75">
      <c r="A138" s="597" t="s">
        <v>27</v>
      </c>
      <c r="B138" s="128" t="s">
        <v>269</v>
      </c>
      <c r="C138" s="163" t="s">
        <v>201</v>
      </c>
      <c r="D138" s="129" t="s">
        <v>270</v>
      </c>
      <c r="E138" s="129">
        <v>1</v>
      </c>
      <c r="F138" s="129" t="s">
        <v>200</v>
      </c>
      <c r="G138" s="129" t="s">
        <v>201</v>
      </c>
      <c r="H138" s="805" t="s">
        <v>271</v>
      </c>
      <c r="I138" s="467" t="s">
        <v>1078</v>
      </c>
      <c r="J138" s="423" t="s">
        <v>272</v>
      </c>
      <c r="K138" s="133">
        <v>45</v>
      </c>
      <c r="L138" s="137"/>
      <c r="M138" s="135">
        <f>(62044.47-50700.42)*15</f>
        <v>170160.75000000006</v>
      </c>
      <c r="N138" s="136">
        <f>(36212.15-28733.25)*15</f>
        <v>112183.50000000003</v>
      </c>
      <c r="O138" s="519">
        <f>M138+N138</f>
        <v>282344.2500000001</v>
      </c>
      <c r="P138" s="604"/>
      <c r="R138" s="604"/>
      <c r="S138" s="604"/>
    </row>
    <row r="139" spans="1:15" s="161" customFormat="1" ht="18">
      <c r="A139" s="597" t="s">
        <v>27</v>
      </c>
      <c r="B139" s="128" t="s">
        <v>273</v>
      </c>
      <c r="C139" s="163" t="s">
        <v>201</v>
      </c>
      <c r="D139" s="129" t="s">
        <v>274</v>
      </c>
      <c r="E139" s="129"/>
      <c r="F139" s="129" t="s">
        <v>200</v>
      </c>
      <c r="G139" s="129" t="s">
        <v>201</v>
      </c>
      <c r="H139" s="805" t="s">
        <v>275</v>
      </c>
      <c r="I139" s="467" t="s">
        <v>1084</v>
      </c>
      <c r="J139" s="132" t="s">
        <v>67</v>
      </c>
      <c r="K139" s="133">
        <v>7</v>
      </c>
      <c r="L139" s="137"/>
      <c r="M139" s="135">
        <f>2023-1616</f>
        <v>407</v>
      </c>
      <c r="N139" s="136">
        <f>5301-4216</f>
        <v>1085</v>
      </c>
      <c r="O139" s="519">
        <f>M139+N139</f>
        <v>1492</v>
      </c>
    </row>
    <row r="140" spans="1:15" s="161" customFormat="1" ht="18">
      <c r="A140" s="597" t="s">
        <v>27</v>
      </c>
      <c r="B140" s="128" t="s">
        <v>273</v>
      </c>
      <c r="C140" s="607" t="s">
        <v>201</v>
      </c>
      <c r="D140" s="129" t="s">
        <v>276</v>
      </c>
      <c r="E140" s="129" t="s">
        <v>277</v>
      </c>
      <c r="F140" s="129" t="s">
        <v>200</v>
      </c>
      <c r="G140" s="129" t="s">
        <v>201</v>
      </c>
      <c r="H140" s="948" t="s">
        <v>278</v>
      </c>
      <c r="I140" s="467" t="s">
        <v>1085</v>
      </c>
      <c r="J140" s="132" t="s">
        <v>67</v>
      </c>
      <c r="K140" s="133">
        <v>15</v>
      </c>
      <c r="L140" s="608"/>
      <c r="M140" s="162">
        <f>5621-4574</f>
        <v>1047</v>
      </c>
      <c r="N140" s="136">
        <f>13836-11409</f>
        <v>2427</v>
      </c>
      <c r="O140" s="519">
        <f>M140+N140</f>
        <v>3474</v>
      </c>
    </row>
    <row r="141" spans="1:15" s="161" customFormat="1" ht="30.75">
      <c r="A141" s="603" t="s">
        <v>27</v>
      </c>
      <c r="B141" s="128" t="s">
        <v>273</v>
      </c>
      <c r="C141" s="163" t="s">
        <v>201</v>
      </c>
      <c r="D141" s="480" t="s">
        <v>1086</v>
      </c>
      <c r="E141" s="533"/>
      <c r="F141" s="524" t="s">
        <v>200</v>
      </c>
      <c r="G141" s="524" t="s">
        <v>201</v>
      </c>
      <c r="H141" s="970" t="s">
        <v>1087</v>
      </c>
      <c r="I141" s="527">
        <v>36919</v>
      </c>
      <c r="J141" s="605" t="s">
        <v>67</v>
      </c>
      <c r="K141" s="601">
        <v>13</v>
      </c>
      <c r="L141" s="606"/>
      <c r="M141" s="164">
        <f>3207-2667</f>
        <v>540</v>
      </c>
      <c r="N141" s="529">
        <f>7684-6337</f>
        <v>1347</v>
      </c>
      <c r="O141" s="519">
        <f>M141+N141</f>
        <v>1887</v>
      </c>
    </row>
    <row r="142" spans="1:15" s="161" customFormat="1" ht="18">
      <c r="A142" s="597" t="s">
        <v>27</v>
      </c>
      <c r="B142" s="128" t="s">
        <v>273</v>
      </c>
      <c r="C142" s="163" t="s">
        <v>201</v>
      </c>
      <c r="D142" s="162" t="s">
        <v>279</v>
      </c>
      <c r="E142" s="165" t="s">
        <v>1522</v>
      </c>
      <c r="F142" s="163" t="s">
        <v>200</v>
      </c>
      <c r="G142" s="163" t="s">
        <v>201</v>
      </c>
      <c r="H142" s="790" t="s">
        <v>1082</v>
      </c>
      <c r="I142" s="162">
        <v>70968377</v>
      </c>
      <c r="J142" s="424" t="s">
        <v>29</v>
      </c>
      <c r="K142" s="602">
        <v>13</v>
      </c>
      <c r="L142" s="166">
        <f>14646-11963</f>
        <v>2683</v>
      </c>
      <c r="M142" s="167"/>
      <c r="N142" s="167"/>
      <c r="O142" s="164">
        <f>L142</f>
        <v>2683</v>
      </c>
    </row>
    <row r="143" spans="1:15" s="161" customFormat="1" ht="18.75" thickBot="1">
      <c r="A143" s="597" t="s">
        <v>27</v>
      </c>
      <c r="B143" s="128" t="s">
        <v>273</v>
      </c>
      <c r="C143" s="163" t="s">
        <v>201</v>
      </c>
      <c r="D143" s="162" t="s">
        <v>279</v>
      </c>
      <c r="E143" s="165"/>
      <c r="F143" s="163" t="s">
        <v>200</v>
      </c>
      <c r="G143" s="163" t="s">
        <v>201</v>
      </c>
      <c r="H143" s="790" t="s">
        <v>1083</v>
      </c>
      <c r="I143" s="162">
        <v>70543097</v>
      </c>
      <c r="J143" s="424" t="s">
        <v>29</v>
      </c>
      <c r="K143" s="602">
        <v>13</v>
      </c>
      <c r="L143" s="166">
        <f>2012-1658</f>
        <v>354</v>
      </c>
      <c r="M143" s="167"/>
      <c r="N143" s="167"/>
      <c r="O143" s="164">
        <f>L143</f>
        <v>354</v>
      </c>
    </row>
    <row r="144" spans="2:15" s="151" customFormat="1" ht="24.75" customHeight="1">
      <c r="B144" s="247" t="s">
        <v>23</v>
      </c>
      <c r="C144" s="248" t="s">
        <v>737</v>
      </c>
      <c r="D144" s="250"/>
      <c r="G144" s="10" t="s">
        <v>1719</v>
      </c>
      <c r="H144" s="250" t="s">
        <v>720</v>
      </c>
      <c r="O144" s="609">
        <f>SUM(O137:O143)</f>
        <v>638307.0500000002</v>
      </c>
    </row>
    <row r="145" spans="1:17" s="151" customFormat="1" ht="18">
      <c r="A145" s="296"/>
      <c r="B145" s="251"/>
      <c r="C145" s="252" t="s">
        <v>1141</v>
      </c>
      <c r="D145" s="254"/>
      <c r="E145" s="170"/>
      <c r="F145" s="170"/>
      <c r="G145" s="1426"/>
      <c r="H145" s="254" t="s">
        <v>1077</v>
      </c>
      <c r="I145" s="171"/>
      <c r="J145" s="172"/>
      <c r="K145" s="170"/>
      <c r="L145" s="173"/>
      <c r="M145" s="168"/>
      <c r="N145" s="169"/>
      <c r="O145" s="168"/>
      <c r="P145" s="169"/>
      <c r="Q145" s="171"/>
    </row>
    <row r="146" spans="1:16" s="151" customFormat="1" ht="18.75" thickBot="1">
      <c r="A146" s="296"/>
      <c r="B146" s="197"/>
      <c r="C146" s="253" t="s">
        <v>738</v>
      </c>
      <c r="D146" s="254"/>
      <c r="E146" s="170"/>
      <c r="F146" s="170"/>
      <c r="G146" s="1427"/>
      <c r="H146" s="258" t="s">
        <v>738</v>
      </c>
      <c r="I146" s="171"/>
      <c r="J146" s="172"/>
      <c r="K146" s="170"/>
      <c r="L146" s="173"/>
      <c r="M146" s="168"/>
      <c r="N146" s="169"/>
      <c r="O146" s="168"/>
      <c r="P146" s="169"/>
    </row>
    <row r="147" spans="1:16" s="151" customFormat="1" ht="18">
      <c r="A147" s="296"/>
      <c r="B147" s="624" t="s">
        <v>169</v>
      </c>
      <c r="C147" s="1351">
        <v>8222147185</v>
      </c>
      <c r="D147" s="254"/>
      <c r="E147" s="170"/>
      <c r="F147" s="170"/>
      <c r="G147" s="170"/>
      <c r="H147" s="171"/>
      <c r="I147" s="171"/>
      <c r="J147" s="172"/>
      <c r="K147" s="170"/>
      <c r="L147" s="173"/>
      <c r="M147" s="168"/>
      <c r="N147" s="169"/>
      <c r="O147" s="168"/>
      <c r="P147" s="169"/>
    </row>
    <row r="148" spans="1:16" s="151" customFormat="1" ht="18.75" thickBot="1">
      <c r="A148" s="296"/>
      <c r="B148" s="483" t="s">
        <v>1112</v>
      </c>
      <c r="C148" s="1353" t="s">
        <v>1142</v>
      </c>
      <c r="D148" s="258"/>
      <c r="E148" s="170"/>
      <c r="F148" s="170"/>
      <c r="G148" s="170"/>
      <c r="H148" s="171"/>
      <c r="I148" s="171"/>
      <c r="J148" s="172"/>
      <c r="K148" s="170"/>
      <c r="L148" s="173"/>
      <c r="M148" s="168"/>
      <c r="N148" s="169"/>
      <c r="O148" s="168"/>
      <c r="P148" s="169"/>
    </row>
    <row r="149" spans="1:16" ht="14.25" customHeight="1" thickBot="1">
      <c r="A149" s="57"/>
      <c r="C149" s="56"/>
      <c r="M149" s="33"/>
      <c r="P149" s="33"/>
    </row>
    <row r="150" spans="1:15" ht="42" customHeight="1">
      <c r="A150" s="1588" t="s">
        <v>7</v>
      </c>
      <c r="B150" s="1591" t="s">
        <v>664</v>
      </c>
      <c r="C150" s="1594" t="s">
        <v>9</v>
      </c>
      <c r="D150" s="1594" t="s">
        <v>10</v>
      </c>
      <c r="E150" s="1574" t="s">
        <v>844</v>
      </c>
      <c r="F150" s="1574" t="s">
        <v>12</v>
      </c>
      <c r="G150" s="1594" t="s">
        <v>13</v>
      </c>
      <c r="H150" s="1574" t="s">
        <v>14</v>
      </c>
      <c r="I150" s="1574" t="s">
        <v>282</v>
      </c>
      <c r="J150" s="1574" t="s">
        <v>60</v>
      </c>
      <c r="K150" s="1583" t="s">
        <v>666</v>
      </c>
      <c r="L150" s="1640" t="s">
        <v>667</v>
      </c>
      <c r="M150" s="1634"/>
      <c r="N150" s="1634"/>
      <c r="O150" s="1641"/>
    </row>
    <row r="151" spans="1:15" ht="39" customHeight="1">
      <c r="A151" s="1589"/>
      <c r="B151" s="1592"/>
      <c r="C151" s="1595"/>
      <c r="D151" s="1595"/>
      <c r="E151" s="1575"/>
      <c r="F151" s="1575"/>
      <c r="G151" s="1595"/>
      <c r="H151" s="1575"/>
      <c r="I151" s="1575"/>
      <c r="J151" s="1575"/>
      <c r="K151" s="1584"/>
      <c r="L151" s="1597" t="s">
        <v>668</v>
      </c>
      <c r="M151" s="1568"/>
      <c r="N151" s="1568"/>
      <c r="O151" s="1598"/>
    </row>
    <row r="152" spans="1:15" ht="24.75" customHeight="1" thickBot="1">
      <c r="A152" s="1590"/>
      <c r="B152" s="1593"/>
      <c r="C152" s="1596"/>
      <c r="D152" s="1596"/>
      <c r="E152" s="1576"/>
      <c r="F152" s="1576"/>
      <c r="G152" s="1596"/>
      <c r="H152" s="1576"/>
      <c r="I152" s="1576"/>
      <c r="J152" s="1576"/>
      <c r="K152" s="1585"/>
      <c r="L152" s="485" t="s">
        <v>669</v>
      </c>
      <c r="M152" s="486" t="s">
        <v>670</v>
      </c>
      <c r="N152" s="486" t="s">
        <v>671</v>
      </c>
      <c r="O152" s="484" t="s">
        <v>17</v>
      </c>
    </row>
    <row r="153" spans="1:15" ht="39" customHeight="1" thickBot="1">
      <c r="A153" s="603" t="s">
        <v>27</v>
      </c>
      <c r="B153" s="371" t="s">
        <v>736</v>
      </c>
      <c r="C153" s="372" t="s">
        <v>201</v>
      </c>
      <c r="D153" s="372" t="s">
        <v>195</v>
      </c>
      <c r="E153" s="187">
        <v>36</v>
      </c>
      <c r="F153" s="187" t="s">
        <v>200</v>
      </c>
      <c r="G153" s="187" t="s">
        <v>201</v>
      </c>
      <c r="H153" s="734" t="s">
        <v>779</v>
      </c>
      <c r="I153" s="107">
        <v>248759</v>
      </c>
      <c r="J153" s="534" t="s">
        <v>29</v>
      </c>
      <c r="K153" s="274">
        <v>12</v>
      </c>
      <c r="L153" s="275">
        <f>9179-4770</f>
        <v>4409</v>
      </c>
      <c r="M153" s="276"/>
      <c r="N153" s="276"/>
      <c r="O153" s="275">
        <f>L153</f>
        <v>4409</v>
      </c>
    </row>
    <row r="154" spans="1:15" ht="23.25" customHeight="1">
      <c r="A154" s="1"/>
      <c r="B154" s="247" t="s">
        <v>23</v>
      </c>
      <c r="C154" s="248" t="s">
        <v>737</v>
      </c>
      <c r="D154" s="250"/>
      <c r="E154" s="1414"/>
      <c r="F154" s="1414"/>
      <c r="G154" s="10" t="s">
        <v>1719</v>
      </c>
      <c r="H154" s="1415" t="s">
        <v>737</v>
      </c>
      <c r="K154" s="112"/>
      <c r="M154" s="33"/>
      <c r="N154" s="146" t="s">
        <v>24</v>
      </c>
      <c r="O154" s="613">
        <f>SUM(O153)</f>
        <v>4409</v>
      </c>
    </row>
    <row r="155" spans="1:16" ht="15">
      <c r="A155" s="1"/>
      <c r="B155" s="251"/>
      <c r="C155" s="252" t="s">
        <v>1141</v>
      </c>
      <c r="D155" s="254"/>
      <c r="E155" s="1414"/>
      <c r="F155" s="1414"/>
      <c r="G155" s="197"/>
      <c r="H155" s="1416" t="s">
        <v>1141</v>
      </c>
      <c r="K155" s="112"/>
      <c r="M155" s="33"/>
      <c r="N155" s="33"/>
      <c r="O155" s="33"/>
      <c r="P155" s="33"/>
    </row>
    <row r="156" spans="2:8" ht="15.75" thickBot="1">
      <c r="B156" s="197"/>
      <c r="C156" s="253" t="s">
        <v>738</v>
      </c>
      <c r="D156" s="254"/>
      <c r="E156" s="1414"/>
      <c r="F156" s="1414"/>
      <c r="G156" s="198"/>
      <c r="H156" s="258" t="s">
        <v>738</v>
      </c>
    </row>
    <row r="157" spans="2:8" ht="15">
      <c r="B157" s="624" t="s">
        <v>851</v>
      </c>
      <c r="C157" s="1351">
        <v>8222147185</v>
      </c>
      <c r="D157" s="254"/>
      <c r="E157" s="1414"/>
      <c r="F157" s="1414"/>
      <c r="G157" s="1414"/>
      <c r="H157" s="1414"/>
    </row>
    <row r="158" spans="1:8" ht="15.75" thickBot="1">
      <c r="A158" s="295"/>
      <c r="B158" s="483" t="s">
        <v>1112</v>
      </c>
      <c r="C158" s="1353" t="s">
        <v>1142</v>
      </c>
      <c r="D158" s="258"/>
      <c r="E158" s="1414"/>
      <c r="F158" s="1414"/>
      <c r="G158" s="1414"/>
      <c r="H158" s="1414"/>
    </row>
    <row r="159" spans="1:4" ht="14.25">
      <c r="A159" s="295"/>
      <c r="B159" s="56"/>
      <c r="C159" s="56"/>
      <c r="D159" s="56"/>
    </row>
    <row r="160" ht="15" thickBot="1">
      <c r="A160" s="295"/>
    </row>
    <row r="161" spans="1:21" ht="44.25" customHeight="1">
      <c r="A161" s="1580" t="s">
        <v>7</v>
      </c>
      <c r="B161" s="1574" t="s">
        <v>8</v>
      </c>
      <c r="C161" s="1574" t="s">
        <v>9</v>
      </c>
      <c r="D161" s="1574" t="s">
        <v>10</v>
      </c>
      <c r="E161" s="1574" t="s">
        <v>844</v>
      </c>
      <c r="F161" s="1574" t="s">
        <v>12</v>
      </c>
      <c r="G161" s="1574" t="s">
        <v>13</v>
      </c>
      <c r="H161" s="1571" t="s">
        <v>14</v>
      </c>
      <c r="I161" s="1571" t="s">
        <v>282</v>
      </c>
      <c r="J161" s="1571" t="s">
        <v>60</v>
      </c>
      <c r="K161" s="1650" t="s">
        <v>16</v>
      </c>
      <c r="L161" s="1570" t="s">
        <v>672</v>
      </c>
      <c r="M161" s="1570"/>
      <c r="N161" s="1570"/>
      <c r="O161" s="1587"/>
      <c r="P161" s="629"/>
      <c r="Q161" s="629"/>
      <c r="R161" s="629"/>
      <c r="S161" s="629"/>
      <c r="T161" s="630"/>
      <c r="U161" s="630"/>
    </row>
    <row r="162" spans="1:21" ht="14.25">
      <c r="A162" s="1581"/>
      <c r="B162" s="1575"/>
      <c r="C162" s="1575"/>
      <c r="D162" s="1575"/>
      <c r="E162" s="1575"/>
      <c r="F162" s="1575"/>
      <c r="G162" s="1575"/>
      <c r="H162" s="1572"/>
      <c r="I162" s="1572"/>
      <c r="J162" s="1572"/>
      <c r="K162" s="1651"/>
      <c r="L162" s="1568" t="s">
        <v>669</v>
      </c>
      <c r="M162" s="1568" t="s">
        <v>670</v>
      </c>
      <c r="N162" s="1568" t="s">
        <v>671</v>
      </c>
      <c r="O162" s="1598" t="s">
        <v>674</v>
      </c>
      <c r="P162" s="629"/>
      <c r="Q162" s="629"/>
      <c r="R162" s="629"/>
      <c r="S162" s="629"/>
      <c r="T162" s="630"/>
      <c r="U162" s="630"/>
    </row>
    <row r="163" spans="1:21" ht="15" thickBot="1">
      <c r="A163" s="1582"/>
      <c r="B163" s="1576"/>
      <c r="C163" s="1576"/>
      <c r="D163" s="1576"/>
      <c r="E163" s="1576"/>
      <c r="F163" s="1576"/>
      <c r="G163" s="1576"/>
      <c r="H163" s="1573"/>
      <c r="I163" s="1573"/>
      <c r="J163" s="1573"/>
      <c r="K163" s="1662"/>
      <c r="L163" s="1569"/>
      <c r="M163" s="1569"/>
      <c r="N163" s="1569"/>
      <c r="O163" s="1648"/>
      <c r="P163" s="629"/>
      <c r="Q163" s="629"/>
      <c r="R163" s="629"/>
      <c r="S163" s="629"/>
      <c r="T163" s="630"/>
      <c r="U163" s="630"/>
    </row>
    <row r="164" spans="1:21" ht="18">
      <c r="A164" s="603" t="s">
        <v>27</v>
      </c>
      <c r="B164" s="187" t="s">
        <v>737</v>
      </c>
      <c r="C164" s="187" t="s">
        <v>774</v>
      </c>
      <c r="D164" s="187"/>
      <c r="E164" s="107" t="s">
        <v>775</v>
      </c>
      <c r="F164" s="107" t="s">
        <v>212</v>
      </c>
      <c r="G164" s="107" t="s">
        <v>213</v>
      </c>
      <c r="H164" s="734" t="s">
        <v>1147</v>
      </c>
      <c r="I164" s="107">
        <v>13351131</v>
      </c>
      <c r="J164" s="552" t="s">
        <v>29</v>
      </c>
      <c r="K164" s="694">
        <v>5</v>
      </c>
      <c r="L164" s="275">
        <f>13731-12414</f>
        <v>1317</v>
      </c>
      <c r="M164" s="276"/>
      <c r="N164" s="276"/>
      <c r="O164" s="275">
        <f>L164</f>
        <v>1317</v>
      </c>
      <c r="P164" s="61"/>
      <c r="Q164" s="61"/>
      <c r="R164" s="61"/>
      <c r="S164" s="61"/>
      <c r="T164" s="59"/>
      <c r="U164" s="59"/>
    </row>
    <row r="165" spans="1:21" ht="18">
      <c r="A165" s="597" t="s">
        <v>27</v>
      </c>
      <c r="B165" s="4" t="s">
        <v>737</v>
      </c>
      <c r="C165" s="4" t="s">
        <v>217</v>
      </c>
      <c r="D165" s="4" t="s">
        <v>252</v>
      </c>
      <c r="E165" s="4"/>
      <c r="F165" s="24" t="s">
        <v>200</v>
      </c>
      <c r="G165" s="24" t="s">
        <v>201</v>
      </c>
      <c r="H165" s="719" t="s">
        <v>1146</v>
      </c>
      <c r="I165" s="24">
        <v>70968774</v>
      </c>
      <c r="J165" s="505" t="s">
        <v>29</v>
      </c>
      <c r="K165" s="695">
        <v>20</v>
      </c>
      <c r="L165" s="34">
        <f>25362-16476</f>
        <v>8886</v>
      </c>
      <c r="M165" s="35"/>
      <c r="N165" s="35"/>
      <c r="O165" s="34">
        <f>L165</f>
        <v>8886</v>
      </c>
      <c r="P165" s="61"/>
      <c r="Q165" s="61"/>
      <c r="R165" s="61"/>
      <c r="S165" s="61"/>
      <c r="T165" s="59"/>
      <c r="U165" s="59"/>
    </row>
    <row r="166" spans="1:21" ht="18">
      <c r="A166" s="597" t="s">
        <v>27</v>
      </c>
      <c r="B166" s="4" t="s">
        <v>737</v>
      </c>
      <c r="C166" s="4" t="s">
        <v>201</v>
      </c>
      <c r="D166" s="4" t="s">
        <v>276</v>
      </c>
      <c r="E166" s="4"/>
      <c r="F166" s="24" t="s">
        <v>200</v>
      </c>
      <c r="G166" s="24" t="s">
        <v>201</v>
      </c>
      <c r="H166" s="719" t="s">
        <v>1148</v>
      </c>
      <c r="I166" s="24">
        <v>118149</v>
      </c>
      <c r="J166" s="505" t="s">
        <v>29</v>
      </c>
      <c r="K166" s="695">
        <v>14</v>
      </c>
      <c r="L166" s="34">
        <f>22259-12237</f>
        <v>10022</v>
      </c>
      <c r="M166" s="35"/>
      <c r="N166" s="35"/>
      <c r="O166" s="34">
        <f>L166</f>
        <v>10022</v>
      </c>
      <c r="P166" s="61"/>
      <c r="Q166" s="61"/>
      <c r="R166" s="61"/>
      <c r="S166" s="61"/>
      <c r="T166" s="59"/>
      <c r="U166" s="59"/>
    </row>
    <row r="167" spans="1:21" ht="18.75" thickBot="1">
      <c r="A167" s="597" t="s">
        <v>27</v>
      </c>
      <c r="B167" s="834" t="s">
        <v>244</v>
      </c>
      <c r="C167" s="835" t="s">
        <v>201</v>
      </c>
      <c r="D167" s="139" t="s">
        <v>172</v>
      </c>
      <c r="E167" s="139" t="s">
        <v>245</v>
      </c>
      <c r="F167" s="778" t="s">
        <v>200</v>
      </c>
      <c r="G167" s="139" t="s">
        <v>201</v>
      </c>
      <c r="H167" s="1111" t="s">
        <v>246</v>
      </c>
      <c r="I167" s="497" t="s">
        <v>988</v>
      </c>
      <c r="J167" s="142" t="s">
        <v>67</v>
      </c>
      <c r="K167" s="143">
        <v>31</v>
      </c>
      <c r="L167" s="159"/>
      <c r="M167" s="149">
        <f>10127-8273</f>
        <v>1854</v>
      </c>
      <c r="N167" s="149">
        <f>17394-14337</f>
        <v>3057</v>
      </c>
      <c r="O167" s="150">
        <f>SUM(M167:N167)</f>
        <v>4911</v>
      </c>
      <c r="P167" s="61"/>
      <c r="Q167" s="61"/>
      <c r="R167" s="61"/>
      <c r="S167" s="61"/>
      <c r="T167" s="59"/>
      <c r="U167" s="59"/>
    </row>
    <row r="168" spans="1:21" ht="22.5" customHeight="1">
      <c r="A168" s="295"/>
      <c r="B168" s="247" t="s">
        <v>23</v>
      </c>
      <c r="C168" s="248" t="s">
        <v>737</v>
      </c>
      <c r="D168" s="250"/>
      <c r="E168" s="1414"/>
      <c r="F168" s="1414"/>
      <c r="G168" s="10" t="s">
        <v>1719</v>
      </c>
      <c r="H168" s="1415" t="s">
        <v>737</v>
      </c>
      <c r="L168" s="33"/>
      <c r="M168" s="33"/>
      <c r="N168" s="146" t="s">
        <v>24</v>
      </c>
      <c r="O168" s="598">
        <f>SUM(O164:O167)</f>
        <v>25136</v>
      </c>
      <c r="P168" s="61"/>
      <c r="Q168" s="61"/>
      <c r="R168" s="168"/>
      <c r="S168" s="61"/>
      <c r="T168" s="59"/>
      <c r="U168" s="59"/>
    </row>
    <row r="169" spans="2:21" ht="15">
      <c r="B169" s="251"/>
      <c r="C169" s="252" t="s">
        <v>1141</v>
      </c>
      <c r="D169" s="254"/>
      <c r="E169" s="1414"/>
      <c r="F169" s="1414"/>
      <c r="G169" s="197"/>
      <c r="H169" s="1416" t="s">
        <v>1141</v>
      </c>
      <c r="L169" s="33"/>
      <c r="M169" s="33"/>
      <c r="N169" s="33"/>
      <c r="P169" s="59"/>
      <c r="Q169" s="61"/>
      <c r="R169" s="61"/>
      <c r="S169" s="61"/>
      <c r="T169" s="59"/>
      <c r="U169" s="59"/>
    </row>
    <row r="170" spans="2:19" ht="15.75" thickBot="1">
      <c r="B170" s="197"/>
      <c r="C170" s="253" t="s">
        <v>738</v>
      </c>
      <c r="D170" s="254"/>
      <c r="E170" s="1414"/>
      <c r="F170" s="1414"/>
      <c r="G170" s="198"/>
      <c r="H170" s="258" t="s">
        <v>738</v>
      </c>
      <c r="L170" s="33"/>
      <c r="M170" s="33"/>
      <c r="P170" s="33"/>
      <c r="Q170" s="33"/>
      <c r="R170" s="33"/>
      <c r="S170" s="33"/>
    </row>
    <row r="171" spans="2:19" ht="15">
      <c r="B171" s="624" t="s">
        <v>851</v>
      </c>
      <c r="C171" s="1351">
        <v>8222147185</v>
      </c>
      <c r="D171" s="254"/>
      <c r="E171" s="1414"/>
      <c r="F171" s="1414"/>
      <c r="G171" s="1414"/>
      <c r="H171" s="1414"/>
      <c r="Q171" s="33"/>
      <c r="R171" s="33"/>
      <c r="S171" s="33"/>
    </row>
    <row r="172" spans="1:19" ht="15.75" thickBot="1">
      <c r="A172" s="295"/>
      <c r="B172" s="483" t="s">
        <v>1112</v>
      </c>
      <c r="C172" s="1353" t="s">
        <v>1142</v>
      </c>
      <c r="D172" s="258"/>
      <c r="E172" s="1414"/>
      <c r="F172" s="1414"/>
      <c r="G172" s="1414"/>
      <c r="H172" s="1414"/>
      <c r="Q172" s="33"/>
      <c r="R172" s="33"/>
      <c r="S172" s="33"/>
    </row>
    <row r="173" spans="1:19" ht="14.25">
      <c r="A173" s="766"/>
      <c r="B173" s="614"/>
      <c r="C173" s="345"/>
      <c r="D173" s="56"/>
      <c r="Q173" s="33"/>
      <c r="R173" s="33"/>
      <c r="S173" s="33"/>
    </row>
    <row r="174" spans="1:19" ht="15" thickBot="1">
      <c r="A174" s="766"/>
      <c r="B174" s="614"/>
      <c r="C174" s="345"/>
      <c r="D174" s="56"/>
      <c r="Q174" s="33"/>
      <c r="R174" s="33"/>
      <c r="S174" s="33"/>
    </row>
    <row r="175" spans="1:19" ht="50.25" customHeight="1">
      <c r="A175" s="1580" t="s">
        <v>7</v>
      </c>
      <c r="B175" s="1574" t="s">
        <v>8</v>
      </c>
      <c r="C175" s="1574" t="s">
        <v>9</v>
      </c>
      <c r="D175" s="1574" t="s">
        <v>10</v>
      </c>
      <c r="E175" s="1574" t="s">
        <v>844</v>
      </c>
      <c r="F175" s="1574" t="s">
        <v>12</v>
      </c>
      <c r="G175" s="1574" t="s">
        <v>13</v>
      </c>
      <c r="H175" s="1571" t="s">
        <v>14</v>
      </c>
      <c r="I175" s="1571" t="s">
        <v>282</v>
      </c>
      <c r="J175" s="1571" t="s">
        <v>60</v>
      </c>
      <c r="K175" s="1650" t="s">
        <v>16</v>
      </c>
      <c r="L175" s="1570" t="s">
        <v>672</v>
      </c>
      <c r="M175" s="1570"/>
      <c r="N175" s="1570"/>
      <c r="O175" s="1587"/>
      <c r="Q175" s="33"/>
      <c r="R175" s="33"/>
      <c r="S175" s="33"/>
    </row>
    <row r="176" spans="1:19" ht="20.25" customHeight="1">
      <c r="A176" s="1581"/>
      <c r="B176" s="1575"/>
      <c r="C176" s="1575"/>
      <c r="D176" s="1575"/>
      <c r="E176" s="1575"/>
      <c r="F176" s="1575"/>
      <c r="G176" s="1575"/>
      <c r="H176" s="1572"/>
      <c r="I176" s="1572"/>
      <c r="J176" s="1572"/>
      <c r="K176" s="1651"/>
      <c r="L176" s="1568" t="s">
        <v>669</v>
      </c>
      <c r="M176" s="1568" t="s">
        <v>670</v>
      </c>
      <c r="N176" s="1568" t="s">
        <v>671</v>
      </c>
      <c r="O176" s="1598" t="s">
        <v>674</v>
      </c>
      <c r="Q176" s="33"/>
      <c r="R176" s="33"/>
      <c r="S176" s="33"/>
    </row>
    <row r="177" spans="1:19" ht="15" thickBot="1">
      <c r="A177" s="1582"/>
      <c r="B177" s="1649"/>
      <c r="C177" s="1649"/>
      <c r="D177" s="1649"/>
      <c r="E177" s="1649"/>
      <c r="F177" s="1649"/>
      <c r="G177" s="1649"/>
      <c r="H177" s="1572"/>
      <c r="I177" s="1572"/>
      <c r="J177" s="1572"/>
      <c r="K177" s="1651"/>
      <c r="L177" s="1652"/>
      <c r="M177" s="1652"/>
      <c r="N177" s="1652"/>
      <c r="O177" s="1653"/>
      <c r="Q177" s="33"/>
      <c r="R177" s="33"/>
      <c r="S177" s="33"/>
    </row>
    <row r="178" spans="1:19" ht="33.75" customHeight="1">
      <c r="A178" s="603" t="s">
        <v>27</v>
      </c>
      <c r="B178" s="773" t="s">
        <v>1400</v>
      </c>
      <c r="C178" s="776" t="s">
        <v>201</v>
      </c>
      <c r="D178" s="767" t="s">
        <v>259</v>
      </c>
      <c r="E178" s="773">
        <v>7</v>
      </c>
      <c r="F178" s="777" t="s">
        <v>200</v>
      </c>
      <c r="G178" s="163" t="s">
        <v>201</v>
      </c>
      <c r="H178" s="942" t="s">
        <v>1251</v>
      </c>
      <c r="I178" s="162">
        <v>4143383</v>
      </c>
      <c r="J178" s="779" t="s">
        <v>22</v>
      </c>
      <c r="K178" s="780">
        <v>85</v>
      </c>
      <c r="L178" s="774">
        <v>115000</v>
      </c>
      <c r="M178" s="167"/>
      <c r="N178" s="167"/>
      <c r="O178" s="943">
        <f>L178</f>
        <v>115000</v>
      </c>
      <c r="Q178" s="33"/>
      <c r="R178" s="33"/>
      <c r="S178" s="33"/>
    </row>
    <row r="179" spans="1:18" ht="36.75" customHeight="1" thickBot="1">
      <c r="A179" s="597" t="s">
        <v>27</v>
      </c>
      <c r="B179" s="834" t="s">
        <v>1401</v>
      </c>
      <c r="C179" s="835" t="s">
        <v>201</v>
      </c>
      <c r="D179" s="139" t="s">
        <v>223</v>
      </c>
      <c r="E179" s="141">
        <v>4</v>
      </c>
      <c r="F179" s="778" t="s">
        <v>200</v>
      </c>
      <c r="G179" s="772" t="s">
        <v>201</v>
      </c>
      <c r="H179" s="1424" t="s">
        <v>236</v>
      </c>
      <c r="I179" s="1425">
        <v>39310</v>
      </c>
      <c r="J179" s="142" t="s">
        <v>67</v>
      </c>
      <c r="K179" s="143">
        <v>5</v>
      </c>
      <c r="L179" s="159"/>
      <c r="M179" s="149">
        <f>15182-13062</f>
        <v>2120</v>
      </c>
      <c r="N179" s="149">
        <f>39716-33844</f>
        <v>5872</v>
      </c>
      <c r="O179" s="150">
        <f>SUM(M179:N179)</f>
        <v>7992</v>
      </c>
      <c r="P179" s="33"/>
      <c r="Q179" s="33"/>
      <c r="R179" s="33"/>
    </row>
    <row r="180" spans="1:19" ht="22.5" customHeight="1">
      <c r="A180" s="766"/>
      <c r="B180" s="247" t="s">
        <v>23</v>
      </c>
      <c r="C180" s="248" t="s">
        <v>737</v>
      </c>
      <c r="D180" s="250"/>
      <c r="E180" s="56"/>
      <c r="G180" s="10" t="s">
        <v>1719</v>
      </c>
      <c r="H180" s="122" t="s">
        <v>1304</v>
      </c>
      <c r="I180" s="12"/>
      <c r="N180" s="146" t="s">
        <v>24</v>
      </c>
      <c r="O180" s="775">
        <f>SUM(O178:O179)</f>
        <v>122992</v>
      </c>
      <c r="Q180" s="33"/>
      <c r="R180" s="33"/>
      <c r="S180" s="33"/>
    </row>
    <row r="181" spans="1:19" ht="15">
      <c r="A181" s="766"/>
      <c r="B181" s="251"/>
      <c r="C181" s="252" t="s">
        <v>1141</v>
      </c>
      <c r="D181" s="254"/>
      <c r="E181" s="56"/>
      <c r="G181" s="13"/>
      <c r="H181" s="724" t="s">
        <v>1305</v>
      </c>
      <c r="I181" s="15"/>
      <c r="Q181" s="33"/>
      <c r="R181" s="33"/>
      <c r="S181" s="33"/>
    </row>
    <row r="182" spans="1:19" ht="15.75" thickBot="1">
      <c r="A182" s="766"/>
      <c r="B182" s="197"/>
      <c r="C182" s="253" t="s">
        <v>738</v>
      </c>
      <c r="D182" s="254"/>
      <c r="E182" s="56"/>
      <c r="G182" s="73"/>
      <c r="H182" s="726" t="s">
        <v>738</v>
      </c>
      <c r="I182" s="18"/>
      <c r="Q182" s="33"/>
      <c r="R182" s="33"/>
      <c r="S182" s="33"/>
    </row>
    <row r="183" spans="1:19" ht="15">
      <c r="A183" s="766"/>
      <c r="B183" s="624" t="s">
        <v>169</v>
      </c>
      <c r="C183" s="1351">
        <v>8222147185</v>
      </c>
      <c r="D183" s="254"/>
      <c r="E183" s="56"/>
      <c r="Q183" s="33"/>
      <c r="R183" s="33"/>
      <c r="S183" s="33"/>
    </row>
    <row r="184" spans="1:19" ht="15.75" thickBot="1">
      <c r="A184" s="766"/>
      <c r="B184" s="483" t="s">
        <v>1112</v>
      </c>
      <c r="C184" s="1353" t="s">
        <v>1142</v>
      </c>
      <c r="D184" s="258"/>
      <c r="E184" s="56"/>
      <c r="Q184" s="33"/>
      <c r="R184" s="33"/>
      <c r="S184" s="33"/>
    </row>
    <row r="185" spans="1:19" ht="14.25">
      <c r="A185" s="766"/>
      <c r="B185" s="614"/>
      <c r="C185" s="345"/>
      <c r="D185" s="56"/>
      <c r="E185" s="56"/>
      <c r="Q185" s="33"/>
      <c r="R185" s="33"/>
      <c r="S185" s="33"/>
    </row>
    <row r="186" spans="1:19" ht="15" thickBot="1">
      <c r="A186" s="929"/>
      <c r="B186" s="614"/>
      <c r="C186" s="345"/>
      <c r="D186" s="56"/>
      <c r="E186" s="56"/>
      <c r="Q186" s="33"/>
      <c r="R186" s="33"/>
      <c r="S186" s="33"/>
    </row>
    <row r="187" spans="1:19" ht="54.75" customHeight="1">
      <c r="A187" s="1580" t="s">
        <v>7</v>
      </c>
      <c r="B187" s="1574" t="s">
        <v>8</v>
      </c>
      <c r="C187" s="1574" t="s">
        <v>9</v>
      </c>
      <c r="D187" s="1574" t="s">
        <v>10</v>
      </c>
      <c r="E187" s="1574" t="s">
        <v>844</v>
      </c>
      <c r="F187" s="1574" t="s">
        <v>12</v>
      </c>
      <c r="G187" s="1574" t="s">
        <v>13</v>
      </c>
      <c r="H187" s="1571" t="s">
        <v>14</v>
      </c>
      <c r="I187" s="1571" t="s">
        <v>282</v>
      </c>
      <c r="J187" s="1571" t="s">
        <v>60</v>
      </c>
      <c r="K187" s="1650" t="s">
        <v>16</v>
      </c>
      <c r="L187" s="1570" t="s">
        <v>672</v>
      </c>
      <c r="M187" s="1570"/>
      <c r="N187" s="1570"/>
      <c r="O187" s="1587"/>
      <c r="Q187" s="33"/>
      <c r="R187" s="33"/>
      <c r="S187" s="33"/>
    </row>
    <row r="188" spans="1:19" ht="54.75" customHeight="1">
      <c r="A188" s="1581"/>
      <c r="B188" s="1575"/>
      <c r="C188" s="1575"/>
      <c r="D188" s="1575"/>
      <c r="E188" s="1575"/>
      <c r="F188" s="1575"/>
      <c r="G188" s="1575"/>
      <c r="H188" s="1572"/>
      <c r="I188" s="1572"/>
      <c r="J188" s="1572"/>
      <c r="K188" s="1651"/>
      <c r="L188" s="1568" t="s">
        <v>669</v>
      </c>
      <c r="M188" s="1568" t="s">
        <v>670</v>
      </c>
      <c r="N188" s="1568" t="s">
        <v>671</v>
      </c>
      <c r="O188" s="1598" t="s">
        <v>674</v>
      </c>
      <c r="Q188" s="33"/>
      <c r="R188" s="33"/>
      <c r="S188" s="33"/>
    </row>
    <row r="189" spans="1:19" ht="14.25">
      <c r="A189" s="1633"/>
      <c r="B189" s="1649"/>
      <c r="C189" s="1649"/>
      <c r="D189" s="1649"/>
      <c r="E189" s="1649"/>
      <c r="F189" s="1649"/>
      <c r="G189" s="1649"/>
      <c r="H189" s="1572"/>
      <c r="I189" s="1572"/>
      <c r="J189" s="1572"/>
      <c r="K189" s="1651"/>
      <c r="L189" s="1652"/>
      <c r="M189" s="1652"/>
      <c r="N189" s="1652"/>
      <c r="O189" s="1653"/>
      <c r="Q189" s="33"/>
      <c r="R189" s="33"/>
      <c r="S189" s="33"/>
    </row>
    <row r="190" spans="1:19" ht="34.5" customHeight="1" thickBot="1">
      <c r="A190" s="597" t="s">
        <v>27</v>
      </c>
      <c r="B190" s="938"/>
      <c r="C190" s="205" t="s">
        <v>201</v>
      </c>
      <c r="D190" s="205" t="s">
        <v>262</v>
      </c>
      <c r="E190" s="939">
        <v>12</v>
      </c>
      <c r="F190" s="188" t="s">
        <v>200</v>
      </c>
      <c r="G190" s="195" t="s">
        <v>201</v>
      </c>
      <c r="H190" s="1422" t="s">
        <v>1001</v>
      </c>
      <c r="I190" s="1423">
        <v>218240</v>
      </c>
      <c r="J190" s="940" t="s">
        <v>29</v>
      </c>
      <c r="K190" s="1018">
        <v>15</v>
      </c>
      <c r="L190" s="941">
        <f>7484-4035</f>
        <v>3449</v>
      </c>
      <c r="M190" s="412"/>
      <c r="N190" s="412"/>
      <c r="O190" s="941">
        <f>L190</f>
        <v>3449</v>
      </c>
      <c r="Q190" s="33"/>
      <c r="R190" s="33"/>
      <c r="S190" s="33"/>
    </row>
    <row r="191" spans="1:19" ht="15.75">
      <c r="A191" s="929"/>
      <c r="B191" s="247" t="s">
        <v>23</v>
      </c>
      <c r="C191" s="248" t="s">
        <v>737</v>
      </c>
      <c r="D191" s="250"/>
      <c r="E191" s="56"/>
      <c r="G191" s="10" t="s">
        <v>1719</v>
      </c>
      <c r="H191" s="122" t="s">
        <v>1459</v>
      </c>
      <c r="I191" s="12"/>
      <c r="N191" s="146" t="s">
        <v>24</v>
      </c>
      <c r="O191" s="775">
        <f>SUM(O190)</f>
        <v>3449</v>
      </c>
      <c r="Q191" s="33"/>
      <c r="R191" s="33"/>
      <c r="S191" s="33"/>
    </row>
    <row r="192" spans="1:19" ht="15">
      <c r="A192" s="929"/>
      <c r="B192" s="251"/>
      <c r="C192" s="252" t="s">
        <v>1141</v>
      </c>
      <c r="D192" s="254"/>
      <c r="E192" s="56"/>
      <c r="G192" s="13"/>
      <c r="H192" s="724" t="s">
        <v>1460</v>
      </c>
      <c r="I192" s="15"/>
      <c r="Q192" s="33"/>
      <c r="R192" s="33"/>
      <c r="S192" s="33"/>
    </row>
    <row r="193" spans="1:19" ht="15.75" thickBot="1">
      <c r="A193" s="1372"/>
      <c r="B193" s="197"/>
      <c r="C193" s="253" t="s">
        <v>738</v>
      </c>
      <c r="D193" s="254"/>
      <c r="E193" s="56"/>
      <c r="G193" s="73"/>
      <c r="H193" s="726" t="s">
        <v>738</v>
      </c>
      <c r="I193" s="18"/>
      <c r="Q193" s="33"/>
      <c r="R193" s="33"/>
      <c r="S193" s="33"/>
    </row>
    <row r="194" spans="1:19" ht="15">
      <c r="A194" s="1372"/>
      <c r="B194" s="624" t="s">
        <v>169</v>
      </c>
      <c r="C194" s="1351">
        <v>8222147185</v>
      </c>
      <c r="D194" s="254"/>
      <c r="E194" s="56"/>
      <c r="H194" s="345"/>
      <c r="Q194" s="33"/>
      <c r="R194" s="33"/>
      <c r="S194" s="33"/>
    </row>
    <row r="195" spans="1:19" ht="15.75" thickBot="1">
      <c r="A195" s="929"/>
      <c r="B195" s="483" t="s">
        <v>1112</v>
      </c>
      <c r="C195" s="1353" t="s">
        <v>1142</v>
      </c>
      <c r="D195" s="258"/>
      <c r="E195" s="56"/>
      <c r="Q195" s="33"/>
      <c r="R195" s="33"/>
      <c r="S195" s="33"/>
    </row>
    <row r="196" spans="1:19" ht="17.25" customHeight="1">
      <c r="A196" s="929"/>
      <c r="B196" s="614"/>
      <c r="C196" s="345"/>
      <c r="D196" s="56"/>
      <c r="E196" s="56"/>
      <c r="Q196" s="33"/>
      <c r="R196" s="33"/>
      <c r="S196" s="33"/>
    </row>
    <row r="197" spans="1:19" ht="17.25" customHeight="1" thickBot="1">
      <c r="A197" s="967"/>
      <c r="B197" s="614"/>
      <c r="C197" s="345"/>
      <c r="D197" s="56"/>
      <c r="E197" s="56"/>
      <c r="Q197" s="33"/>
      <c r="R197" s="33"/>
      <c r="S197" s="33"/>
    </row>
    <row r="198" spans="1:19" ht="51" customHeight="1">
      <c r="A198" s="1580" t="s">
        <v>7</v>
      </c>
      <c r="B198" s="1574" t="s">
        <v>8</v>
      </c>
      <c r="C198" s="1574" t="s">
        <v>9</v>
      </c>
      <c r="D198" s="1574" t="s">
        <v>10</v>
      </c>
      <c r="E198" s="1574" t="s">
        <v>844</v>
      </c>
      <c r="F198" s="1574" t="s">
        <v>12</v>
      </c>
      <c r="G198" s="1574" t="s">
        <v>13</v>
      </c>
      <c r="H198" s="1571" t="s">
        <v>14</v>
      </c>
      <c r="I198" s="1571" t="s">
        <v>282</v>
      </c>
      <c r="J198" s="1571" t="s">
        <v>60</v>
      </c>
      <c r="K198" s="1650" t="s">
        <v>16</v>
      </c>
      <c r="L198" s="1570" t="s">
        <v>672</v>
      </c>
      <c r="M198" s="1570"/>
      <c r="N198" s="1570"/>
      <c r="O198" s="1587"/>
      <c r="Q198" s="33"/>
      <c r="R198" s="33"/>
      <c r="S198" s="33"/>
    </row>
    <row r="199" spans="1:19" ht="51" customHeight="1">
      <c r="A199" s="1581"/>
      <c r="B199" s="1575"/>
      <c r="C199" s="1575"/>
      <c r="D199" s="1575"/>
      <c r="E199" s="1575"/>
      <c r="F199" s="1575"/>
      <c r="G199" s="1575"/>
      <c r="H199" s="1572"/>
      <c r="I199" s="1572"/>
      <c r="J199" s="1572"/>
      <c r="K199" s="1651"/>
      <c r="L199" s="1568" t="s">
        <v>669</v>
      </c>
      <c r="M199" s="1568" t="s">
        <v>670</v>
      </c>
      <c r="N199" s="1568" t="s">
        <v>671</v>
      </c>
      <c r="O199" s="1598" t="s">
        <v>674</v>
      </c>
      <c r="Q199" s="33"/>
      <c r="R199" s="33"/>
      <c r="S199" s="33"/>
    </row>
    <row r="200" spans="1:19" ht="17.25" customHeight="1">
      <c r="A200" s="1633"/>
      <c r="B200" s="1649"/>
      <c r="C200" s="1649"/>
      <c r="D200" s="1649"/>
      <c r="E200" s="1649"/>
      <c r="F200" s="1649"/>
      <c r="G200" s="1649"/>
      <c r="H200" s="1572"/>
      <c r="I200" s="1572"/>
      <c r="J200" s="1572"/>
      <c r="K200" s="1651"/>
      <c r="L200" s="1652"/>
      <c r="M200" s="1652"/>
      <c r="N200" s="1652"/>
      <c r="O200" s="1653"/>
      <c r="Q200" s="33"/>
      <c r="R200" s="33"/>
      <c r="S200" s="33"/>
    </row>
    <row r="201" spans="1:19" ht="46.5" customHeight="1">
      <c r="A201" s="597" t="s">
        <v>27</v>
      </c>
      <c r="B201" s="9" t="s">
        <v>147</v>
      </c>
      <c r="C201" s="6" t="s">
        <v>201</v>
      </c>
      <c r="D201" s="6" t="s">
        <v>755</v>
      </c>
      <c r="E201" s="22" t="s">
        <v>776</v>
      </c>
      <c r="F201" s="24" t="s">
        <v>200</v>
      </c>
      <c r="G201" s="24" t="s">
        <v>201</v>
      </c>
      <c r="H201" s="719" t="s">
        <v>1143</v>
      </c>
      <c r="I201" s="24">
        <v>70968307</v>
      </c>
      <c r="J201" s="505" t="s">
        <v>29</v>
      </c>
      <c r="K201" s="695">
        <v>7.5</v>
      </c>
      <c r="L201" s="34">
        <f>2461-2342</f>
        <v>119</v>
      </c>
      <c r="M201" s="35"/>
      <c r="N201" s="35"/>
      <c r="O201" s="34">
        <f>L201</f>
        <v>119</v>
      </c>
      <c r="Q201" s="33"/>
      <c r="R201" s="33"/>
      <c r="S201" s="33"/>
    </row>
    <row r="202" spans="1:19" ht="46.5" customHeight="1" thickBot="1">
      <c r="A202" s="597" t="s">
        <v>27</v>
      </c>
      <c r="B202" s="3" t="s">
        <v>147</v>
      </c>
      <c r="C202" s="4" t="s">
        <v>201</v>
      </c>
      <c r="D202" s="4" t="s">
        <v>279</v>
      </c>
      <c r="E202" s="24" t="s">
        <v>777</v>
      </c>
      <c r="F202" s="24" t="s">
        <v>200</v>
      </c>
      <c r="G202" s="22" t="s">
        <v>201</v>
      </c>
      <c r="H202" s="797" t="s">
        <v>1144</v>
      </c>
      <c r="I202" s="22">
        <v>70653368</v>
      </c>
      <c r="J202" s="505" t="s">
        <v>29</v>
      </c>
      <c r="K202" s="695">
        <v>7.5</v>
      </c>
      <c r="L202" s="34">
        <f>1874-1868</f>
        <v>6</v>
      </c>
      <c r="M202" s="35"/>
      <c r="N202" s="35"/>
      <c r="O202" s="34">
        <f>L202</f>
        <v>6</v>
      </c>
      <c r="Q202" s="33"/>
      <c r="R202" s="33"/>
      <c r="S202" s="33"/>
    </row>
    <row r="203" spans="1:19" ht="17.25" customHeight="1">
      <c r="A203" s="967"/>
      <c r="B203" s="247" t="s">
        <v>23</v>
      </c>
      <c r="C203" s="248" t="s">
        <v>737</v>
      </c>
      <c r="D203" s="250"/>
      <c r="E203" s="56"/>
      <c r="G203" s="10" t="s">
        <v>1719</v>
      </c>
      <c r="H203" s="11" t="s">
        <v>1521</v>
      </c>
      <c r="I203" s="12"/>
      <c r="N203" s="146" t="s">
        <v>24</v>
      </c>
      <c r="O203" s="775">
        <f>SUM(O201:O202)</f>
        <v>125</v>
      </c>
      <c r="Q203" s="33"/>
      <c r="R203" s="33"/>
      <c r="S203" s="33"/>
    </row>
    <row r="204" spans="1:19" ht="17.25" customHeight="1">
      <c r="A204" s="967"/>
      <c r="B204" s="251"/>
      <c r="C204" s="252" t="s">
        <v>1141</v>
      </c>
      <c r="D204" s="254"/>
      <c r="E204" s="56"/>
      <c r="G204" s="13"/>
      <c r="H204" s="14" t="s">
        <v>1077</v>
      </c>
      <c r="I204" s="15"/>
      <c r="Q204" s="33"/>
      <c r="R204" s="33"/>
      <c r="S204" s="33"/>
    </row>
    <row r="205" spans="1:19" ht="17.25" customHeight="1" thickBot="1">
      <c r="A205" s="967"/>
      <c r="B205" s="197"/>
      <c r="C205" s="253" t="s">
        <v>738</v>
      </c>
      <c r="D205" s="254"/>
      <c r="E205" s="56"/>
      <c r="G205" s="73"/>
      <c r="H205" s="17" t="s">
        <v>738</v>
      </c>
      <c r="I205" s="18"/>
      <c r="Q205" s="33"/>
      <c r="R205" s="33"/>
      <c r="S205" s="33"/>
    </row>
    <row r="206" spans="1:19" ht="17.25" customHeight="1">
      <c r="A206" s="967"/>
      <c r="B206" s="624" t="s">
        <v>169</v>
      </c>
      <c r="C206" s="1351">
        <v>8222147185</v>
      </c>
      <c r="D206" s="254"/>
      <c r="E206" s="56"/>
      <c r="Q206" s="33"/>
      <c r="R206" s="33"/>
      <c r="S206" s="33"/>
    </row>
    <row r="207" spans="1:19" ht="17.25" customHeight="1" thickBot="1">
      <c r="A207" s="967"/>
      <c r="B207" s="483" t="s">
        <v>1112</v>
      </c>
      <c r="C207" s="1353" t="s">
        <v>1142</v>
      </c>
      <c r="D207" s="258"/>
      <c r="E207" s="56"/>
      <c r="Q207" s="33"/>
      <c r="R207" s="33"/>
      <c r="S207" s="33"/>
    </row>
    <row r="208" spans="1:19" ht="17.25" customHeight="1">
      <c r="A208" s="937"/>
      <c r="B208" s="614"/>
      <c r="C208" s="345"/>
      <c r="D208" s="56"/>
      <c r="E208" s="56"/>
      <c r="Q208" s="33"/>
      <c r="R208" s="33"/>
      <c r="S208" s="33"/>
    </row>
    <row r="209" spans="1:19" ht="17.25" customHeight="1" thickBot="1">
      <c r="A209" s="937"/>
      <c r="B209" s="614"/>
      <c r="C209" s="345"/>
      <c r="D209" s="56"/>
      <c r="E209" s="56"/>
      <c r="Q209" s="33"/>
      <c r="R209" s="33"/>
      <c r="S209" s="33"/>
    </row>
    <row r="210" spans="1:21" ht="42" customHeight="1">
      <c r="A210" s="1580" t="s">
        <v>7</v>
      </c>
      <c r="B210" s="1574" t="s">
        <v>8</v>
      </c>
      <c r="C210" s="1574" t="s">
        <v>9</v>
      </c>
      <c r="D210" s="1574" t="s">
        <v>10</v>
      </c>
      <c r="E210" s="1574" t="s">
        <v>11</v>
      </c>
      <c r="F210" s="1574" t="s">
        <v>12</v>
      </c>
      <c r="G210" s="1574" t="s">
        <v>13</v>
      </c>
      <c r="H210" s="1574" t="s">
        <v>15</v>
      </c>
      <c r="I210" s="1574" t="s">
        <v>282</v>
      </c>
      <c r="J210" s="1574" t="s">
        <v>60</v>
      </c>
      <c r="K210" s="1637" t="s">
        <v>16</v>
      </c>
      <c r="L210" s="1655" t="s">
        <v>672</v>
      </c>
      <c r="M210" s="1616"/>
      <c r="N210" s="1616"/>
      <c r="O210" s="1656"/>
      <c r="P210" s="1655" t="s">
        <v>673</v>
      </c>
      <c r="Q210" s="1616"/>
      <c r="R210" s="1616"/>
      <c r="S210" s="1656"/>
      <c r="T210" s="1571" t="s">
        <v>1232</v>
      </c>
      <c r="U210" s="1657" t="s">
        <v>1184</v>
      </c>
    </row>
    <row r="211" spans="1:21" ht="42" customHeight="1">
      <c r="A211" s="1581"/>
      <c r="B211" s="1575"/>
      <c r="C211" s="1575"/>
      <c r="D211" s="1575"/>
      <c r="E211" s="1575"/>
      <c r="F211" s="1575"/>
      <c r="G211" s="1575"/>
      <c r="H211" s="1575"/>
      <c r="I211" s="1575"/>
      <c r="J211" s="1575"/>
      <c r="K211" s="1638"/>
      <c r="L211" s="1652" t="s">
        <v>669</v>
      </c>
      <c r="M211" s="1652" t="s">
        <v>670</v>
      </c>
      <c r="N211" s="1652" t="s">
        <v>671</v>
      </c>
      <c r="O211" s="1652" t="s">
        <v>674</v>
      </c>
      <c r="P211" s="1652" t="s">
        <v>669</v>
      </c>
      <c r="Q211" s="1652" t="s">
        <v>670</v>
      </c>
      <c r="R211" s="1652" t="s">
        <v>671</v>
      </c>
      <c r="S211" s="1652" t="s">
        <v>674</v>
      </c>
      <c r="T211" s="1572"/>
      <c r="U211" s="1658"/>
    </row>
    <row r="212" spans="1:21" ht="17.25" customHeight="1" thickBot="1">
      <c r="A212" s="1582"/>
      <c r="B212" s="1576"/>
      <c r="C212" s="1576"/>
      <c r="D212" s="1576"/>
      <c r="E212" s="1576"/>
      <c r="F212" s="1576"/>
      <c r="G212" s="1576"/>
      <c r="H212" s="1576"/>
      <c r="I212" s="1576"/>
      <c r="J212" s="1576"/>
      <c r="K212" s="1639"/>
      <c r="L212" s="1654"/>
      <c r="M212" s="1654"/>
      <c r="N212" s="1654"/>
      <c r="O212" s="1654"/>
      <c r="P212" s="1654"/>
      <c r="Q212" s="1654"/>
      <c r="R212" s="1654"/>
      <c r="S212" s="1654"/>
      <c r="T212" s="1573"/>
      <c r="U212" s="1659"/>
    </row>
    <row r="213" spans="1:21" ht="48" customHeight="1">
      <c r="A213" s="603" t="s">
        <v>18</v>
      </c>
      <c r="B213" s="1019" t="s">
        <v>737</v>
      </c>
      <c r="C213" s="1019" t="s">
        <v>280</v>
      </c>
      <c r="D213" s="187"/>
      <c r="E213" s="187" t="s">
        <v>1463</v>
      </c>
      <c r="F213" s="187" t="s">
        <v>200</v>
      </c>
      <c r="G213" s="187" t="s">
        <v>201</v>
      </c>
      <c r="H213" s="734">
        <v>53516159</v>
      </c>
      <c r="I213" s="187">
        <v>237790</v>
      </c>
      <c r="J213" s="552" t="s">
        <v>29</v>
      </c>
      <c r="K213" s="274">
        <v>5</v>
      </c>
      <c r="L213" s="275">
        <f>125-60</f>
        <v>65</v>
      </c>
      <c r="M213" s="276"/>
      <c r="N213" s="276"/>
      <c r="O213" s="275">
        <f>L213</f>
        <v>65</v>
      </c>
      <c r="P213" s="275">
        <f>O213</f>
        <v>65</v>
      </c>
      <c r="Q213" s="276"/>
      <c r="R213" s="276"/>
      <c r="S213" s="275">
        <f>P213</f>
        <v>65</v>
      </c>
      <c r="T213" s="273" t="s">
        <v>1536</v>
      </c>
      <c r="U213" s="187" t="s">
        <v>1496</v>
      </c>
    </row>
    <row r="214" spans="1:21" ht="48" customHeight="1">
      <c r="A214" s="597" t="s">
        <v>18</v>
      </c>
      <c r="B214" s="785" t="s">
        <v>1464</v>
      </c>
      <c r="C214" s="234" t="s">
        <v>213</v>
      </c>
      <c r="D214" s="4"/>
      <c r="E214" s="4" t="s">
        <v>1465</v>
      </c>
      <c r="F214" s="4" t="s">
        <v>212</v>
      </c>
      <c r="G214" s="4" t="s">
        <v>213</v>
      </c>
      <c r="H214" s="719">
        <v>53590005</v>
      </c>
      <c r="I214" s="4">
        <v>312114</v>
      </c>
      <c r="J214" s="505" t="s">
        <v>29</v>
      </c>
      <c r="K214" s="8">
        <v>10</v>
      </c>
      <c r="L214" s="34">
        <f>5859-5668</f>
        <v>191</v>
      </c>
      <c r="M214" s="35"/>
      <c r="N214" s="35"/>
      <c r="O214" s="34">
        <f>L214</f>
        <v>191</v>
      </c>
      <c r="P214" s="34">
        <f>O214</f>
        <v>191</v>
      </c>
      <c r="Q214" s="35"/>
      <c r="R214" s="35"/>
      <c r="S214" s="34">
        <f>P214</f>
        <v>191</v>
      </c>
      <c r="T214" s="273" t="s">
        <v>1536</v>
      </c>
      <c r="U214" s="187" t="s">
        <v>1496</v>
      </c>
    </row>
    <row r="215" spans="1:21" ht="48" customHeight="1">
      <c r="A215" s="597" t="s">
        <v>18</v>
      </c>
      <c r="B215" s="785" t="s">
        <v>1466</v>
      </c>
      <c r="C215" s="234" t="s">
        <v>213</v>
      </c>
      <c r="D215" s="4" t="s">
        <v>333</v>
      </c>
      <c r="E215" s="4" t="s">
        <v>1467</v>
      </c>
      <c r="F215" s="4" t="s">
        <v>212</v>
      </c>
      <c r="G215" s="4" t="s">
        <v>213</v>
      </c>
      <c r="H215" s="719">
        <v>53515166</v>
      </c>
      <c r="I215" s="4">
        <v>90342493</v>
      </c>
      <c r="J215" s="505" t="s">
        <v>29</v>
      </c>
      <c r="K215" s="8">
        <v>5</v>
      </c>
      <c r="L215" s="34">
        <f>(112-7)*2</f>
        <v>210</v>
      </c>
      <c r="M215" s="35"/>
      <c r="N215" s="35"/>
      <c r="O215" s="34">
        <f>L215</f>
        <v>210</v>
      </c>
      <c r="P215" s="34">
        <f>O215</f>
        <v>210</v>
      </c>
      <c r="Q215" s="35"/>
      <c r="R215" s="35"/>
      <c r="S215" s="34">
        <f>P215</f>
        <v>210</v>
      </c>
      <c r="T215" s="273" t="s">
        <v>1536</v>
      </c>
      <c r="U215" s="187" t="s">
        <v>1496</v>
      </c>
    </row>
    <row r="216" spans="1:21" ht="48" customHeight="1">
      <c r="A216" s="597" t="s">
        <v>18</v>
      </c>
      <c r="B216" s="785" t="s">
        <v>1468</v>
      </c>
      <c r="C216" s="234" t="s">
        <v>213</v>
      </c>
      <c r="D216" s="4"/>
      <c r="E216" s="4" t="s">
        <v>1476</v>
      </c>
      <c r="F216" s="4" t="s">
        <v>212</v>
      </c>
      <c r="G216" s="4" t="s">
        <v>213</v>
      </c>
      <c r="H216" s="719">
        <v>54000074</v>
      </c>
      <c r="I216" s="4">
        <v>143575</v>
      </c>
      <c r="J216" s="505" t="s">
        <v>29</v>
      </c>
      <c r="K216" s="8">
        <v>5</v>
      </c>
      <c r="L216" s="34">
        <v>8000</v>
      </c>
      <c r="M216" s="35"/>
      <c r="N216" s="35"/>
      <c r="O216" s="34">
        <f>L216</f>
        <v>8000</v>
      </c>
      <c r="P216" s="34">
        <f>O216</f>
        <v>8000</v>
      </c>
      <c r="Q216" s="35"/>
      <c r="R216" s="35"/>
      <c r="S216" s="34">
        <f>P216</f>
        <v>8000</v>
      </c>
      <c r="T216" s="273" t="s">
        <v>1536</v>
      </c>
      <c r="U216" s="187" t="s">
        <v>1496</v>
      </c>
    </row>
    <row r="217" spans="1:21" ht="48" customHeight="1" thickBot="1">
      <c r="A217" s="597" t="s">
        <v>18</v>
      </c>
      <c r="B217" s="785" t="s">
        <v>1474</v>
      </c>
      <c r="C217" s="234" t="s">
        <v>213</v>
      </c>
      <c r="D217" s="4"/>
      <c r="E217" s="25" t="s">
        <v>1475</v>
      </c>
      <c r="F217" s="24" t="s">
        <v>212</v>
      </c>
      <c r="G217" s="22" t="s">
        <v>213</v>
      </c>
      <c r="H217" s="797">
        <v>53590008</v>
      </c>
      <c r="I217" s="24">
        <v>217919</v>
      </c>
      <c r="J217" s="504" t="s">
        <v>29</v>
      </c>
      <c r="K217" s="26">
        <v>17</v>
      </c>
      <c r="L217" s="34">
        <f>3997*12</f>
        <v>47964</v>
      </c>
      <c r="M217" s="35"/>
      <c r="N217" s="35"/>
      <c r="O217" s="34">
        <f>L217</f>
        <v>47964</v>
      </c>
      <c r="P217" s="34">
        <f>O217</f>
        <v>47964</v>
      </c>
      <c r="Q217" s="35"/>
      <c r="R217" s="35"/>
      <c r="S217" s="34">
        <f>P217</f>
        <v>47964</v>
      </c>
      <c r="T217" s="273" t="s">
        <v>1536</v>
      </c>
      <c r="U217" s="187" t="s">
        <v>1496</v>
      </c>
    </row>
    <row r="218" spans="1:19" ht="17.25" customHeight="1">
      <c r="A218" s="937"/>
      <c r="B218" s="819" t="s">
        <v>23</v>
      </c>
      <c r="C218" s="373" t="s">
        <v>737</v>
      </c>
      <c r="D218" s="254"/>
      <c r="E218" s="56"/>
      <c r="G218" s="10" t="s">
        <v>1719</v>
      </c>
      <c r="H218" s="1415" t="s">
        <v>737</v>
      </c>
      <c r="Q218" s="33"/>
      <c r="R218" s="146" t="s">
        <v>24</v>
      </c>
      <c r="S218" s="775">
        <f>SUM(S213:S217)</f>
        <v>56430</v>
      </c>
    </row>
    <row r="219" spans="1:19" ht="17.25" customHeight="1">
      <c r="A219" s="929"/>
      <c r="B219" s="251"/>
      <c r="C219" s="373" t="s">
        <v>1141</v>
      </c>
      <c r="D219" s="254"/>
      <c r="E219" s="56"/>
      <c r="G219" s="197"/>
      <c r="H219" s="1416" t="s">
        <v>1141</v>
      </c>
      <c r="Q219" s="33"/>
      <c r="R219" s="33"/>
      <c r="S219" s="33"/>
    </row>
    <row r="220" spans="1:19" ht="15.75" thickBot="1">
      <c r="A220" s="929"/>
      <c r="B220" s="190"/>
      <c r="C220" s="374" t="s">
        <v>738</v>
      </c>
      <c r="D220" s="29"/>
      <c r="E220" s="56"/>
      <c r="G220" s="198"/>
      <c r="H220" s="258" t="s">
        <v>738</v>
      </c>
      <c r="Q220" s="33"/>
      <c r="R220" s="33"/>
      <c r="S220" s="33"/>
    </row>
    <row r="221" spans="1:19" ht="15" thickBot="1">
      <c r="A221" s="929"/>
      <c r="B221" s="460" t="s">
        <v>851</v>
      </c>
      <c r="C221" s="459">
        <v>8222147185</v>
      </c>
      <c r="D221" s="30"/>
      <c r="E221" s="56"/>
      <c r="Q221" s="33"/>
      <c r="R221" s="33"/>
      <c r="S221" s="33"/>
    </row>
    <row r="222" spans="1:19" ht="14.25">
      <c r="A222" s="971"/>
      <c r="B222" s="614"/>
      <c r="C222" s="345"/>
      <c r="D222" s="56"/>
      <c r="E222" s="56"/>
      <c r="Q222" s="33"/>
      <c r="R222" s="33"/>
      <c r="S222" s="33"/>
    </row>
    <row r="223" spans="1:19" ht="21" customHeight="1">
      <c r="A223" s="766"/>
      <c r="B223" s="614"/>
      <c r="C223" s="345"/>
      <c r="D223" s="56"/>
      <c r="E223" s="56"/>
      <c r="N223" s="38" t="s">
        <v>63</v>
      </c>
      <c r="O223" s="33">
        <f>O33+O43+O54+O73+O83+O94+O105+O116+O127+O144+O154+O168+O180+O191+O203+S218</f>
        <v>1234609.0500000003</v>
      </c>
      <c r="Q223" s="33"/>
      <c r="R223" s="33"/>
      <c r="S223" s="33"/>
    </row>
    <row r="224" spans="1:19" ht="15" thickBot="1">
      <c r="A224" s="295"/>
      <c r="B224" s="614"/>
      <c r="C224" s="345"/>
      <c r="D224" s="56"/>
      <c r="Q224" s="33"/>
      <c r="R224" s="33"/>
      <c r="S224" s="33"/>
    </row>
    <row r="225" spans="12:16" ht="49.5" customHeight="1">
      <c r="L225" s="1660" t="s">
        <v>60</v>
      </c>
      <c r="M225" s="1623" t="s">
        <v>675</v>
      </c>
      <c r="N225" s="1624"/>
      <c r="O225" s="1625"/>
      <c r="P225" s="1626" t="s">
        <v>61</v>
      </c>
    </row>
    <row r="226" spans="12:16" ht="24" customHeight="1" thickBot="1">
      <c r="L226" s="1661"/>
      <c r="M226" s="282" t="s">
        <v>62</v>
      </c>
      <c r="N226" s="282" t="s">
        <v>670</v>
      </c>
      <c r="O226" s="282" t="s">
        <v>671</v>
      </c>
      <c r="P226" s="1627"/>
    </row>
    <row r="227" spans="12:16" ht="21" customHeight="1">
      <c r="L227" s="1020" t="s">
        <v>29</v>
      </c>
      <c r="M227" s="1002">
        <f>O21+O28+O29+O30+O31+O32+O53+O69+O72+O142+O143+O153+O164+O165+O166+O190+O201+O202+S213+S214+S215+S216+S217</f>
        <v>117620</v>
      </c>
      <c r="N227" s="222"/>
      <c r="O227" s="1023"/>
      <c r="P227" s="822">
        <v>23</v>
      </c>
    </row>
    <row r="228" spans="12:16" ht="21" customHeight="1">
      <c r="L228" s="1020" t="s">
        <v>22</v>
      </c>
      <c r="M228" s="1002">
        <f>O115+O178</f>
        <v>167899</v>
      </c>
      <c r="N228" s="222"/>
      <c r="O228" s="1023"/>
      <c r="P228" s="822">
        <v>2</v>
      </c>
    </row>
    <row r="229" spans="12:16" ht="21" customHeight="1">
      <c r="L229" s="1020" t="s">
        <v>72</v>
      </c>
      <c r="M229" s="1011"/>
      <c r="N229" s="175">
        <f>M137</f>
        <v>109662.39999999998</v>
      </c>
      <c r="O229" s="1008">
        <f>N137</f>
        <v>236410.40000000008</v>
      </c>
      <c r="P229" s="995">
        <v>1</v>
      </c>
    </row>
    <row r="230" spans="1:16" ht="21" customHeight="1">
      <c r="A230" s="295"/>
      <c r="L230" s="1020" t="s">
        <v>272</v>
      </c>
      <c r="M230" s="1024"/>
      <c r="N230" s="297">
        <f>M138</f>
        <v>170160.75000000006</v>
      </c>
      <c r="O230" s="1025">
        <f>N138</f>
        <v>112183.50000000003</v>
      </c>
      <c r="P230" s="1029">
        <v>1</v>
      </c>
    </row>
    <row r="231" spans="8:16" ht="21" customHeight="1" thickBot="1">
      <c r="H231" s="33"/>
      <c r="L231" s="823" t="s">
        <v>67</v>
      </c>
      <c r="M231" s="1026"/>
      <c r="N231" s="1027">
        <f>M18+M19+M20+M22+M23+M24+M25+M26+M27+M42+M53+M64+M65+M66+M67+M68+M70+M71+M82+M93+M104+M126+M139+M140+M141+M167+M179</f>
        <v>100102</v>
      </c>
      <c r="O231" s="1028">
        <f>N18+N19+N20+N22+N23+N24+N25+N26+N27+N42+N53+N64+N65+N66+N67+N68+N70+N71+N82+N93+N104+N126+N139+N140+N141+N167+N179</f>
        <v>220571</v>
      </c>
      <c r="P231" s="996">
        <v>27</v>
      </c>
    </row>
    <row r="232" spans="12:16" ht="21" customHeight="1" thickBot="1">
      <c r="L232" s="353" t="s">
        <v>63</v>
      </c>
      <c r="M232" s="299">
        <f>SUM(M227:M231)</f>
        <v>285519</v>
      </c>
      <c r="N232" s="300">
        <f>SUM(N227:N231)</f>
        <v>379925.15</v>
      </c>
      <c r="O232" s="177">
        <f>SUM(O227:O231)</f>
        <v>569164.9000000001</v>
      </c>
      <c r="P232" s="830">
        <f>SUM(P227:P231)</f>
        <v>54</v>
      </c>
    </row>
    <row r="233" spans="13:16" ht="21" customHeight="1" thickBot="1">
      <c r="M233" s="127" t="s">
        <v>64</v>
      </c>
      <c r="N233" s="718">
        <f>SUM(M232:O232)</f>
        <v>1234609.0500000003</v>
      </c>
      <c r="O233" s="33"/>
      <c r="P233" s="33"/>
    </row>
    <row r="238" ht="14.25">
      <c r="N238" s="33"/>
    </row>
  </sheetData>
  <sheetProtection/>
  <mergeCells count="236">
    <mergeCell ref="G187:G189"/>
    <mergeCell ref="H187:H189"/>
    <mergeCell ref="I187:I189"/>
    <mergeCell ref="J187:J189"/>
    <mergeCell ref="K187:K189"/>
    <mergeCell ref="L187:O187"/>
    <mergeCell ref="L188:L189"/>
    <mergeCell ref="M188:M189"/>
    <mergeCell ref="N188:N189"/>
    <mergeCell ref="O188:O189"/>
    <mergeCell ref="A187:A189"/>
    <mergeCell ref="B187:B189"/>
    <mergeCell ref="C187:C189"/>
    <mergeCell ref="D187:D189"/>
    <mergeCell ref="E187:E189"/>
    <mergeCell ref="F187:F189"/>
    <mergeCell ref="G175:G177"/>
    <mergeCell ref="H175:H177"/>
    <mergeCell ref="I175:I177"/>
    <mergeCell ref="J175:J177"/>
    <mergeCell ref="K175:K177"/>
    <mergeCell ref="N176:N177"/>
    <mergeCell ref="A175:A177"/>
    <mergeCell ref="B175:B177"/>
    <mergeCell ref="C175:C177"/>
    <mergeCell ref="D175:D177"/>
    <mergeCell ref="E175:E177"/>
    <mergeCell ref="F175:F177"/>
    <mergeCell ref="J150:J152"/>
    <mergeCell ref="G161:G163"/>
    <mergeCell ref="H161:H163"/>
    <mergeCell ref="I161:I163"/>
    <mergeCell ref="A161:A163"/>
    <mergeCell ref="B161:B163"/>
    <mergeCell ref="C161:C163"/>
    <mergeCell ref="D161:D163"/>
    <mergeCell ref="E161:E163"/>
    <mergeCell ref="F161:F163"/>
    <mergeCell ref="G101:G103"/>
    <mergeCell ref="J161:J163"/>
    <mergeCell ref="K161:K163"/>
    <mergeCell ref="L161:O161"/>
    <mergeCell ref="K150:K152"/>
    <mergeCell ref="O162:O163"/>
    <mergeCell ref="L151:O151"/>
    <mergeCell ref="L162:L163"/>
    <mergeCell ref="M162:M163"/>
    <mergeCell ref="N162:N163"/>
    <mergeCell ref="F150:F152"/>
    <mergeCell ref="G15:G17"/>
    <mergeCell ref="I15:I17"/>
    <mergeCell ref="H15:H17"/>
    <mergeCell ref="G39:G41"/>
    <mergeCell ref="G150:G152"/>
    <mergeCell ref="I150:I152"/>
    <mergeCell ref="H150:H152"/>
    <mergeCell ref="H123:H125"/>
    <mergeCell ref="I39:I41"/>
    <mergeCell ref="J50:J52"/>
    <mergeCell ref="I123:I125"/>
    <mergeCell ref="I61:I63"/>
    <mergeCell ref="H61:H63"/>
    <mergeCell ref="J101:J103"/>
    <mergeCell ref="A150:A152"/>
    <mergeCell ref="B150:B152"/>
    <mergeCell ref="C150:C152"/>
    <mergeCell ref="D150:D152"/>
    <mergeCell ref="E150:E152"/>
    <mergeCell ref="L40:O40"/>
    <mergeCell ref="H39:H41"/>
    <mergeCell ref="J39:J41"/>
    <mergeCell ref="K39:K41"/>
    <mergeCell ref="J15:J17"/>
    <mergeCell ref="K15:K17"/>
    <mergeCell ref="L15:O15"/>
    <mergeCell ref="L16:O16"/>
    <mergeCell ref="L39:O39"/>
    <mergeCell ref="L51:O51"/>
    <mergeCell ref="G50:G52"/>
    <mergeCell ref="I50:I52"/>
    <mergeCell ref="H50:H52"/>
    <mergeCell ref="L80:O80"/>
    <mergeCell ref="G79:G81"/>
    <mergeCell ref="I79:I81"/>
    <mergeCell ref="H79:H81"/>
    <mergeCell ref="L62:O62"/>
    <mergeCell ref="G61:G63"/>
    <mergeCell ref="I101:I103"/>
    <mergeCell ref="H101:H103"/>
    <mergeCell ref="L112:O112"/>
    <mergeCell ref="L91:O91"/>
    <mergeCell ref="H90:H92"/>
    <mergeCell ref="J90:J92"/>
    <mergeCell ref="K90:K92"/>
    <mergeCell ref="L90:O90"/>
    <mergeCell ref="K101:K103"/>
    <mergeCell ref="L101:O101"/>
    <mergeCell ref="M225:O225"/>
    <mergeCell ref="K123:K125"/>
    <mergeCell ref="L123:O123"/>
    <mergeCell ref="L134:O134"/>
    <mergeCell ref="L135:O135"/>
    <mergeCell ref="K134:K136"/>
    <mergeCell ref="L175:O175"/>
    <mergeCell ref="L176:L177"/>
    <mergeCell ref="M176:M177"/>
    <mergeCell ref="O176:O177"/>
    <mergeCell ref="L102:O102"/>
    <mergeCell ref="L150:O150"/>
    <mergeCell ref="P225:P226"/>
    <mergeCell ref="L113:O113"/>
    <mergeCell ref="G112:G114"/>
    <mergeCell ref="I112:I114"/>
    <mergeCell ref="H112:H114"/>
    <mergeCell ref="J112:J114"/>
    <mergeCell ref="K112:K114"/>
    <mergeCell ref="L225:L226"/>
    <mergeCell ref="J123:J125"/>
    <mergeCell ref="A15:A17"/>
    <mergeCell ref="B15:B17"/>
    <mergeCell ref="C15:C17"/>
    <mergeCell ref="D15:D17"/>
    <mergeCell ref="E15:E17"/>
    <mergeCell ref="F15:F17"/>
    <mergeCell ref="A39:A41"/>
    <mergeCell ref="B39:B41"/>
    <mergeCell ref="C39:C41"/>
    <mergeCell ref="D39:D41"/>
    <mergeCell ref="E39:E41"/>
    <mergeCell ref="F39:F41"/>
    <mergeCell ref="A50:A52"/>
    <mergeCell ref="B50:B52"/>
    <mergeCell ref="C50:C52"/>
    <mergeCell ref="D50:D52"/>
    <mergeCell ref="E50:E52"/>
    <mergeCell ref="F50:F52"/>
    <mergeCell ref="K50:K52"/>
    <mergeCell ref="L50:O50"/>
    <mergeCell ref="A61:A63"/>
    <mergeCell ref="B61:B63"/>
    <mergeCell ref="C61:C63"/>
    <mergeCell ref="D61:D63"/>
    <mergeCell ref="E61:E63"/>
    <mergeCell ref="F61:F63"/>
    <mergeCell ref="J61:J63"/>
    <mergeCell ref="K61:K63"/>
    <mergeCell ref="L61:O61"/>
    <mergeCell ref="A79:A81"/>
    <mergeCell ref="B79:B81"/>
    <mergeCell ref="C79:C81"/>
    <mergeCell ref="D79:D81"/>
    <mergeCell ref="E79:E81"/>
    <mergeCell ref="F79:F81"/>
    <mergeCell ref="J79:J81"/>
    <mergeCell ref="K79:K81"/>
    <mergeCell ref="L79:O79"/>
    <mergeCell ref="A90:A92"/>
    <mergeCell ref="B90:B92"/>
    <mergeCell ref="C90:C92"/>
    <mergeCell ref="D90:D92"/>
    <mergeCell ref="E90:E92"/>
    <mergeCell ref="F90:F92"/>
    <mergeCell ref="A101:A103"/>
    <mergeCell ref="B101:B103"/>
    <mergeCell ref="C101:C103"/>
    <mergeCell ref="D101:D103"/>
    <mergeCell ref="E101:E103"/>
    <mergeCell ref="F101:F103"/>
    <mergeCell ref="A112:A114"/>
    <mergeCell ref="B112:B114"/>
    <mergeCell ref="C112:C114"/>
    <mergeCell ref="D112:D114"/>
    <mergeCell ref="E112:E114"/>
    <mergeCell ref="F112:F114"/>
    <mergeCell ref="A123:A125"/>
    <mergeCell ref="B123:B125"/>
    <mergeCell ref="C123:C125"/>
    <mergeCell ref="D123:D125"/>
    <mergeCell ref="E123:E125"/>
    <mergeCell ref="F123:F125"/>
    <mergeCell ref="A134:A136"/>
    <mergeCell ref="B134:B136"/>
    <mergeCell ref="C134:C136"/>
    <mergeCell ref="D134:D136"/>
    <mergeCell ref="E134:E136"/>
    <mergeCell ref="G134:G136"/>
    <mergeCell ref="F134:F136"/>
    <mergeCell ref="J134:J136"/>
    <mergeCell ref="L124:O124"/>
    <mergeCell ref="B3:J3"/>
    <mergeCell ref="B5:J5"/>
    <mergeCell ref="B1:I1"/>
    <mergeCell ref="I134:I136"/>
    <mergeCell ref="H134:H136"/>
    <mergeCell ref="G90:G92"/>
    <mergeCell ref="G123:G125"/>
    <mergeCell ref="I90:I92"/>
    <mergeCell ref="A210:A212"/>
    <mergeCell ref="B210:B212"/>
    <mergeCell ref="C210:C212"/>
    <mergeCell ref="D210:D212"/>
    <mergeCell ref="E210:E212"/>
    <mergeCell ref="F210:F212"/>
    <mergeCell ref="R211:R212"/>
    <mergeCell ref="G210:G212"/>
    <mergeCell ref="H210:H212"/>
    <mergeCell ref="I210:I212"/>
    <mergeCell ref="J210:J212"/>
    <mergeCell ref="K210:K212"/>
    <mergeCell ref="L210:O210"/>
    <mergeCell ref="S211:S212"/>
    <mergeCell ref="P210:S210"/>
    <mergeCell ref="T210:T212"/>
    <mergeCell ref="U210:U212"/>
    <mergeCell ref="L211:L212"/>
    <mergeCell ref="M211:M212"/>
    <mergeCell ref="N211:N212"/>
    <mergeCell ref="O211:O212"/>
    <mergeCell ref="P211:P212"/>
    <mergeCell ref="Q211:Q212"/>
    <mergeCell ref="A198:A200"/>
    <mergeCell ref="B198:B200"/>
    <mergeCell ref="C198:C200"/>
    <mergeCell ref="D198:D200"/>
    <mergeCell ref="E198:E200"/>
    <mergeCell ref="F198:F200"/>
    <mergeCell ref="G198:G200"/>
    <mergeCell ref="H198:H200"/>
    <mergeCell ref="I198:I200"/>
    <mergeCell ref="J198:J200"/>
    <mergeCell ref="K198:K200"/>
    <mergeCell ref="L198:O198"/>
    <mergeCell ref="L199:L200"/>
    <mergeCell ref="M199:M200"/>
    <mergeCell ref="N199:N200"/>
    <mergeCell ref="O199:O200"/>
  </mergeCells>
  <printOptions/>
  <pageMargins left="0.7" right="0.7" top="0.75" bottom="0.75" header="0.3" footer="0.3"/>
  <pageSetup horizontalDpi="600" verticalDpi="600" orientation="portrait" paperSize="9" r:id="rId1"/>
  <ignoredErrors>
    <ignoredError sqref="E82 I167" numberStoredAsText="1"/>
    <ignoredError sqref="O21 O6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219"/>
  <sheetViews>
    <sheetView zoomScale="80" zoomScaleNormal="80" zoomScalePageLayoutView="0" workbookViewId="0" topLeftCell="A73">
      <selection activeCell="B75" sqref="B75:K79"/>
    </sheetView>
  </sheetViews>
  <sheetFormatPr defaultColWidth="8.796875" defaultRowHeight="14.25"/>
  <cols>
    <col min="1" max="1" width="11.8984375" style="1" customWidth="1"/>
    <col min="2" max="2" width="21.5" style="1" customWidth="1"/>
    <col min="3" max="3" width="14.5" style="1" customWidth="1"/>
    <col min="4" max="4" width="16" style="1" customWidth="1"/>
    <col min="5" max="5" width="10.8984375" style="1" customWidth="1"/>
    <col min="6" max="6" width="9" style="1" customWidth="1"/>
    <col min="7" max="7" width="14" style="1" customWidth="1"/>
    <col min="8" max="8" width="17.59765625" style="1" customWidth="1"/>
    <col min="9" max="9" width="25.8984375" style="1" customWidth="1"/>
    <col min="10" max="10" width="11.09765625" style="1" customWidth="1"/>
    <col min="11" max="11" width="10.69921875" style="7" customWidth="1"/>
    <col min="12" max="12" width="16.09765625" style="1" customWidth="1"/>
    <col min="13" max="13" width="14.5" style="1" customWidth="1"/>
    <col min="14" max="14" width="16.8984375" style="1" customWidth="1"/>
    <col min="15" max="15" width="16.3984375" style="1" customWidth="1"/>
    <col min="16" max="16" width="13.69921875" style="1" customWidth="1"/>
    <col min="17" max="17" width="13.19921875" style="1" customWidth="1"/>
    <col min="18" max="18" width="15" style="1" customWidth="1"/>
    <col min="19" max="19" width="16.59765625" style="1" customWidth="1"/>
    <col min="20" max="20" width="20.59765625" style="1" customWidth="1"/>
    <col min="21" max="21" width="21.19921875" style="1" customWidth="1"/>
    <col min="22" max="16384" width="9" style="1" customWidth="1"/>
  </cols>
  <sheetData>
    <row r="1" spans="2:9" ht="18">
      <c r="B1" s="1609" t="s">
        <v>1231</v>
      </c>
      <c r="C1" s="1609"/>
      <c r="D1" s="1609"/>
      <c r="E1" s="1609"/>
      <c r="F1" s="1609"/>
      <c r="G1" s="1609"/>
      <c r="H1" s="1609"/>
      <c r="I1" s="1609"/>
    </row>
    <row r="3" spans="2:10" ht="29.25" customHeight="1">
      <c r="B3" s="1602" t="s">
        <v>728</v>
      </c>
      <c r="C3" s="1603"/>
      <c r="D3" s="1603"/>
      <c r="E3" s="1603"/>
      <c r="F3" s="1603"/>
      <c r="G3" s="1603"/>
      <c r="H3" s="1603"/>
      <c r="I3" s="1604"/>
      <c r="J3" s="489"/>
    </row>
    <row r="4" spans="2:10" ht="15">
      <c r="B4" s="487"/>
      <c r="C4" s="487"/>
      <c r="D4" s="487"/>
      <c r="E4" s="487"/>
      <c r="F4" s="487"/>
      <c r="G4" s="487"/>
      <c r="H4" s="487"/>
      <c r="I4" s="487"/>
      <c r="J4" s="489"/>
    </row>
    <row r="5" spans="2:10" ht="15">
      <c r="B5" s="1605" t="s">
        <v>1104</v>
      </c>
      <c r="C5" s="1605"/>
      <c r="D5" s="1605"/>
      <c r="E5" s="1605"/>
      <c r="F5" s="1605"/>
      <c r="G5" s="1605"/>
      <c r="H5" s="1605"/>
      <c r="I5" s="1605"/>
      <c r="J5" s="1605"/>
    </row>
    <row r="6" spans="2:10" ht="15">
      <c r="B6" s="487"/>
      <c r="C6" s="487"/>
      <c r="D6" s="487"/>
      <c r="E6" s="487"/>
      <c r="F6" s="487"/>
      <c r="G6" s="487"/>
      <c r="H6" s="487"/>
      <c r="I6" s="490"/>
      <c r="J6" s="489"/>
    </row>
    <row r="7" spans="2:10" ht="15.75">
      <c r="B7" s="488" t="s">
        <v>1</v>
      </c>
      <c r="C7" s="489"/>
      <c r="D7" s="487"/>
      <c r="E7" s="487"/>
      <c r="F7" s="487"/>
      <c r="G7" s="489"/>
      <c r="H7" s="487"/>
      <c r="I7" s="490"/>
      <c r="J7" s="489"/>
    </row>
    <row r="8" spans="2:10" ht="15.75">
      <c r="B8" s="1389" t="s">
        <v>1833</v>
      </c>
      <c r="C8" s="489"/>
      <c r="D8" s="487"/>
      <c r="E8" s="487"/>
      <c r="F8" s="487"/>
      <c r="G8" s="489"/>
      <c r="H8" s="487"/>
      <c r="I8" s="490"/>
      <c r="J8" s="489"/>
    </row>
    <row r="9" spans="2:10" ht="15.75">
      <c r="B9" s="491" t="s">
        <v>1396</v>
      </c>
      <c r="C9" s="489"/>
      <c r="D9" s="492"/>
      <c r="E9" s="487"/>
      <c r="F9" s="487"/>
      <c r="G9" s="489"/>
      <c r="H9" s="487"/>
      <c r="I9" s="490"/>
      <c r="J9" s="489"/>
    </row>
    <row r="10" spans="2:10" ht="15.75">
      <c r="B10" s="491" t="s">
        <v>1096</v>
      </c>
      <c r="C10" s="489"/>
      <c r="D10" s="492"/>
      <c r="E10" s="487"/>
      <c r="F10" s="487"/>
      <c r="G10" s="489"/>
      <c r="H10" s="487"/>
      <c r="I10" s="490"/>
      <c r="J10" s="489"/>
    </row>
    <row r="11" spans="2:10" ht="15">
      <c r="B11" s="489" t="s">
        <v>1095</v>
      </c>
      <c r="C11" s="489"/>
      <c r="D11" s="489"/>
      <c r="E11" s="489"/>
      <c r="F11" s="489"/>
      <c r="G11" s="489"/>
      <c r="H11" s="487"/>
      <c r="I11" s="490"/>
      <c r="J11" s="489"/>
    </row>
    <row r="12" spans="2:10" ht="15.75">
      <c r="B12" s="493" t="s">
        <v>3</v>
      </c>
      <c r="C12" s="494" t="s">
        <v>4</v>
      </c>
      <c r="D12" s="492"/>
      <c r="E12" s="492"/>
      <c r="F12" s="492"/>
      <c r="G12" s="492"/>
      <c r="H12" s="495"/>
      <c r="I12" s="489"/>
      <c r="J12" s="489"/>
    </row>
    <row r="13" spans="2:10" ht="16.5" thickBot="1">
      <c r="B13" s="493" t="s">
        <v>5</v>
      </c>
      <c r="C13" s="488" t="s">
        <v>6</v>
      </c>
      <c r="D13" s="492"/>
      <c r="E13" s="492"/>
      <c r="F13" s="492"/>
      <c r="G13" s="492"/>
      <c r="H13" s="495"/>
      <c r="I13" s="489"/>
      <c r="J13" s="489"/>
    </row>
    <row r="14" spans="1:9" ht="27.75" customHeight="1" thickBot="1">
      <c r="A14" s="59"/>
      <c r="B14" s="58"/>
      <c r="C14" s="59"/>
      <c r="D14" s="59"/>
      <c r="E14" s="59"/>
      <c r="F14" s="59"/>
      <c r="G14" s="1663" t="s">
        <v>1081</v>
      </c>
      <c r="H14" s="1664"/>
      <c r="I14" s="59"/>
    </row>
    <row r="15" spans="1:15" ht="45" customHeight="1">
      <c r="A15" s="1588" t="s">
        <v>7</v>
      </c>
      <c r="B15" s="1591" t="s">
        <v>664</v>
      </c>
      <c r="C15" s="1594" t="s">
        <v>9</v>
      </c>
      <c r="D15" s="1594" t="s">
        <v>10</v>
      </c>
      <c r="E15" s="1574" t="s">
        <v>665</v>
      </c>
      <c r="F15" s="1574" t="s">
        <v>12</v>
      </c>
      <c r="G15" s="1594" t="s">
        <v>13</v>
      </c>
      <c r="H15" s="1574" t="s">
        <v>788</v>
      </c>
      <c r="I15" s="1574" t="s">
        <v>14</v>
      </c>
      <c r="J15" s="1574" t="s">
        <v>60</v>
      </c>
      <c r="K15" s="1583" t="s">
        <v>666</v>
      </c>
      <c r="L15" s="1640" t="s">
        <v>667</v>
      </c>
      <c r="M15" s="1634"/>
      <c r="N15" s="1634"/>
      <c r="O15" s="1641"/>
    </row>
    <row r="16" spans="1:15" ht="40.5" customHeight="1">
      <c r="A16" s="1589"/>
      <c r="B16" s="1592"/>
      <c r="C16" s="1595"/>
      <c r="D16" s="1595"/>
      <c r="E16" s="1575"/>
      <c r="F16" s="1575"/>
      <c r="G16" s="1595"/>
      <c r="H16" s="1575"/>
      <c r="I16" s="1575"/>
      <c r="J16" s="1575"/>
      <c r="K16" s="1584"/>
      <c r="L16" s="1597" t="s">
        <v>668</v>
      </c>
      <c r="M16" s="1568"/>
      <c r="N16" s="1568"/>
      <c r="O16" s="1598"/>
    </row>
    <row r="17" spans="1:15" ht="35.25" customHeight="1" thickBot="1">
      <c r="A17" s="1590"/>
      <c r="B17" s="1593"/>
      <c r="C17" s="1596"/>
      <c r="D17" s="1596"/>
      <c r="E17" s="1576"/>
      <c r="F17" s="1576"/>
      <c r="G17" s="1596"/>
      <c r="H17" s="1576"/>
      <c r="I17" s="1576"/>
      <c r="J17" s="1576"/>
      <c r="K17" s="1585"/>
      <c r="L17" s="270" t="s">
        <v>669</v>
      </c>
      <c r="M17" s="277" t="s">
        <v>670</v>
      </c>
      <c r="N17" s="277" t="s">
        <v>671</v>
      </c>
      <c r="O17" s="272" t="s">
        <v>17</v>
      </c>
    </row>
    <row r="18" spans="1:15" ht="30" thickBot="1">
      <c r="A18" s="593" t="s">
        <v>27</v>
      </c>
      <c r="B18" s="9" t="s">
        <v>283</v>
      </c>
      <c r="C18" s="9" t="s">
        <v>284</v>
      </c>
      <c r="D18" s="6"/>
      <c r="E18" s="6"/>
      <c r="F18" s="4" t="s">
        <v>21</v>
      </c>
      <c r="G18" s="3" t="s">
        <v>19</v>
      </c>
      <c r="H18" s="24">
        <v>71785337</v>
      </c>
      <c r="I18" s="719" t="s">
        <v>791</v>
      </c>
      <c r="J18" s="31" t="s">
        <v>67</v>
      </c>
      <c r="K18" s="178">
        <v>13</v>
      </c>
      <c r="L18" s="35"/>
      <c r="M18" s="36">
        <f>1153-581</f>
        <v>572</v>
      </c>
      <c r="N18" s="36">
        <f>3392-1473</f>
        <v>1919</v>
      </c>
      <c r="O18" s="34">
        <f>M18+N18</f>
        <v>2491</v>
      </c>
    </row>
    <row r="19" spans="2:15" ht="22.5" customHeight="1">
      <c r="B19" s="10" t="s">
        <v>167</v>
      </c>
      <c r="C19" s="82" t="s">
        <v>285</v>
      </c>
      <c r="D19" s="11"/>
      <c r="E19" s="44"/>
      <c r="H19" s="180" t="s">
        <v>1755</v>
      </c>
      <c r="I19" s="89" t="s">
        <v>285</v>
      </c>
      <c r="J19" s="1182"/>
      <c r="K19" s="1183"/>
      <c r="N19" s="4" t="s">
        <v>24</v>
      </c>
      <c r="O19" s="574">
        <f>SUM(O18)</f>
        <v>2491</v>
      </c>
    </row>
    <row r="20" spans="2:11" ht="15">
      <c r="B20" s="13"/>
      <c r="C20" s="70" t="s">
        <v>286</v>
      </c>
      <c r="D20" s="14"/>
      <c r="E20" s="42"/>
      <c r="H20" s="1184"/>
      <c r="I20" s="75" t="s">
        <v>286</v>
      </c>
      <c r="J20" s="60"/>
      <c r="K20" s="1114"/>
    </row>
    <row r="21" spans="2:11" ht="15.75" thickBot="1">
      <c r="B21" s="13"/>
      <c r="C21" s="70" t="s">
        <v>26</v>
      </c>
      <c r="D21" s="14"/>
      <c r="E21" s="15"/>
      <c r="H21" s="1195"/>
      <c r="I21" s="74" t="s">
        <v>26</v>
      </c>
      <c r="J21" s="1431"/>
      <c r="K21" s="709"/>
    </row>
    <row r="22" spans="2:5" ht="15.75" thickBot="1">
      <c r="B22" s="73"/>
      <c r="C22" s="99" t="s">
        <v>287</v>
      </c>
      <c r="D22" s="17"/>
      <c r="E22" s="18"/>
    </row>
    <row r="24" ht="15" thickBot="1"/>
    <row r="25" spans="1:15" ht="47.25" customHeight="1">
      <c r="A25" s="1588" t="s">
        <v>7</v>
      </c>
      <c r="B25" s="1591" t="s">
        <v>664</v>
      </c>
      <c r="C25" s="1594" t="s">
        <v>9</v>
      </c>
      <c r="D25" s="1594" t="s">
        <v>10</v>
      </c>
      <c r="E25" s="1574" t="s">
        <v>665</v>
      </c>
      <c r="F25" s="1574" t="s">
        <v>12</v>
      </c>
      <c r="G25" s="1594" t="s">
        <v>13</v>
      </c>
      <c r="H25" s="1574" t="s">
        <v>282</v>
      </c>
      <c r="I25" s="1574" t="s">
        <v>14</v>
      </c>
      <c r="J25" s="1574" t="s">
        <v>60</v>
      </c>
      <c r="K25" s="1583" t="s">
        <v>666</v>
      </c>
      <c r="L25" s="1640" t="s">
        <v>667</v>
      </c>
      <c r="M25" s="1634"/>
      <c r="N25" s="1634"/>
      <c r="O25" s="1641"/>
    </row>
    <row r="26" spans="1:15" ht="40.5" customHeight="1">
      <c r="A26" s="1589"/>
      <c r="B26" s="1592"/>
      <c r="C26" s="1595"/>
      <c r="D26" s="1595"/>
      <c r="E26" s="1575"/>
      <c r="F26" s="1575"/>
      <c r="G26" s="1595"/>
      <c r="H26" s="1575"/>
      <c r="I26" s="1575"/>
      <c r="J26" s="1575"/>
      <c r="K26" s="1584"/>
      <c r="L26" s="1597" t="s">
        <v>668</v>
      </c>
      <c r="M26" s="1568"/>
      <c r="N26" s="1568"/>
      <c r="O26" s="1598"/>
    </row>
    <row r="27" spans="1:15" ht="36" customHeight="1" thickBot="1">
      <c r="A27" s="1590"/>
      <c r="B27" s="1593"/>
      <c r="C27" s="1596"/>
      <c r="D27" s="1596"/>
      <c r="E27" s="1576"/>
      <c r="F27" s="1576"/>
      <c r="G27" s="1596"/>
      <c r="H27" s="1576"/>
      <c r="I27" s="1576"/>
      <c r="J27" s="1576"/>
      <c r="K27" s="1585"/>
      <c r="L27" s="270" t="s">
        <v>669</v>
      </c>
      <c r="M27" s="277" t="s">
        <v>670</v>
      </c>
      <c r="N27" s="277" t="s">
        <v>671</v>
      </c>
      <c r="O27" s="272" t="s">
        <v>17</v>
      </c>
    </row>
    <row r="28" spans="1:15" ht="37.5" customHeight="1">
      <c r="A28" s="593" t="s">
        <v>27</v>
      </c>
      <c r="B28" s="3" t="s">
        <v>288</v>
      </c>
      <c r="C28" s="3" t="s">
        <v>289</v>
      </c>
      <c r="D28" s="4"/>
      <c r="E28" s="4"/>
      <c r="F28" s="4" t="s">
        <v>21</v>
      </c>
      <c r="G28" s="3" t="s">
        <v>19</v>
      </c>
      <c r="H28" s="24">
        <v>4143381</v>
      </c>
      <c r="I28" s="719" t="s">
        <v>290</v>
      </c>
      <c r="J28" s="389" t="s">
        <v>72</v>
      </c>
      <c r="K28" s="178">
        <v>33</v>
      </c>
      <c r="L28" s="35"/>
      <c r="M28" s="34">
        <f>2115*12</f>
        <v>25380</v>
      </c>
      <c r="N28" s="34">
        <f>4648*12</f>
        <v>55776</v>
      </c>
      <c r="O28" s="34">
        <f aca="true" t="shared" si="0" ref="O28:O34">M28+N28</f>
        <v>81156</v>
      </c>
    </row>
    <row r="29" spans="1:15" ht="37.5" customHeight="1">
      <c r="A29" s="593" t="s">
        <v>27</v>
      </c>
      <c r="B29" s="3" t="s">
        <v>291</v>
      </c>
      <c r="C29" s="3" t="s">
        <v>292</v>
      </c>
      <c r="D29" s="4"/>
      <c r="E29" s="4"/>
      <c r="F29" s="4" t="s">
        <v>21</v>
      </c>
      <c r="G29" s="3" t="s">
        <v>19</v>
      </c>
      <c r="H29" s="24">
        <v>4146278</v>
      </c>
      <c r="I29" s="719" t="s">
        <v>293</v>
      </c>
      <c r="J29" s="389" t="s">
        <v>72</v>
      </c>
      <c r="K29" s="178">
        <v>34</v>
      </c>
      <c r="L29" s="35"/>
      <c r="M29" s="34">
        <f>1631*12</f>
        <v>19572</v>
      </c>
      <c r="N29" s="34">
        <f>3421*12</f>
        <v>41052</v>
      </c>
      <c r="O29" s="34">
        <f t="shared" si="0"/>
        <v>60624</v>
      </c>
    </row>
    <row r="30" spans="1:15" ht="37.5" customHeight="1">
      <c r="A30" s="593" t="s">
        <v>27</v>
      </c>
      <c r="B30" s="3" t="s">
        <v>294</v>
      </c>
      <c r="C30" s="3" t="s">
        <v>28</v>
      </c>
      <c r="D30" s="3" t="s">
        <v>295</v>
      </c>
      <c r="E30" s="4"/>
      <c r="F30" s="4" t="s">
        <v>21</v>
      </c>
      <c r="G30" s="3" t="s">
        <v>19</v>
      </c>
      <c r="H30" s="24">
        <v>217055</v>
      </c>
      <c r="I30" s="719" t="s">
        <v>296</v>
      </c>
      <c r="J30" s="31" t="s">
        <v>67</v>
      </c>
      <c r="K30" s="178">
        <v>10.4</v>
      </c>
      <c r="L30" s="35"/>
      <c r="M30" s="34">
        <v>300</v>
      </c>
      <c r="N30" s="34">
        <v>600</v>
      </c>
      <c r="O30" s="34">
        <f t="shared" si="0"/>
        <v>900</v>
      </c>
    </row>
    <row r="31" spans="1:15" ht="37.5" customHeight="1">
      <c r="A31" s="593" t="s">
        <v>27</v>
      </c>
      <c r="B31" s="3" t="s">
        <v>297</v>
      </c>
      <c r="C31" s="3" t="s">
        <v>28</v>
      </c>
      <c r="D31" s="3" t="s">
        <v>298</v>
      </c>
      <c r="E31" s="4"/>
      <c r="F31" s="4" t="s">
        <v>21</v>
      </c>
      <c r="G31" s="3" t="s">
        <v>19</v>
      </c>
      <c r="H31" s="24">
        <v>234586</v>
      </c>
      <c r="I31" s="719" t="s">
        <v>299</v>
      </c>
      <c r="J31" s="31" t="s">
        <v>67</v>
      </c>
      <c r="K31" s="178">
        <v>2.5</v>
      </c>
      <c r="L31" s="35"/>
      <c r="M31" s="34">
        <f>28*12</f>
        <v>336</v>
      </c>
      <c r="N31" s="34">
        <f>51*12</f>
        <v>612</v>
      </c>
      <c r="O31" s="34">
        <f t="shared" si="0"/>
        <v>948</v>
      </c>
    </row>
    <row r="32" spans="1:15" ht="37.5" customHeight="1">
      <c r="A32" s="593" t="s">
        <v>27</v>
      </c>
      <c r="B32" s="3" t="s">
        <v>300</v>
      </c>
      <c r="C32" s="3" t="s">
        <v>28</v>
      </c>
      <c r="D32" s="3" t="s">
        <v>298</v>
      </c>
      <c r="E32" s="4"/>
      <c r="F32" s="4" t="s">
        <v>21</v>
      </c>
      <c r="G32" s="3" t="s">
        <v>19</v>
      </c>
      <c r="H32" s="24">
        <v>160789</v>
      </c>
      <c r="I32" s="719" t="s">
        <v>301</v>
      </c>
      <c r="J32" s="31" t="s">
        <v>67</v>
      </c>
      <c r="K32" s="178">
        <v>2.5</v>
      </c>
      <c r="L32" s="35"/>
      <c r="M32" s="34">
        <f>9*12</f>
        <v>108</v>
      </c>
      <c r="N32" s="34">
        <f>30*12</f>
        <v>360</v>
      </c>
      <c r="O32" s="34">
        <f t="shared" si="0"/>
        <v>468</v>
      </c>
    </row>
    <row r="33" spans="1:15" ht="37.5" customHeight="1">
      <c r="A33" s="593" t="s">
        <v>27</v>
      </c>
      <c r="B33" s="3" t="s">
        <v>302</v>
      </c>
      <c r="C33" s="3" t="s">
        <v>303</v>
      </c>
      <c r="D33" s="4"/>
      <c r="E33" s="4"/>
      <c r="F33" s="4" t="s">
        <v>21</v>
      </c>
      <c r="G33" s="3" t="s">
        <v>19</v>
      </c>
      <c r="H33" s="24">
        <v>213769</v>
      </c>
      <c r="I33" s="719" t="s">
        <v>304</v>
      </c>
      <c r="J33" s="31" t="s">
        <v>67</v>
      </c>
      <c r="K33" s="178">
        <v>20</v>
      </c>
      <c r="L33" s="35"/>
      <c r="M33" s="34">
        <f>127*12</f>
        <v>1524</v>
      </c>
      <c r="N33" s="34">
        <f>192*12</f>
        <v>2304</v>
      </c>
      <c r="O33" s="34">
        <f t="shared" si="0"/>
        <v>3828</v>
      </c>
    </row>
    <row r="34" spans="1:15" ht="37.5" customHeight="1">
      <c r="A34" s="593" t="s">
        <v>27</v>
      </c>
      <c r="B34" s="9" t="s">
        <v>305</v>
      </c>
      <c r="C34" s="9" t="s">
        <v>28</v>
      </c>
      <c r="D34" s="9" t="s">
        <v>295</v>
      </c>
      <c r="E34" s="6"/>
      <c r="F34" s="6" t="s">
        <v>21</v>
      </c>
      <c r="G34" s="9" t="s">
        <v>19</v>
      </c>
      <c r="H34" s="22">
        <v>4146276</v>
      </c>
      <c r="I34" s="797" t="s">
        <v>306</v>
      </c>
      <c r="J34" s="389" t="s">
        <v>72</v>
      </c>
      <c r="K34" s="442">
        <v>35</v>
      </c>
      <c r="L34" s="35"/>
      <c r="M34" s="34">
        <f>3641*12</f>
        <v>43692</v>
      </c>
      <c r="N34" s="34">
        <f>8915*12</f>
        <v>106980</v>
      </c>
      <c r="O34" s="34">
        <f t="shared" si="0"/>
        <v>150672</v>
      </c>
    </row>
    <row r="35" spans="1:15" ht="37.5" customHeight="1">
      <c r="A35" s="669" t="s">
        <v>27</v>
      </c>
      <c r="B35" s="3"/>
      <c r="C35" s="4" t="s">
        <v>284</v>
      </c>
      <c r="D35" s="4" t="s">
        <v>809</v>
      </c>
      <c r="E35" s="4" t="s">
        <v>812</v>
      </c>
      <c r="F35" s="4" t="s">
        <v>21</v>
      </c>
      <c r="G35" s="3" t="s">
        <v>19</v>
      </c>
      <c r="H35" s="24">
        <v>90032623</v>
      </c>
      <c r="I35" s="719" t="s">
        <v>819</v>
      </c>
      <c r="J35" s="31" t="s">
        <v>67</v>
      </c>
      <c r="K35" s="178">
        <v>4</v>
      </c>
      <c r="L35" s="35"/>
      <c r="M35" s="36">
        <f>756-83</f>
        <v>673</v>
      </c>
      <c r="N35" s="36">
        <f>1926-200</f>
        <v>1726</v>
      </c>
      <c r="O35" s="34">
        <f aca="true" t="shared" si="1" ref="O35:O41">M35+N35</f>
        <v>2399</v>
      </c>
    </row>
    <row r="36" spans="1:15" ht="37.5" customHeight="1">
      <c r="A36" s="669" t="s">
        <v>27</v>
      </c>
      <c r="B36" s="3"/>
      <c r="C36" s="4" t="s">
        <v>284</v>
      </c>
      <c r="D36" s="3" t="s">
        <v>810</v>
      </c>
      <c r="E36" s="4" t="s">
        <v>813</v>
      </c>
      <c r="F36" s="4" t="s">
        <v>21</v>
      </c>
      <c r="G36" s="3" t="s">
        <v>19</v>
      </c>
      <c r="H36" s="24">
        <v>83426080</v>
      </c>
      <c r="I36" s="719" t="s">
        <v>820</v>
      </c>
      <c r="J36" s="31" t="s">
        <v>67</v>
      </c>
      <c r="K36" s="178">
        <v>1</v>
      </c>
      <c r="L36" s="35"/>
      <c r="M36" s="36">
        <f>55-3</f>
        <v>52</v>
      </c>
      <c r="N36" s="36">
        <f>135</f>
        <v>135</v>
      </c>
      <c r="O36" s="34">
        <f t="shared" si="1"/>
        <v>187</v>
      </c>
    </row>
    <row r="37" spans="1:15" ht="37.5" customHeight="1">
      <c r="A37" s="669" t="s">
        <v>27</v>
      </c>
      <c r="B37" s="3"/>
      <c r="C37" s="4" t="s">
        <v>284</v>
      </c>
      <c r="D37" s="3" t="s">
        <v>496</v>
      </c>
      <c r="E37" s="4" t="s">
        <v>814</v>
      </c>
      <c r="F37" s="4" t="s">
        <v>21</v>
      </c>
      <c r="G37" s="3" t="s">
        <v>19</v>
      </c>
      <c r="H37" s="24">
        <v>90016520</v>
      </c>
      <c r="I37" s="719" t="s">
        <v>821</v>
      </c>
      <c r="J37" s="31" t="s">
        <v>67</v>
      </c>
      <c r="K37" s="178">
        <v>4</v>
      </c>
      <c r="L37" s="35"/>
      <c r="M37" s="36">
        <f>229-36</f>
        <v>193</v>
      </c>
      <c r="N37" s="36">
        <f>582-68</f>
        <v>514</v>
      </c>
      <c r="O37" s="34">
        <f t="shared" si="1"/>
        <v>707</v>
      </c>
    </row>
    <row r="38" spans="1:15" ht="37.5" customHeight="1">
      <c r="A38" s="669" t="s">
        <v>27</v>
      </c>
      <c r="B38" s="3"/>
      <c r="C38" s="4" t="s">
        <v>284</v>
      </c>
      <c r="D38" s="3" t="s">
        <v>809</v>
      </c>
      <c r="E38" s="4" t="s">
        <v>815</v>
      </c>
      <c r="F38" s="4" t="s">
        <v>21</v>
      </c>
      <c r="G38" s="3" t="s">
        <v>19</v>
      </c>
      <c r="H38" s="24">
        <v>90033215</v>
      </c>
      <c r="I38" s="719" t="s">
        <v>822</v>
      </c>
      <c r="J38" s="31" t="s">
        <v>67</v>
      </c>
      <c r="K38" s="178">
        <v>4</v>
      </c>
      <c r="L38" s="35"/>
      <c r="M38" s="36">
        <f>1336-136</f>
        <v>1200</v>
      </c>
      <c r="N38" s="36">
        <f>3626-346</f>
        <v>3280</v>
      </c>
      <c r="O38" s="34">
        <f t="shared" si="1"/>
        <v>4480</v>
      </c>
    </row>
    <row r="39" spans="1:15" ht="37.5" customHeight="1">
      <c r="A39" s="669" t="s">
        <v>27</v>
      </c>
      <c r="B39" s="3"/>
      <c r="C39" s="4" t="s">
        <v>284</v>
      </c>
      <c r="D39" s="3" t="s">
        <v>811</v>
      </c>
      <c r="E39" s="4">
        <v>54</v>
      </c>
      <c r="F39" s="4" t="s">
        <v>21</v>
      </c>
      <c r="G39" s="3" t="s">
        <v>19</v>
      </c>
      <c r="H39" s="24">
        <v>1399807</v>
      </c>
      <c r="I39" s="719" t="s">
        <v>818</v>
      </c>
      <c r="J39" s="31" t="s">
        <v>67</v>
      </c>
      <c r="K39" s="178">
        <v>1</v>
      </c>
      <c r="L39" s="35"/>
      <c r="M39" s="36">
        <f>9537-9513</f>
        <v>24</v>
      </c>
      <c r="N39" s="36">
        <f>16647-16574</f>
        <v>73</v>
      </c>
      <c r="O39" s="34">
        <f t="shared" si="1"/>
        <v>97</v>
      </c>
    </row>
    <row r="40" spans="1:15" ht="37.5" customHeight="1">
      <c r="A40" s="669" t="s">
        <v>27</v>
      </c>
      <c r="B40" s="3"/>
      <c r="C40" s="4" t="s">
        <v>284</v>
      </c>
      <c r="D40" s="3" t="s">
        <v>785</v>
      </c>
      <c r="E40" s="4" t="s">
        <v>816</v>
      </c>
      <c r="F40" s="4" t="s">
        <v>21</v>
      </c>
      <c r="G40" s="3" t="s">
        <v>19</v>
      </c>
      <c r="H40" s="24">
        <v>83426551</v>
      </c>
      <c r="I40" s="719" t="s">
        <v>817</v>
      </c>
      <c r="J40" s="31" t="s">
        <v>67</v>
      </c>
      <c r="K40" s="178">
        <v>1</v>
      </c>
      <c r="L40" s="35"/>
      <c r="M40" s="36">
        <f>43-3</f>
        <v>40</v>
      </c>
      <c r="N40" s="36">
        <f>122-4</f>
        <v>118</v>
      </c>
      <c r="O40" s="34">
        <f t="shared" si="1"/>
        <v>158</v>
      </c>
    </row>
    <row r="41" spans="1:15" ht="37.5" customHeight="1">
      <c r="A41" s="669" t="s">
        <v>27</v>
      </c>
      <c r="B41" s="9"/>
      <c r="C41" s="9" t="s">
        <v>284</v>
      </c>
      <c r="D41" s="9" t="s">
        <v>298</v>
      </c>
      <c r="E41" s="6"/>
      <c r="F41" s="6" t="s">
        <v>21</v>
      </c>
      <c r="G41" s="3" t="s">
        <v>19</v>
      </c>
      <c r="H41" s="24">
        <v>3508547</v>
      </c>
      <c r="I41" s="719" t="s">
        <v>823</v>
      </c>
      <c r="J41" s="389" t="s">
        <v>72</v>
      </c>
      <c r="K41" s="178">
        <v>25</v>
      </c>
      <c r="L41" s="35"/>
      <c r="M41" s="36">
        <f>227*12</f>
        <v>2724</v>
      </c>
      <c r="N41" s="36">
        <f>552*12</f>
        <v>6624</v>
      </c>
      <c r="O41" s="34">
        <f t="shared" si="1"/>
        <v>9348</v>
      </c>
    </row>
    <row r="42" spans="1:15" ht="37.5" customHeight="1">
      <c r="A42" s="621" t="s">
        <v>27</v>
      </c>
      <c r="B42" s="47" t="s">
        <v>147</v>
      </c>
      <c r="C42" s="4" t="s">
        <v>1207</v>
      </c>
      <c r="D42" s="48" t="s">
        <v>1205</v>
      </c>
      <c r="E42" s="48" t="s">
        <v>1206</v>
      </c>
      <c r="F42" s="4" t="s">
        <v>21</v>
      </c>
      <c r="G42" s="3" t="s">
        <v>19</v>
      </c>
      <c r="H42" s="4">
        <v>117217</v>
      </c>
      <c r="I42" s="719" t="s">
        <v>1347</v>
      </c>
      <c r="J42" s="31" t="s">
        <v>67</v>
      </c>
      <c r="K42" s="8">
        <v>4</v>
      </c>
      <c r="L42" s="35"/>
      <c r="M42" s="36">
        <f>9*12</f>
        <v>108</v>
      </c>
      <c r="N42" s="36">
        <f>21*12</f>
        <v>252</v>
      </c>
      <c r="O42" s="34">
        <f aca="true" t="shared" si="2" ref="O42:O49">M42+N42</f>
        <v>360</v>
      </c>
    </row>
    <row r="43" spans="1:15" ht="37.5" customHeight="1">
      <c r="A43" s="621" t="s">
        <v>27</v>
      </c>
      <c r="B43" s="47" t="s">
        <v>147</v>
      </c>
      <c r="C43" s="4" t="s">
        <v>1207</v>
      </c>
      <c r="D43" s="48"/>
      <c r="E43" s="48" t="s">
        <v>1208</v>
      </c>
      <c r="F43" s="4" t="s">
        <v>21</v>
      </c>
      <c r="G43" s="3" t="s">
        <v>19</v>
      </c>
      <c r="H43" s="4">
        <v>243725</v>
      </c>
      <c r="I43" s="719" t="s">
        <v>1346</v>
      </c>
      <c r="J43" s="31" t="s">
        <v>67</v>
      </c>
      <c r="K43" s="8">
        <v>4</v>
      </c>
      <c r="L43" s="35"/>
      <c r="M43" s="36">
        <f>8*12</f>
        <v>96</v>
      </c>
      <c r="N43" s="36">
        <f>19*12</f>
        <v>228</v>
      </c>
      <c r="O43" s="34">
        <f t="shared" si="2"/>
        <v>324</v>
      </c>
    </row>
    <row r="44" spans="1:15" ht="37.5" customHeight="1">
      <c r="A44" s="621" t="s">
        <v>27</v>
      </c>
      <c r="B44" s="48"/>
      <c r="C44" s="4" t="s">
        <v>314</v>
      </c>
      <c r="D44" s="48"/>
      <c r="E44" s="48" t="s">
        <v>1209</v>
      </c>
      <c r="F44" s="4" t="s">
        <v>21</v>
      </c>
      <c r="G44" s="3" t="s">
        <v>19</v>
      </c>
      <c r="H44" s="4">
        <v>4137411</v>
      </c>
      <c r="I44" s="719" t="s">
        <v>1350</v>
      </c>
      <c r="J44" s="31" t="s">
        <v>67</v>
      </c>
      <c r="K44" s="8">
        <v>10</v>
      </c>
      <c r="L44" s="35"/>
      <c r="M44" s="34">
        <f>17*12</f>
        <v>204</v>
      </c>
      <c r="N44" s="34">
        <f>36*12</f>
        <v>432</v>
      </c>
      <c r="O44" s="34">
        <f t="shared" si="2"/>
        <v>636</v>
      </c>
    </row>
    <row r="45" spans="1:15" ht="37.5" customHeight="1">
      <c r="A45" s="621" t="s">
        <v>27</v>
      </c>
      <c r="B45" s="47" t="s">
        <v>1210</v>
      </c>
      <c r="C45" s="4" t="s">
        <v>1211</v>
      </c>
      <c r="D45" s="48"/>
      <c r="E45" s="48" t="s">
        <v>1212</v>
      </c>
      <c r="F45" s="4" t="s">
        <v>21</v>
      </c>
      <c r="G45" s="3" t="s">
        <v>19</v>
      </c>
      <c r="H45" s="4">
        <v>4137395</v>
      </c>
      <c r="I45" s="719" t="s">
        <v>1345</v>
      </c>
      <c r="J45" s="31" t="s">
        <v>67</v>
      </c>
      <c r="K45" s="8">
        <v>10</v>
      </c>
      <c r="L45" s="35"/>
      <c r="M45" s="34">
        <f>36*12</f>
        <v>432</v>
      </c>
      <c r="N45" s="34">
        <f>90*12</f>
        <v>1080</v>
      </c>
      <c r="O45" s="34">
        <f t="shared" si="2"/>
        <v>1512</v>
      </c>
    </row>
    <row r="46" spans="1:15" ht="37.5" customHeight="1">
      <c r="A46" s="621" t="s">
        <v>27</v>
      </c>
      <c r="B46" s="48"/>
      <c r="C46" s="4" t="s">
        <v>1211</v>
      </c>
      <c r="D46" s="48"/>
      <c r="E46" s="48" t="s">
        <v>1213</v>
      </c>
      <c r="F46" s="4" t="s">
        <v>21</v>
      </c>
      <c r="G46" s="3" t="s">
        <v>19</v>
      </c>
      <c r="H46" s="4">
        <v>4137388</v>
      </c>
      <c r="I46" s="719" t="s">
        <v>1344</v>
      </c>
      <c r="J46" s="31" t="s">
        <v>67</v>
      </c>
      <c r="K46" s="8">
        <v>10</v>
      </c>
      <c r="L46" s="35"/>
      <c r="M46" s="34">
        <f>26*12</f>
        <v>312</v>
      </c>
      <c r="N46" s="34">
        <f>55*12</f>
        <v>660</v>
      </c>
      <c r="O46" s="34">
        <f t="shared" si="2"/>
        <v>972</v>
      </c>
    </row>
    <row r="47" spans="1:15" ht="37.5" customHeight="1">
      <c r="A47" s="621" t="s">
        <v>27</v>
      </c>
      <c r="B47" s="47" t="s">
        <v>1214</v>
      </c>
      <c r="C47" s="4" t="s">
        <v>1211</v>
      </c>
      <c r="D47" s="48"/>
      <c r="E47" s="48" t="s">
        <v>1215</v>
      </c>
      <c r="F47" s="4" t="s">
        <v>21</v>
      </c>
      <c r="G47" s="3" t="s">
        <v>19</v>
      </c>
      <c r="H47" s="4">
        <v>4137403</v>
      </c>
      <c r="I47" s="719" t="s">
        <v>1349</v>
      </c>
      <c r="J47" s="31" t="s">
        <v>67</v>
      </c>
      <c r="K47" s="8">
        <v>10</v>
      </c>
      <c r="L47" s="35"/>
      <c r="M47" s="34">
        <f>47*12</f>
        <v>564</v>
      </c>
      <c r="N47" s="34">
        <f>93*12</f>
        <v>1116</v>
      </c>
      <c r="O47" s="34">
        <f t="shared" si="2"/>
        <v>1680</v>
      </c>
    </row>
    <row r="48" spans="1:15" ht="37.5" customHeight="1">
      <c r="A48" s="621" t="s">
        <v>27</v>
      </c>
      <c r="B48" s="47" t="s">
        <v>1214</v>
      </c>
      <c r="C48" s="4" t="s">
        <v>292</v>
      </c>
      <c r="D48" s="48"/>
      <c r="E48" s="48" t="s">
        <v>1217</v>
      </c>
      <c r="F48" s="4" t="s">
        <v>21</v>
      </c>
      <c r="G48" s="3" t="s">
        <v>19</v>
      </c>
      <c r="H48" s="4">
        <v>248513</v>
      </c>
      <c r="I48" s="719" t="s">
        <v>1343</v>
      </c>
      <c r="J48" s="31" t="s">
        <v>67</v>
      </c>
      <c r="K48" s="8">
        <v>16</v>
      </c>
      <c r="L48" s="35"/>
      <c r="M48" s="34">
        <f>123*12</f>
        <v>1476</v>
      </c>
      <c r="N48" s="34">
        <f>243*12</f>
        <v>2916</v>
      </c>
      <c r="O48" s="34">
        <f t="shared" si="2"/>
        <v>4392</v>
      </c>
    </row>
    <row r="49" spans="1:15" ht="37.5" customHeight="1">
      <c r="A49" s="621" t="s">
        <v>27</v>
      </c>
      <c r="B49" s="47" t="s">
        <v>1216</v>
      </c>
      <c r="C49" s="4" t="s">
        <v>292</v>
      </c>
      <c r="D49" s="48"/>
      <c r="E49" s="48" t="s">
        <v>586</v>
      </c>
      <c r="F49" s="4" t="s">
        <v>21</v>
      </c>
      <c r="G49" s="3" t="s">
        <v>19</v>
      </c>
      <c r="H49" s="4">
        <v>121047</v>
      </c>
      <c r="I49" s="719" t="s">
        <v>1348</v>
      </c>
      <c r="J49" s="31" t="s">
        <v>67</v>
      </c>
      <c r="K49" s="8">
        <v>25</v>
      </c>
      <c r="L49" s="35"/>
      <c r="M49" s="34">
        <f>429*12</f>
        <v>5148</v>
      </c>
      <c r="N49" s="34">
        <f>911*12</f>
        <v>10932</v>
      </c>
      <c r="O49" s="34">
        <f t="shared" si="2"/>
        <v>16080</v>
      </c>
    </row>
    <row r="50" spans="1:15" ht="37.5" customHeight="1">
      <c r="A50" s="621" t="s">
        <v>27</v>
      </c>
      <c r="B50" s="47" t="s">
        <v>147</v>
      </c>
      <c r="C50" s="626" t="s">
        <v>313</v>
      </c>
      <c r="D50" s="48" t="s">
        <v>1149</v>
      </c>
      <c r="E50" s="48" t="s">
        <v>1430</v>
      </c>
      <c r="F50" s="691" t="s">
        <v>21</v>
      </c>
      <c r="G50" s="472" t="s">
        <v>19</v>
      </c>
      <c r="H50" s="46">
        <v>3516135</v>
      </c>
      <c r="I50" s="720" t="s">
        <v>1431</v>
      </c>
      <c r="J50" s="505" t="s">
        <v>29</v>
      </c>
      <c r="K50" s="8">
        <v>12</v>
      </c>
      <c r="L50" s="34">
        <f>76*12</f>
        <v>912</v>
      </c>
      <c r="M50" s="35"/>
      <c r="N50" s="35"/>
      <c r="O50" s="34">
        <f>L50</f>
        <v>912</v>
      </c>
    </row>
    <row r="51" spans="1:15" ht="37.5" customHeight="1">
      <c r="A51" s="621" t="s">
        <v>27</v>
      </c>
      <c r="B51" s="47"/>
      <c r="C51" s="626" t="s">
        <v>1355</v>
      </c>
      <c r="D51" s="48" t="s">
        <v>1368</v>
      </c>
      <c r="E51" s="48" t="s">
        <v>1554</v>
      </c>
      <c r="F51" s="691" t="s">
        <v>21</v>
      </c>
      <c r="G51" s="472" t="s">
        <v>19</v>
      </c>
      <c r="H51" s="46">
        <v>90695780</v>
      </c>
      <c r="I51" s="719" t="s">
        <v>1555</v>
      </c>
      <c r="J51" s="31" t="s">
        <v>67</v>
      </c>
      <c r="K51" s="8">
        <v>6</v>
      </c>
      <c r="L51" s="35"/>
      <c r="M51" s="34">
        <f>24*12</f>
        <v>288</v>
      </c>
      <c r="N51" s="34">
        <f>60*12</f>
        <v>720</v>
      </c>
      <c r="O51" s="34">
        <f>M51+N51</f>
        <v>1008</v>
      </c>
    </row>
    <row r="52" spans="1:15" ht="37.5" customHeight="1">
      <c r="A52" s="858" t="s">
        <v>27</v>
      </c>
      <c r="B52" s="52"/>
      <c r="C52" s="796" t="s">
        <v>1355</v>
      </c>
      <c r="D52" s="53" t="s">
        <v>1556</v>
      </c>
      <c r="E52" s="53" t="s">
        <v>1557</v>
      </c>
      <c r="F52" s="568" t="s">
        <v>21</v>
      </c>
      <c r="G52" s="569" t="s">
        <v>19</v>
      </c>
      <c r="H52" s="599">
        <v>90695791</v>
      </c>
      <c r="I52" s="797" t="s">
        <v>1558</v>
      </c>
      <c r="J52" s="1069" t="s">
        <v>67</v>
      </c>
      <c r="K52" s="770">
        <v>2</v>
      </c>
      <c r="L52" s="39"/>
      <c r="M52" s="118">
        <f>11*12</f>
        <v>132</v>
      </c>
      <c r="N52" s="118">
        <f>26*12</f>
        <v>312</v>
      </c>
      <c r="O52" s="118">
        <f>M52+N52</f>
        <v>444</v>
      </c>
    </row>
    <row r="53" spans="1:15" ht="37.5" customHeight="1">
      <c r="A53" s="593" t="s">
        <v>27</v>
      </c>
      <c r="B53" s="47" t="s">
        <v>147</v>
      </c>
      <c r="C53" s="626" t="s">
        <v>320</v>
      </c>
      <c r="D53" s="48"/>
      <c r="E53" s="48" t="s">
        <v>1351</v>
      </c>
      <c r="F53" s="48" t="s">
        <v>21</v>
      </c>
      <c r="G53" s="47" t="s">
        <v>19</v>
      </c>
      <c r="H53" s="48">
        <v>3515711</v>
      </c>
      <c r="I53" s="719" t="s">
        <v>1559</v>
      </c>
      <c r="J53" s="505" t="s">
        <v>29</v>
      </c>
      <c r="K53" s="8">
        <v>12</v>
      </c>
      <c r="L53" s="34">
        <f>69*12</f>
        <v>828</v>
      </c>
      <c r="M53" s="35"/>
      <c r="N53" s="35"/>
      <c r="O53" s="34">
        <f aca="true" t="shared" si="3" ref="O53:O63">L53</f>
        <v>828</v>
      </c>
    </row>
    <row r="54" spans="1:15" ht="37.5" customHeight="1">
      <c r="A54" s="621" t="s">
        <v>27</v>
      </c>
      <c r="B54" s="47" t="s">
        <v>1216</v>
      </c>
      <c r="C54" s="626" t="s">
        <v>1362</v>
      </c>
      <c r="D54" s="48" t="s">
        <v>1363</v>
      </c>
      <c r="E54" s="48" t="s">
        <v>1364</v>
      </c>
      <c r="F54" s="691" t="s">
        <v>21</v>
      </c>
      <c r="G54" s="472" t="s">
        <v>19</v>
      </c>
      <c r="H54" s="691">
        <v>90033267</v>
      </c>
      <c r="I54" s="719" t="s">
        <v>1560</v>
      </c>
      <c r="J54" s="552" t="s">
        <v>29</v>
      </c>
      <c r="K54" s="274">
        <v>9</v>
      </c>
      <c r="L54" s="275">
        <f>177*12</f>
        <v>2124</v>
      </c>
      <c r="M54" s="276"/>
      <c r="N54" s="276"/>
      <c r="O54" s="275">
        <f t="shared" si="3"/>
        <v>2124</v>
      </c>
    </row>
    <row r="55" spans="1:15" ht="37.5" customHeight="1">
      <c r="A55" s="593" t="s">
        <v>27</v>
      </c>
      <c r="B55" s="47" t="s">
        <v>147</v>
      </c>
      <c r="C55" s="626" t="s">
        <v>1362</v>
      </c>
      <c r="D55" s="48" t="s">
        <v>1368</v>
      </c>
      <c r="E55" s="48" t="s">
        <v>1369</v>
      </c>
      <c r="F55" s="48" t="s">
        <v>21</v>
      </c>
      <c r="G55" s="47" t="s">
        <v>19</v>
      </c>
      <c r="H55" s="46">
        <v>90055468</v>
      </c>
      <c r="I55" s="719" t="s">
        <v>1561</v>
      </c>
      <c r="J55" s="505" t="s">
        <v>29</v>
      </c>
      <c r="K55" s="8">
        <v>6</v>
      </c>
      <c r="L55" s="34">
        <f>82*12</f>
        <v>984</v>
      </c>
      <c r="M55" s="35"/>
      <c r="N55" s="35"/>
      <c r="O55" s="34">
        <f t="shared" si="3"/>
        <v>984</v>
      </c>
    </row>
    <row r="56" spans="1:15" ht="37.5" customHeight="1">
      <c r="A56" s="621" t="s">
        <v>27</v>
      </c>
      <c r="B56" s="47" t="s">
        <v>1359</v>
      </c>
      <c r="C56" s="626" t="s">
        <v>325</v>
      </c>
      <c r="D56" s="48" t="s">
        <v>1360</v>
      </c>
      <c r="E56" s="48" t="s">
        <v>1361</v>
      </c>
      <c r="F56" s="691" t="s">
        <v>21</v>
      </c>
      <c r="G56" s="472" t="s">
        <v>19</v>
      </c>
      <c r="H56" s="691">
        <v>90032559</v>
      </c>
      <c r="I56" s="719" t="s">
        <v>1562</v>
      </c>
      <c r="J56" s="552" t="s">
        <v>29</v>
      </c>
      <c r="K56" s="274">
        <v>6</v>
      </c>
      <c r="L56" s="275">
        <f>37*12</f>
        <v>444</v>
      </c>
      <c r="M56" s="276"/>
      <c r="N56" s="276"/>
      <c r="O56" s="275">
        <f t="shared" si="3"/>
        <v>444</v>
      </c>
    </row>
    <row r="57" spans="1:15" ht="37.5" customHeight="1">
      <c r="A57" s="593" t="s">
        <v>27</v>
      </c>
      <c r="B57" s="47" t="s">
        <v>147</v>
      </c>
      <c r="C57" s="626" t="s">
        <v>1564</v>
      </c>
      <c r="D57" s="48" t="s">
        <v>120</v>
      </c>
      <c r="E57" s="48" t="s">
        <v>1365</v>
      </c>
      <c r="F57" s="691" t="s">
        <v>21</v>
      </c>
      <c r="G57" s="472" t="s">
        <v>19</v>
      </c>
      <c r="H57" s="691">
        <v>90114511</v>
      </c>
      <c r="I57" s="719" t="s">
        <v>1563</v>
      </c>
      <c r="J57" s="552" t="s">
        <v>29</v>
      </c>
      <c r="K57" s="274">
        <v>11</v>
      </c>
      <c r="L57" s="275">
        <f>235*12</f>
        <v>2820</v>
      </c>
      <c r="M57" s="276"/>
      <c r="N57" s="276"/>
      <c r="O57" s="275">
        <f t="shared" si="3"/>
        <v>2820</v>
      </c>
    </row>
    <row r="58" spans="1:15" ht="37.5" customHeight="1">
      <c r="A58" s="621" t="s">
        <v>27</v>
      </c>
      <c r="B58" s="47" t="s">
        <v>147</v>
      </c>
      <c r="C58" s="626" t="s">
        <v>1564</v>
      </c>
      <c r="D58" s="48" t="s">
        <v>1366</v>
      </c>
      <c r="E58" s="691" t="s">
        <v>1367</v>
      </c>
      <c r="F58" s="691" t="s">
        <v>21</v>
      </c>
      <c r="G58" s="472" t="s">
        <v>19</v>
      </c>
      <c r="H58" s="691">
        <v>90113883</v>
      </c>
      <c r="I58" s="719" t="s">
        <v>1565</v>
      </c>
      <c r="J58" s="552" t="s">
        <v>29</v>
      </c>
      <c r="K58" s="274">
        <v>9</v>
      </c>
      <c r="L58" s="275">
        <f>182*12</f>
        <v>2184</v>
      </c>
      <c r="M58" s="276"/>
      <c r="N58" s="276"/>
      <c r="O58" s="275">
        <f t="shared" si="3"/>
        <v>2184</v>
      </c>
    </row>
    <row r="59" spans="1:15" ht="37.5" customHeight="1">
      <c r="A59" s="593" t="s">
        <v>27</v>
      </c>
      <c r="B59" s="47" t="s">
        <v>147</v>
      </c>
      <c r="C59" s="47" t="s">
        <v>320</v>
      </c>
      <c r="D59" s="48" t="s">
        <v>1370</v>
      </c>
      <c r="E59" s="691" t="s">
        <v>1371</v>
      </c>
      <c r="F59" s="691" t="s">
        <v>21</v>
      </c>
      <c r="G59" s="472" t="s">
        <v>19</v>
      </c>
      <c r="H59" s="691">
        <v>90054962</v>
      </c>
      <c r="I59" s="719" t="s">
        <v>1566</v>
      </c>
      <c r="J59" s="552" t="s">
        <v>29</v>
      </c>
      <c r="K59" s="274">
        <v>12</v>
      </c>
      <c r="L59" s="275">
        <f>565*12</f>
        <v>6780</v>
      </c>
      <c r="M59" s="276"/>
      <c r="N59" s="276"/>
      <c r="O59" s="275">
        <f t="shared" si="3"/>
        <v>6780</v>
      </c>
    </row>
    <row r="60" spans="1:15" ht="37.5" customHeight="1">
      <c r="A60" s="621" t="s">
        <v>27</v>
      </c>
      <c r="B60" s="52" t="s">
        <v>147</v>
      </c>
      <c r="C60" s="52" t="s">
        <v>320</v>
      </c>
      <c r="D60" s="53" t="s">
        <v>252</v>
      </c>
      <c r="E60" s="568" t="s">
        <v>1372</v>
      </c>
      <c r="F60" s="568" t="s">
        <v>21</v>
      </c>
      <c r="G60" s="472" t="s">
        <v>19</v>
      </c>
      <c r="H60" s="691">
        <v>90054952</v>
      </c>
      <c r="I60" s="719" t="s">
        <v>1567</v>
      </c>
      <c r="J60" s="552" t="s">
        <v>29</v>
      </c>
      <c r="K60" s="274">
        <v>25</v>
      </c>
      <c r="L60" s="275">
        <f>759*12</f>
        <v>9108</v>
      </c>
      <c r="M60" s="276"/>
      <c r="N60" s="276"/>
      <c r="O60" s="275">
        <f t="shared" si="3"/>
        <v>9108</v>
      </c>
    </row>
    <row r="61" spans="1:15" ht="37.5" customHeight="1">
      <c r="A61" s="593" t="s">
        <v>27</v>
      </c>
      <c r="B61" s="47" t="s">
        <v>1210</v>
      </c>
      <c r="C61" s="47" t="s">
        <v>320</v>
      </c>
      <c r="D61" s="48" t="s">
        <v>1353</v>
      </c>
      <c r="E61" s="568" t="s">
        <v>1354</v>
      </c>
      <c r="F61" s="691" t="s">
        <v>21</v>
      </c>
      <c r="G61" s="472" t="s">
        <v>19</v>
      </c>
      <c r="H61" s="691">
        <v>90032564</v>
      </c>
      <c r="I61" s="719" t="s">
        <v>1568</v>
      </c>
      <c r="J61" s="552" t="s">
        <v>29</v>
      </c>
      <c r="K61" s="274">
        <v>10</v>
      </c>
      <c r="L61" s="275">
        <f>715*12</f>
        <v>8580</v>
      </c>
      <c r="M61" s="276"/>
      <c r="N61" s="276"/>
      <c r="O61" s="275">
        <f t="shared" si="3"/>
        <v>8580</v>
      </c>
    </row>
    <row r="62" spans="1:15" ht="37.5" customHeight="1">
      <c r="A62" s="621" t="s">
        <v>27</v>
      </c>
      <c r="B62" s="47" t="s">
        <v>539</v>
      </c>
      <c r="C62" s="626" t="s">
        <v>1355</v>
      </c>
      <c r="D62" s="48" t="s">
        <v>571</v>
      </c>
      <c r="E62" s="48" t="s">
        <v>1358</v>
      </c>
      <c r="F62" s="691" t="s">
        <v>21</v>
      </c>
      <c r="G62" s="472" t="s">
        <v>19</v>
      </c>
      <c r="H62" s="691">
        <v>90032648</v>
      </c>
      <c r="I62" s="719" t="s">
        <v>1569</v>
      </c>
      <c r="J62" s="552" t="s">
        <v>29</v>
      </c>
      <c r="K62" s="274">
        <v>16</v>
      </c>
      <c r="L62" s="275">
        <f>49*12</f>
        <v>588</v>
      </c>
      <c r="M62" s="276"/>
      <c r="N62" s="276"/>
      <c r="O62" s="275">
        <f t="shared" si="3"/>
        <v>588</v>
      </c>
    </row>
    <row r="63" spans="1:15" ht="37.5" customHeight="1" thickBot="1">
      <c r="A63" s="621" t="s">
        <v>18</v>
      </c>
      <c r="B63" s="52" t="s">
        <v>1214</v>
      </c>
      <c r="C63" s="796" t="s">
        <v>1355</v>
      </c>
      <c r="D63" s="53" t="s">
        <v>1356</v>
      </c>
      <c r="E63" s="48" t="s">
        <v>1357</v>
      </c>
      <c r="F63" s="48" t="s">
        <v>21</v>
      </c>
      <c r="G63" s="47" t="s">
        <v>19</v>
      </c>
      <c r="H63" s="691">
        <v>90032642</v>
      </c>
      <c r="I63" s="719" t="s">
        <v>1570</v>
      </c>
      <c r="J63" s="552" t="s">
        <v>29</v>
      </c>
      <c r="K63" s="274">
        <v>12</v>
      </c>
      <c r="L63" s="275">
        <f>204*12</f>
        <v>2448</v>
      </c>
      <c r="M63" s="276"/>
      <c r="N63" s="276"/>
      <c r="O63" s="275">
        <f t="shared" si="3"/>
        <v>2448</v>
      </c>
    </row>
    <row r="64" spans="2:15" ht="19.5" customHeight="1">
      <c r="B64" s="721" t="s">
        <v>23</v>
      </c>
      <c r="C64" s="82" t="s">
        <v>285</v>
      </c>
      <c r="D64" s="12"/>
      <c r="E64" s="20"/>
      <c r="F64" s="14"/>
      <c r="H64" s="1185" t="s">
        <v>1755</v>
      </c>
      <c r="I64" s="89" t="s">
        <v>307</v>
      </c>
      <c r="J64" s="125"/>
      <c r="K64" s="670"/>
      <c r="L64" s="33"/>
      <c r="N64" s="187" t="s">
        <v>24</v>
      </c>
      <c r="O64" s="585">
        <f>SUM(O28:O63)</f>
        <v>381180</v>
      </c>
    </row>
    <row r="65" spans="2:11" ht="15">
      <c r="B65" s="571"/>
      <c r="C65" s="70" t="s">
        <v>286</v>
      </c>
      <c r="D65" s="15"/>
      <c r="E65" s="20"/>
      <c r="F65" s="14"/>
      <c r="H65" s="16"/>
      <c r="I65" s="75" t="s">
        <v>1756</v>
      </c>
      <c r="J65" s="45"/>
      <c r="K65" s="181"/>
    </row>
    <row r="66" spans="2:12" ht="15.75" thickBot="1">
      <c r="B66" s="571"/>
      <c r="C66" s="70" t="s">
        <v>26</v>
      </c>
      <c r="D66" s="15"/>
      <c r="E66" s="14"/>
      <c r="F66" s="14"/>
      <c r="H66" s="1178"/>
      <c r="I66" s="74" t="s">
        <v>26</v>
      </c>
      <c r="J66" s="116"/>
      <c r="K66" s="182"/>
      <c r="L66" s="33"/>
    </row>
    <row r="67" spans="2:6" ht="15">
      <c r="B67" s="571" t="s">
        <v>169</v>
      </c>
      <c r="C67" s="70" t="s">
        <v>1834</v>
      </c>
      <c r="D67" s="15"/>
      <c r="E67" s="14"/>
      <c r="F67" s="14"/>
    </row>
    <row r="68" spans="2:6" ht="15.75" thickBot="1">
      <c r="B68" s="447" t="s">
        <v>1112</v>
      </c>
      <c r="C68" s="99" t="s">
        <v>1218</v>
      </c>
      <c r="D68" s="18"/>
      <c r="E68" s="14"/>
      <c r="F68" s="14"/>
    </row>
    <row r="69" spans="2:6" ht="15">
      <c r="B69" s="595"/>
      <c r="C69" s="70"/>
      <c r="D69" s="14"/>
      <c r="E69" s="14"/>
      <c r="F69" s="14"/>
    </row>
    <row r="70" ht="15" thickBot="1"/>
    <row r="71" spans="1:15" ht="45" customHeight="1">
      <c r="A71" s="1588" t="s">
        <v>7</v>
      </c>
      <c r="B71" s="1591" t="s">
        <v>664</v>
      </c>
      <c r="C71" s="1594" t="s">
        <v>9</v>
      </c>
      <c r="D71" s="1594" t="s">
        <v>10</v>
      </c>
      <c r="E71" s="1574" t="s">
        <v>665</v>
      </c>
      <c r="F71" s="1574" t="s">
        <v>12</v>
      </c>
      <c r="G71" s="1594" t="s">
        <v>13</v>
      </c>
      <c r="H71" s="1574" t="s">
        <v>282</v>
      </c>
      <c r="I71" s="1574" t="s">
        <v>14</v>
      </c>
      <c r="J71" s="1574" t="s">
        <v>60</v>
      </c>
      <c r="K71" s="1583" t="s">
        <v>666</v>
      </c>
      <c r="L71" s="1640" t="s">
        <v>667</v>
      </c>
      <c r="M71" s="1634"/>
      <c r="N71" s="1634"/>
      <c r="O71" s="1641"/>
    </row>
    <row r="72" spans="1:15" ht="40.5" customHeight="1">
      <c r="A72" s="1589"/>
      <c r="B72" s="1592"/>
      <c r="C72" s="1595"/>
      <c r="D72" s="1595"/>
      <c r="E72" s="1575"/>
      <c r="F72" s="1575"/>
      <c r="G72" s="1595"/>
      <c r="H72" s="1575"/>
      <c r="I72" s="1575"/>
      <c r="J72" s="1575"/>
      <c r="K72" s="1584"/>
      <c r="L72" s="1597" t="s">
        <v>668</v>
      </c>
      <c r="M72" s="1568"/>
      <c r="N72" s="1568"/>
      <c r="O72" s="1598"/>
    </row>
    <row r="73" spans="1:15" ht="36" customHeight="1" thickBot="1">
      <c r="A73" s="1590"/>
      <c r="B73" s="1593"/>
      <c r="C73" s="1596"/>
      <c r="D73" s="1596"/>
      <c r="E73" s="1576"/>
      <c r="F73" s="1576"/>
      <c r="G73" s="1596"/>
      <c r="H73" s="1576"/>
      <c r="I73" s="1576"/>
      <c r="J73" s="1576"/>
      <c r="K73" s="1585"/>
      <c r="L73" s="270" t="s">
        <v>669</v>
      </c>
      <c r="M73" s="277" t="s">
        <v>670</v>
      </c>
      <c r="N73" s="277" t="s">
        <v>671</v>
      </c>
      <c r="O73" s="272" t="s">
        <v>17</v>
      </c>
    </row>
    <row r="74" spans="1:15" s="27" customFormat="1" ht="30" thickBot="1">
      <c r="A74" s="593" t="s">
        <v>27</v>
      </c>
      <c r="B74" s="22" t="s">
        <v>308</v>
      </c>
      <c r="C74" s="22" t="s">
        <v>309</v>
      </c>
      <c r="D74" s="23" t="s">
        <v>172</v>
      </c>
      <c r="E74" s="800"/>
      <c r="F74" s="24" t="s">
        <v>21</v>
      </c>
      <c r="G74" s="25" t="s">
        <v>19</v>
      </c>
      <c r="H74" s="24">
        <v>90030861</v>
      </c>
      <c r="I74" s="719" t="s">
        <v>790</v>
      </c>
      <c r="J74" s="559" t="s">
        <v>67</v>
      </c>
      <c r="K74" s="66">
        <v>26</v>
      </c>
      <c r="L74" s="35"/>
      <c r="M74" s="34">
        <f>6120-1616</f>
        <v>4504</v>
      </c>
      <c r="N74" s="34">
        <f>14552-3312</f>
        <v>11240</v>
      </c>
      <c r="O74" s="34">
        <f>SUM(M74:N74)</f>
        <v>15744</v>
      </c>
    </row>
    <row r="75" spans="2:15" ht="19.5" customHeight="1">
      <c r="B75" s="721" t="s">
        <v>23</v>
      </c>
      <c r="C75" s="82" t="s">
        <v>285</v>
      </c>
      <c r="D75" s="12"/>
      <c r="E75" s="20"/>
      <c r="H75" s="180" t="s">
        <v>1755</v>
      </c>
      <c r="I75" s="89" t="s">
        <v>285</v>
      </c>
      <c r="J75" s="1182"/>
      <c r="K75" s="1183"/>
      <c r="N75" s="4" t="s">
        <v>24</v>
      </c>
      <c r="O75" s="574">
        <f>SUM(O66:O74)</f>
        <v>15744</v>
      </c>
    </row>
    <row r="76" spans="2:11" ht="15">
      <c r="B76" s="571"/>
      <c r="C76" s="70" t="s">
        <v>286</v>
      </c>
      <c r="D76" s="15"/>
      <c r="E76" s="20"/>
      <c r="H76" s="1184"/>
      <c r="I76" s="75" t="s">
        <v>286</v>
      </c>
      <c r="J76" s="60"/>
      <c r="K76" s="1114"/>
    </row>
    <row r="77" spans="2:11" ht="15.75" thickBot="1">
      <c r="B77" s="571"/>
      <c r="C77" s="70" t="s">
        <v>26</v>
      </c>
      <c r="D77" s="15"/>
      <c r="E77" s="14"/>
      <c r="H77" s="1195"/>
      <c r="I77" s="74" t="s">
        <v>26</v>
      </c>
      <c r="J77" s="1431"/>
      <c r="K77" s="709"/>
    </row>
    <row r="78" spans="2:5" ht="15">
      <c r="B78" s="571" t="s">
        <v>169</v>
      </c>
      <c r="C78" s="70" t="s">
        <v>1834</v>
      </c>
      <c r="D78" s="15"/>
      <c r="E78" s="14"/>
    </row>
    <row r="79" spans="2:5" ht="15.75" thickBot="1">
      <c r="B79" s="447" t="s">
        <v>1112</v>
      </c>
      <c r="C79" s="99" t="s">
        <v>1218</v>
      </c>
      <c r="D79" s="18"/>
      <c r="E79" s="14"/>
    </row>
    <row r="80" ht="15" thickBot="1"/>
    <row r="81" spans="1:15" ht="47.25" customHeight="1">
      <c r="A81" s="1588" t="s">
        <v>7</v>
      </c>
      <c r="B81" s="1591" t="s">
        <v>664</v>
      </c>
      <c r="C81" s="1594" t="s">
        <v>9</v>
      </c>
      <c r="D81" s="1594" t="s">
        <v>10</v>
      </c>
      <c r="E81" s="1574" t="s">
        <v>665</v>
      </c>
      <c r="F81" s="1574" t="s">
        <v>12</v>
      </c>
      <c r="G81" s="1594" t="s">
        <v>13</v>
      </c>
      <c r="H81" s="1574" t="s">
        <v>282</v>
      </c>
      <c r="I81" s="1574" t="s">
        <v>14</v>
      </c>
      <c r="J81" s="1574" t="s">
        <v>60</v>
      </c>
      <c r="K81" s="1583" t="s">
        <v>666</v>
      </c>
      <c r="L81" s="1640" t="s">
        <v>667</v>
      </c>
      <c r="M81" s="1634"/>
      <c r="N81" s="1634"/>
      <c r="O81" s="1641"/>
    </row>
    <row r="82" spans="1:15" ht="40.5" customHeight="1">
      <c r="A82" s="1589"/>
      <c r="B82" s="1592"/>
      <c r="C82" s="1595"/>
      <c r="D82" s="1595"/>
      <c r="E82" s="1575"/>
      <c r="F82" s="1575"/>
      <c r="G82" s="1595"/>
      <c r="H82" s="1575"/>
      <c r="I82" s="1575"/>
      <c r="J82" s="1575"/>
      <c r="K82" s="1584"/>
      <c r="L82" s="1597" t="s">
        <v>668</v>
      </c>
      <c r="M82" s="1568"/>
      <c r="N82" s="1568"/>
      <c r="O82" s="1598"/>
    </row>
    <row r="83" spans="1:15" ht="32.25" customHeight="1" thickBot="1">
      <c r="A83" s="1590"/>
      <c r="B83" s="1593"/>
      <c r="C83" s="1596"/>
      <c r="D83" s="1596"/>
      <c r="E83" s="1576"/>
      <c r="F83" s="1576"/>
      <c r="G83" s="1596"/>
      <c r="H83" s="1576"/>
      <c r="I83" s="1576"/>
      <c r="J83" s="1576"/>
      <c r="K83" s="1585"/>
      <c r="L83" s="270" t="s">
        <v>669</v>
      </c>
      <c r="M83" s="277" t="s">
        <v>670</v>
      </c>
      <c r="N83" s="277" t="s">
        <v>671</v>
      </c>
      <c r="O83" s="272" t="s">
        <v>17</v>
      </c>
    </row>
    <row r="84" spans="1:15" s="27" customFormat="1" ht="29.25">
      <c r="A84" s="593" t="s">
        <v>27</v>
      </c>
      <c r="B84" s="25" t="s">
        <v>310</v>
      </c>
      <c r="C84" s="25" t="s">
        <v>19</v>
      </c>
      <c r="D84" s="25" t="s">
        <v>311</v>
      </c>
      <c r="E84" s="24">
        <v>14</v>
      </c>
      <c r="F84" s="24" t="s">
        <v>21</v>
      </c>
      <c r="G84" s="25" t="s">
        <v>19</v>
      </c>
      <c r="H84" s="24">
        <v>50437447</v>
      </c>
      <c r="I84" s="719" t="s">
        <v>793</v>
      </c>
      <c r="J84" s="400" t="s">
        <v>22</v>
      </c>
      <c r="K84" s="26">
        <v>50</v>
      </c>
      <c r="L84" s="36">
        <f>(4236.52-688.15)*20</f>
        <v>70967.40000000001</v>
      </c>
      <c r="M84" s="32"/>
      <c r="N84" s="32"/>
      <c r="O84" s="36">
        <f>L84</f>
        <v>70967.40000000001</v>
      </c>
    </row>
    <row r="85" spans="1:15" s="27" customFormat="1" ht="29.25">
      <c r="A85" s="593" t="s">
        <v>27</v>
      </c>
      <c r="B85" s="24" t="s">
        <v>241</v>
      </c>
      <c r="C85" s="24" t="s">
        <v>289</v>
      </c>
      <c r="D85" s="25" t="s">
        <v>312</v>
      </c>
      <c r="E85" s="24">
        <v>8</v>
      </c>
      <c r="F85" s="24" t="s">
        <v>21</v>
      </c>
      <c r="G85" s="25" t="s">
        <v>19</v>
      </c>
      <c r="H85" s="24">
        <v>90032575</v>
      </c>
      <c r="I85" s="719" t="s">
        <v>789</v>
      </c>
      <c r="J85" s="559" t="s">
        <v>67</v>
      </c>
      <c r="K85" s="26">
        <v>6</v>
      </c>
      <c r="L85" s="35"/>
      <c r="M85" s="34">
        <f>35-21</f>
        <v>14</v>
      </c>
      <c r="N85" s="34">
        <f>55-16</f>
        <v>39</v>
      </c>
      <c r="O85" s="34">
        <f>SUM(M85:N85)</f>
        <v>53</v>
      </c>
    </row>
    <row r="86" spans="1:15" s="27" customFormat="1" ht="29.25">
      <c r="A86" s="593" t="s">
        <v>27</v>
      </c>
      <c r="B86" s="24" t="s">
        <v>241</v>
      </c>
      <c r="C86" s="24" t="s">
        <v>313</v>
      </c>
      <c r="D86" s="25" t="s">
        <v>252</v>
      </c>
      <c r="E86" s="24">
        <v>39</v>
      </c>
      <c r="F86" s="24" t="s">
        <v>21</v>
      </c>
      <c r="G86" s="25" t="s">
        <v>19</v>
      </c>
      <c r="H86" s="24">
        <v>879943</v>
      </c>
      <c r="I86" s="719" t="s">
        <v>795</v>
      </c>
      <c r="J86" s="417" t="s">
        <v>29</v>
      </c>
      <c r="K86" s="26">
        <v>6.6</v>
      </c>
      <c r="L86" s="36">
        <f>3242-2807</f>
        <v>435</v>
      </c>
      <c r="M86" s="32"/>
      <c r="N86" s="32"/>
      <c r="O86" s="36">
        <f>L86</f>
        <v>435</v>
      </c>
    </row>
    <row r="87" spans="1:15" s="27" customFormat="1" ht="29.25">
      <c r="A87" s="593" t="s">
        <v>27</v>
      </c>
      <c r="B87" s="24" t="s">
        <v>241</v>
      </c>
      <c r="C87" s="24" t="s">
        <v>314</v>
      </c>
      <c r="D87" s="24"/>
      <c r="E87" s="24"/>
      <c r="F87" s="24" t="s">
        <v>21</v>
      </c>
      <c r="G87" s="25" t="s">
        <v>19</v>
      </c>
      <c r="H87" s="24">
        <v>879958</v>
      </c>
      <c r="I87" s="719" t="s">
        <v>796</v>
      </c>
      <c r="J87" s="417" t="s">
        <v>29</v>
      </c>
      <c r="K87" s="26">
        <v>4</v>
      </c>
      <c r="L87" s="36">
        <f>4851-2570</f>
        <v>2281</v>
      </c>
      <c r="M87" s="32"/>
      <c r="N87" s="32"/>
      <c r="O87" s="36">
        <f>L87</f>
        <v>2281</v>
      </c>
    </row>
    <row r="88" spans="1:15" s="27" customFormat="1" ht="30" thickBot="1">
      <c r="A88" s="593" t="s">
        <v>27</v>
      </c>
      <c r="B88" s="22" t="s">
        <v>241</v>
      </c>
      <c r="C88" s="22" t="s">
        <v>315</v>
      </c>
      <c r="D88" s="23" t="s">
        <v>316</v>
      </c>
      <c r="E88" s="24">
        <v>1</v>
      </c>
      <c r="F88" s="24" t="s">
        <v>21</v>
      </c>
      <c r="G88" s="25" t="s">
        <v>19</v>
      </c>
      <c r="H88" s="24">
        <v>879944</v>
      </c>
      <c r="I88" s="719" t="s">
        <v>794</v>
      </c>
      <c r="J88" s="417" t="s">
        <v>29</v>
      </c>
      <c r="K88" s="26">
        <v>5</v>
      </c>
      <c r="L88" s="36">
        <f>21336-13035</f>
        <v>8301</v>
      </c>
      <c r="M88" s="179"/>
      <c r="N88" s="32"/>
      <c r="O88" s="36">
        <f>L88</f>
        <v>8301</v>
      </c>
    </row>
    <row r="89" spans="2:15" ht="21.75" customHeight="1">
      <c r="B89" s="721" t="s">
        <v>23</v>
      </c>
      <c r="C89" s="82" t="s">
        <v>285</v>
      </c>
      <c r="D89" s="12"/>
      <c r="E89" s="20"/>
      <c r="H89" s="180" t="s">
        <v>1755</v>
      </c>
      <c r="I89" s="89" t="s">
        <v>285</v>
      </c>
      <c r="J89" s="1182"/>
      <c r="K89" s="1183"/>
      <c r="L89" s="33"/>
      <c r="N89" s="4" t="s">
        <v>24</v>
      </c>
      <c r="O89" s="574">
        <f>SUM(O84:O88)</f>
        <v>82037.40000000001</v>
      </c>
    </row>
    <row r="90" spans="2:12" ht="15">
      <c r="B90" s="571"/>
      <c r="C90" s="70" t="s">
        <v>286</v>
      </c>
      <c r="D90" s="15"/>
      <c r="E90" s="20"/>
      <c r="H90" s="1184"/>
      <c r="I90" s="75" t="s">
        <v>286</v>
      </c>
      <c r="J90" s="60"/>
      <c r="K90" s="1114"/>
      <c r="L90" s="33"/>
    </row>
    <row r="91" spans="2:11" ht="15.75" thickBot="1">
      <c r="B91" s="571"/>
      <c r="C91" s="70" t="s">
        <v>26</v>
      </c>
      <c r="D91" s="15"/>
      <c r="E91" s="14"/>
      <c r="H91" s="1195"/>
      <c r="I91" s="74" t="s">
        <v>26</v>
      </c>
      <c r="J91" s="1431"/>
      <c r="K91" s="709"/>
    </row>
    <row r="92" spans="2:5" ht="15">
      <c r="B92" s="571" t="s">
        <v>169</v>
      </c>
      <c r="C92" s="70" t="s">
        <v>1834</v>
      </c>
      <c r="D92" s="15"/>
      <c r="E92" s="14"/>
    </row>
    <row r="93" spans="2:5" ht="15.75" thickBot="1">
      <c r="B93" s="447" t="s">
        <v>1112</v>
      </c>
      <c r="C93" s="99" t="s">
        <v>1218</v>
      </c>
      <c r="D93" s="18"/>
      <c r="E93" s="14"/>
    </row>
    <row r="94" ht="15" thickBot="1"/>
    <row r="95" spans="1:15" ht="45" customHeight="1">
      <c r="A95" s="1588" t="s">
        <v>7</v>
      </c>
      <c r="B95" s="1591" t="s">
        <v>664</v>
      </c>
      <c r="C95" s="1594" t="s">
        <v>9</v>
      </c>
      <c r="D95" s="1594" t="s">
        <v>10</v>
      </c>
      <c r="E95" s="1574" t="s">
        <v>665</v>
      </c>
      <c r="F95" s="1574" t="s">
        <v>12</v>
      </c>
      <c r="G95" s="1594" t="s">
        <v>13</v>
      </c>
      <c r="H95" s="1574" t="s">
        <v>282</v>
      </c>
      <c r="I95" s="1574" t="s">
        <v>14</v>
      </c>
      <c r="J95" s="1574" t="s">
        <v>60</v>
      </c>
      <c r="K95" s="1583" t="s">
        <v>666</v>
      </c>
      <c r="L95" s="1640" t="s">
        <v>667</v>
      </c>
      <c r="M95" s="1634"/>
      <c r="N95" s="1634"/>
      <c r="O95" s="1641"/>
    </row>
    <row r="96" spans="1:15" ht="40.5" customHeight="1">
      <c r="A96" s="1589"/>
      <c r="B96" s="1592"/>
      <c r="C96" s="1595"/>
      <c r="D96" s="1595"/>
      <c r="E96" s="1575"/>
      <c r="F96" s="1575"/>
      <c r="G96" s="1595"/>
      <c r="H96" s="1575"/>
      <c r="I96" s="1575"/>
      <c r="J96" s="1575"/>
      <c r="K96" s="1584"/>
      <c r="L96" s="1597" t="s">
        <v>668</v>
      </c>
      <c r="M96" s="1568"/>
      <c r="N96" s="1568"/>
      <c r="O96" s="1598"/>
    </row>
    <row r="97" spans="1:15" ht="35.25" customHeight="1" thickBot="1">
      <c r="A97" s="1590"/>
      <c r="B97" s="1593"/>
      <c r="C97" s="1596"/>
      <c r="D97" s="1596"/>
      <c r="E97" s="1576"/>
      <c r="F97" s="1576"/>
      <c r="G97" s="1596"/>
      <c r="H97" s="1576"/>
      <c r="I97" s="1576"/>
      <c r="J97" s="1576"/>
      <c r="K97" s="1585"/>
      <c r="L97" s="270" t="s">
        <v>669</v>
      </c>
      <c r="M97" s="277" t="s">
        <v>670</v>
      </c>
      <c r="N97" s="277" t="s">
        <v>671</v>
      </c>
      <c r="O97" s="272" t="s">
        <v>17</v>
      </c>
    </row>
    <row r="98" spans="1:15" ht="30" thickBot="1">
      <c r="A98" s="593" t="s">
        <v>27</v>
      </c>
      <c r="B98" s="9" t="s">
        <v>1723</v>
      </c>
      <c r="C98" s="9" t="s">
        <v>318</v>
      </c>
      <c r="D98" s="6"/>
      <c r="E98" s="6">
        <v>42</v>
      </c>
      <c r="F98" s="6" t="s">
        <v>21</v>
      </c>
      <c r="G98" s="9" t="s">
        <v>19</v>
      </c>
      <c r="H98" s="22">
        <v>4143458</v>
      </c>
      <c r="I98" s="797" t="s">
        <v>798</v>
      </c>
      <c r="J98" s="1069" t="s">
        <v>67</v>
      </c>
      <c r="K98" s="770">
        <v>39</v>
      </c>
      <c r="L98" s="39"/>
      <c r="M98" s="36">
        <f>(899.05-5.39)*20</f>
        <v>17873.2</v>
      </c>
      <c r="N98" s="36">
        <f>(2322.14-19.93)*20</f>
        <v>46044.2</v>
      </c>
      <c r="O98" s="34">
        <f>M98+N98</f>
        <v>63917.399999999994</v>
      </c>
    </row>
    <row r="99" spans="1:15" ht="15">
      <c r="A99" s="721" t="s">
        <v>23</v>
      </c>
      <c r="B99" s="82" t="s">
        <v>285</v>
      </c>
      <c r="C99" s="12"/>
      <c r="D99" s="10" t="s">
        <v>1725</v>
      </c>
      <c r="E99" s="125" t="s">
        <v>1723</v>
      </c>
      <c r="F99" s="11"/>
      <c r="G99" s="12"/>
      <c r="H99" s="10" t="s">
        <v>1725</v>
      </c>
      <c r="I99" s="11" t="s">
        <v>1726</v>
      </c>
      <c r="J99" s="11"/>
      <c r="K99" s="11"/>
      <c r="L99" s="12"/>
      <c r="N99" s="4" t="s">
        <v>24</v>
      </c>
      <c r="O99" s="574">
        <f>SUM(O94:O98)</f>
        <v>63917.399999999994</v>
      </c>
    </row>
    <row r="100" spans="1:12" ht="15">
      <c r="A100" s="571"/>
      <c r="B100" s="70" t="s">
        <v>286</v>
      </c>
      <c r="C100" s="15"/>
      <c r="D100" s="13"/>
      <c r="E100" s="14" t="s">
        <v>1724</v>
      </c>
      <c r="F100" s="14"/>
      <c r="G100" s="15"/>
      <c r="H100" s="13"/>
      <c r="I100" s="14" t="s">
        <v>1727</v>
      </c>
      <c r="J100" s="14"/>
      <c r="K100" s="14"/>
      <c r="L100" s="15"/>
    </row>
    <row r="101" spans="1:12" ht="15">
      <c r="A101" s="571"/>
      <c r="B101" s="70" t="s">
        <v>26</v>
      </c>
      <c r="C101" s="15"/>
      <c r="D101" s="13"/>
      <c r="E101" s="14" t="s">
        <v>26</v>
      </c>
      <c r="F101" s="14"/>
      <c r="G101" s="15"/>
      <c r="H101" s="13"/>
      <c r="I101" s="45" t="s">
        <v>26</v>
      </c>
      <c r="J101" s="14"/>
      <c r="K101" s="14"/>
      <c r="L101" s="15"/>
    </row>
    <row r="102" spans="1:12" ht="15">
      <c r="A102" s="571" t="s">
        <v>169</v>
      </c>
      <c r="B102" s="70" t="s">
        <v>1834</v>
      </c>
      <c r="C102" s="15"/>
      <c r="D102" s="13"/>
      <c r="E102" s="14"/>
      <c r="F102" s="14"/>
      <c r="G102" s="15"/>
      <c r="H102" s="13"/>
      <c r="I102" s="14"/>
      <c r="J102" s="14"/>
      <c r="K102" s="14"/>
      <c r="L102" s="15"/>
    </row>
    <row r="103" spans="1:12" ht="15.75" thickBot="1">
      <c r="A103" s="447" t="s">
        <v>1112</v>
      </c>
      <c r="B103" s="99" t="s">
        <v>1218</v>
      </c>
      <c r="C103" s="18"/>
      <c r="D103" s="73"/>
      <c r="E103" s="17"/>
      <c r="F103" s="17"/>
      <c r="G103" s="18"/>
      <c r="H103" s="73"/>
      <c r="I103" s="17"/>
      <c r="J103" s="17"/>
      <c r="K103" s="17"/>
      <c r="L103" s="18"/>
    </row>
    <row r="104" ht="14.25">
      <c r="K104" s="1"/>
    </row>
    <row r="105" ht="14.25">
      <c r="K105" s="1"/>
    </row>
    <row r="106" ht="14.25">
      <c r="K106" s="1"/>
    </row>
    <row r="107" ht="14.25"/>
    <row r="108" ht="15" thickBot="1"/>
    <row r="109" spans="1:15" ht="34.5" customHeight="1">
      <c r="A109" s="1588" t="s">
        <v>7</v>
      </c>
      <c r="B109" s="1591" t="s">
        <v>664</v>
      </c>
      <c r="C109" s="1594" t="s">
        <v>9</v>
      </c>
      <c r="D109" s="1594" t="s">
        <v>10</v>
      </c>
      <c r="E109" s="1574" t="s">
        <v>665</v>
      </c>
      <c r="F109" s="1574" t="s">
        <v>12</v>
      </c>
      <c r="G109" s="1594" t="s">
        <v>13</v>
      </c>
      <c r="H109" s="1574" t="s">
        <v>282</v>
      </c>
      <c r="I109" s="1574" t="s">
        <v>14</v>
      </c>
      <c r="J109" s="1574" t="s">
        <v>60</v>
      </c>
      <c r="K109" s="1583" t="s">
        <v>666</v>
      </c>
      <c r="L109" s="1640" t="s">
        <v>667</v>
      </c>
      <c r="M109" s="1634"/>
      <c r="N109" s="1634"/>
      <c r="O109" s="1641"/>
    </row>
    <row r="110" spans="1:15" ht="34.5" customHeight="1">
      <c r="A110" s="1589"/>
      <c r="B110" s="1592"/>
      <c r="C110" s="1595"/>
      <c r="D110" s="1595"/>
      <c r="E110" s="1575"/>
      <c r="F110" s="1575"/>
      <c r="G110" s="1595"/>
      <c r="H110" s="1575"/>
      <c r="I110" s="1575"/>
      <c r="J110" s="1575"/>
      <c r="K110" s="1584"/>
      <c r="L110" s="1597" t="s">
        <v>668</v>
      </c>
      <c r="M110" s="1568"/>
      <c r="N110" s="1568"/>
      <c r="O110" s="1598"/>
    </row>
    <row r="111" spans="1:15" ht="34.5" customHeight="1" thickBot="1">
      <c r="A111" s="1590"/>
      <c r="B111" s="1593"/>
      <c r="C111" s="1596"/>
      <c r="D111" s="1596"/>
      <c r="E111" s="1576"/>
      <c r="F111" s="1576"/>
      <c r="G111" s="1596"/>
      <c r="H111" s="1576"/>
      <c r="I111" s="1576"/>
      <c r="J111" s="1576"/>
      <c r="K111" s="1585"/>
      <c r="L111" s="589" t="s">
        <v>669</v>
      </c>
      <c r="M111" s="1159" t="s">
        <v>670</v>
      </c>
      <c r="N111" s="1159" t="s">
        <v>671</v>
      </c>
      <c r="O111" s="1160" t="s">
        <v>17</v>
      </c>
    </row>
    <row r="112" spans="1:15" ht="30" thickBot="1">
      <c r="A112" s="593" t="s">
        <v>27</v>
      </c>
      <c r="B112" s="3" t="s">
        <v>1728</v>
      </c>
      <c r="C112" s="3" t="s">
        <v>284</v>
      </c>
      <c r="D112" s="9" t="s">
        <v>319</v>
      </c>
      <c r="E112" s="6">
        <v>20</v>
      </c>
      <c r="F112" s="6" t="s">
        <v>21</v>
      </c>
      <c r="G112" s="9" t="s">
        <v>19</v>
      </c>
      <c r="H112" s="24">
        <v>4143395</v>
      </c>
      <c r="I112" s="719" t="s">
        <v>797</v>
      </c>
      <c r="J112" s="31" t="s">
        <v>67</v>
      </c>
      <c r="K112" s="8">
        <v>30</v>
      </c>
      <c r="L112" s="35"/>
      <c r="M112" s="36">
        <f>597*12</f>
        <v>7164</v>
      </c>
      <c r="N112" s="36">
        <f>1301*12</f>
        <v>15612</v>
      </c>
      <c r="O112" s="34">
        <f>M112+N112</f>
        <v>22776</v>
      </c>
    </row>
    <row r="113" spans="1:15" ht="15">
      <c r="A113" s="721" t="s">
        <v>23</v>
      </c>
      <c r="B113" s="82" t="s">
        <v>285</v>
      </c>
      <c r="C113" s="12"/>
      <c r="D113" s="10" t="s">
        <v>1722</v>
      </c>
      <c r="E113" s="11" t="s">
        <v>1728</v>
      </c>
      <c r="F113" s="11"/>
      <c r="G113" s="12"/>
      <c r="H113" s="10" t="s">
        <v>1725</v>
      </c>
      <c r="I113" s="11" t="s">
        <v>1726</v>
      </c>
      <c r="J113" s="11"/>
      <c r="K113" s="11"/>
      <c r="L113" s="12"/>
      <c r="N113" s="4" t="s">
        <v>24</v>
      </c>
      <c r="O113" s="574">
        <f>SUM(O108:O112)</f>
        <v>22776</v>
      </c>
    </row>
    <row r="114" spans="1:12" ht="15">
      <c r="A114" s="571"/>
      <c r="B114" s="70" t="s">
        <v>286</v>
      </c>
      <c r="C114" s="15"/>
      <c r="D114" s="13"/>
      <c r="E114" s="14" t="s">
        <v>1729</v>
      </c>
      <c r="F114" s="14"/>
      <c r="G114" s="15"/>
      <c r="H114" s="13"/>
      <c r="I114" s="14" t="s">
        <v>1727</v>
      </c>
      <c r="J114" s="14"/>
      <c r="K114" s="14"/>
      <c r="L114" s="15"/>
    </row>
    <row r="115" spans="1:12" ht="15">
      <c r="A115" s="571"/>
      <c r="B115" s="70" t="s">
        <v>26</v>
      </c>
      <c r="C115" s="15"/>
      <c r="D115" s="13"/>
      <c r="E115" s="14" t="s">
        <v>1730</v>
      </c>
      <c r="F115" s="14"/>
      <c r="G115" s="15"/>
      <c r="H115" s="13"/>
      <c r="I115" s="45" t="s">
        <v>26</v>
      </c>
      <c r="J115" s="14"/>
      <c r="K115" s="14"/>
      <c r="L115" s="15"/>
    </row>
    <row r="116" spans="1:12" ht="15">
      <c r="A116" s="571" t="s">
        <v>169</v>
      </c>
      <c r="B116" s="70" t="s">
        <v>1834</v>
      </c>
      <c r="C116" s="15"/>
      <c r="D116" s="13"/>
      <c r="E116" s="14" t="s">
        <v>26</v>
      </c>
      <c r="F116" s="14"/>
      <c r="G116" s="15"/>
      <c r="H116" s="13"/>
      <c r="I116" s="14"/>
      <c r="J116" s="14"/>
      <c r="K116" s="14"/>
      <c r="L116" s="15"/>
    </row>
    <row r="117" spans="1:12" ht="15.75" thickBot="1">
      <c r="A117" s="447" t="s">
        <v>1112</v>
      </c>
      <c r="B117" s="99" t="s">
        <v>1218</v>
      </c>
      <c r="C117" s="18"/>
      <c r="D117" s="73"/>
      <c r="E117" s="17"/>
      <c r="F117" s="17"/>
      <c r="G117" s="18"/>
      <c r="H117" s="73"/>
      <c r="I117" s="17"/>
      <c r="J117" s="17"/>
      <c r="K117" s="17"/>
      <c r="L117" s="18"/>
    </row>
    <row r="118" ht="14.25">
      <c r="K118" s="1"/>
    </row>
    <row r="119" ht="14.25">
      <c r="K119" s="1"/>
    </row>
    <row r="120" ht="14.25"/>
    <row r="121" ht="15" thickBot="1"/>
    <row r="122" spans="1:15" ht="33.75" customHeight="1">
      <c r="A122" s="1588" t="s">
        <v>7</v>
      </c>
      <c r="B122" s="1591" t="s">
        <v>664</v>
      </c>
      <c r="C122" s="1594" t="s">
        <v>9</v>
      </c>
      <c r="D122" s="1594" t="s">
        <v>10</v>
      </c>
      <c r="E122" s="1574" t="s">
        <v>665</v>
      </c>
      <c r="F122" s="1574" t="s">
        <v>12</v>
      </c>
      <c r="G122" s="1594" t="s">
        <v>13</v>
      </c>
      <c r="H122" s="1574" t="s">
        <v>282</v>
      </c>
      <c r="I122" s="1574" t="s">
        <v>14</v>
      </c>
      <c r="J122" s="1574" t="s">
        <v>60</v>
      </c>
      <c r="K122" s="1583" t="s">
        <v>666</v>
      </c>
      <c r="L122" s="1640" t="s">
        <v>667</v>
      </c>
      <c r="M122" s="1634"/>
      <c r="N122" s="1634"/>
      <c r="O122" s="1641"/>
    </row>
    <row r="123" spans="1:15" ht="33.75" customHeight="1">
      <c r="A123" s="1589"/>
      <c r="B123" s="1592"/>
      <c r="C123" s="1595"/>
      <c r="D123" s="1595"/>
      <c r="E123" s="1575"/>
      <c r="F123" s="1575"/>
      <c r="G123" s="1595"/>
      <c r="H123" s="1575"/>
      <c r="I123" s="1575"/>
      <c r="J123" s="1575"/>
      <c r="K123" s="1584"/>
      <c r="L123" s="1597" t="s">
        <v>668</v>
      </c>
      <c r="M123" s="1568"/>
      <c r="N123" s="1568"/>
      <c r="O123" s="1598"/>
    </row>
    <row r="124" spans="1:15" ht="33.75" customHeight="1" thickBot="1">
      <c r="A124" s="1590"/>
      <c r="B124" s="1593"/>
      <c r="C124" s="1596"/>
      <c r="D124" s="1596"/>
      <c r="E124" s="1576"/>
      <c r="F124" s="1576"/>
      <c r="G124" s="1596"/>
      <c r="H124" s="1576"/>
      <c r="I124" s="1576"/>
      <c r="J124" s="1576"/>
      <c r="K124" s="1585"/>
      <c r="L124" s="589" t="s">
        <v>669</v>
      </c>
      <c r="M124" s="1159" t="s">
        <v>670</v>
      </c>
      <c r="N124" s="1159" t="s">
        <v>671</v>
      </c>
      <c r="O124" s="1160" t="s">
        <v>17</v>
      </c>
    </row>
    <row r="125" spans="1:15" ht="30" thickBot="1">
      <c r="A125" s="593" t="s">
        <v>27</v>
      </c>
      <c r="B125" s="23" t="s">
        <v>1731</v>
      </c>
      <c r="C125" s="9" t="s">
        <v>320</v>
      </c>
      <c r="D125" s="6" t="s">
        <v>1746</v>
      </c>
      <c r="E125" s="6">
        <v>154</v>
      </c>
      <c r="F125" s="6" t="s">
        <v>21</v>
      </c>
      <c r="G125" s="9" t="s">
        <v>19</v>
      </c>
      <c r="H125" s="24">
        <v>4099697</v>
      </c>
      <c r="I125" s="719" t="s">
        <v>792</v>
      </c>
      <c r="J125" s="389" t="s">
        <v>72</v>
      </c>
      <c r="K125" s="8">
        <v>60</v>
      </c>
      <c r="L125" s="35"/>
      <c r="M125" s="34">
        <f>2353*10</f>
        <v>23530</v>
      </c>
      <c r="N125" s="34">
        <f>6534*10</f>
        <v>65340</v>
      </c>
      <c r="O125" s="34">
        <f>M125+N125</f>
        <v>88870</v>
      </c>
    </row>
    <row r="126" spans="1:15" ht="15">
      <c r="A126" s="721" t="s">
        <v>23</v>
      </c>
      <c r="B126" s="82" t="s">
        <v>285</v>
      </c>
      <c r="C126" s="12"/>
      <c r="D126" s="10" t="s">
        <v>1722</v>
      </c>
      <c r="E126" s="11" t="s">
        <v>1731</v>
      </c>
      <c r="F126" s="11"/>
      <c r="G126" s="12"/>
      <c r="H126" s="10" t="s">
        <v>1725</v>
      </c>
      <c r="I126" s="11" t="s">
        <v>1726</v>
      </c>
      <c r="J126" s="11"/>
      <c r="K126" s="11"/>
      <c r="L126" s="12"/>
      <c r="N126" s="4" t="s">
        <v>24</v>
      </c>
      <c r="O126" s="574">
        <f>SUM(O121:O125)</f>
        <v>88870</v>
      </c>
    </row>
    <row r="127" spans="1:12" ht="15">
      <c r="A127" s="571"/>
      <c r="B127" s="70" t="s">
        <v>286</v>
      </c>
      <c r="C127" s="15"/>
      <c r="D127" s="13"/>
      <c r="E127" s="14" t="s">
        <v>320</v>
      </c>
      <c r="F127" s="14"/>
      <c r="G127" s="15"/>
      <c r="H127" s="13"/>
      <c r="I127" s="14" t="s">
        <v>1727</v>
      </c>
      <c r="J127" s="14"/>
      <c r="K127" s="14"/>
      <c r="L127" s="15"/>
    </row>
    <row r="128" spans="1:12" ht="15">
      <c r="A128" s="571"/>
      <c r="B128" s="70" t="s">
        <v>26</v>
      </c>
      <c r="C128" s="15"/>
      <c r="D128" s="13"/>
      <c r="E128" s="14" t="s">
        <v>1732</v>
      </c>
      <c r="F128" s="14"/>
      <c r="G128" s="15"/>
      <c r="H128" s="13"/>
      <c r="I128" s="45" t="s">
        <v>26</v>
      </c>
      <c r="J128" s="14"/>
      <c r="K128" s="14"/>
      <c r="L128" s="15"/>
    </row>
    <row r="129" spans="1:12" ht="15">
      <c r="A129" s="571" t="s">
        <v>169</v>
      </c>
      <c r="B129" s="70" t="s">
        <v>1834</v>
      </c>
      <c r="C129" s="15"/>
      <c r="D129" s="13"/>
      <c r="E129" s="14" t="s">
        <v>26</v>
      </c>
      <c r="F129" s="14"/>
      <c r="G129" s="15"/>
      <c r="H129" s="13"/>
      <c r="I129" s="14"/>
      <c r="J129" s="14"/>
      <c r="K129" s="14"/>
      <c r="L129" s="15"/>
    </row>
    <row r="130" spans="1:12" ht="15.75" thickBot="1">
      <c r="A130" s="447" t="s">
        <v>1112</v>
      </c>
      <c r="B130" s="99" t="s">
        <v>1218</v>
      </c>
      <c r="C130" s="18"/>
      <c r="D130" s="73"/>
      <c r="E130" s="17"/>
      <c r="F130" s="17"/>
      <c r="G130" s="18"/>
      <c r="H130" s="73"/>
      <c r="I130" s="17"/>
      <c r="J130" s="17"/>
      <c r="K130" s="17"/>
      <c r="L130" s="18"/>
    </row>
    <row r="131" ht="14.25">
      <c r="K131" s="1"/>
    </row>
    <row r="132" ht="14.25"/>
    <row r="133" ht="14.25"/>
    <row r="134" ht="15" thickBot="1"/>
    <row r="135" spans="1:15" ht="36.75" customHeight="1">
      <c r="A135" s="1588" t="s">
        <v>7</v>
      </c>
      <c r="B135" s="1591" t="s">
        <v>664</v>
      </c>
      <c r="C135" s="1594" t="s">
        <v>9</v>
      </c>
      <c r="D135" s="1594" t="s">
        <v>10</v>
      </c>
      <c r="E135" s="1574" t="s">
        <v>665</v>
      </c>
      <c r="F135" s="1574" t="s">
        <v>12</v>
      </c>
      <c r="G135" s="1594" t="s">
        <v>13</v>
      </c>
      <c r="H135" s="1574" t="s">
        <v>282</v>
      </c>
      <c r="I135" s="1574" t="s">
        <v>14</v>
      </c>
      <c r="J135" s="1574" t="s">
        <v>60</v>
      </c>
      <c r="K135" s="1583" t="s">
        <v>666</v>
      </c>
      <c r="L135" s="1640" t="s">
        <v>667</v>
      </c>
      <c r="M135" s="1634"/>
      <c r="N135" s="1634"/>
      <c r="O135" s="1641"/>
    </row>
    <row r="136" spans="1:15" ht="36.75" customHeight="1">
      <c r="A136" s="1589"/>
      <c r="B136" s="1592"/>
      <c r="C136" s="1595"/>
      <c r="D136" s="1595"/>
      <c r="E136" s="1575"/>
      <c r="F136" s="1575"/>
      <c r="G136" s="1595"/>
      <c r="H136" s="1575"/>
      <c r="I136" s="1575"/>
      <c r="J136" s="1575"/>
      <c r="K136" s="1584"/>
      <c r="L136" s="1597" t="s">
        <v>668</v>
      </c>
      <c r="M136" s="1568"/>
      <c r="N136" s="1568"/>
      <c r="O136" s="1598"/>
    </row>
    <row r="137" spans="1:15" ht="36.75" customHeight="1" thickBot="1">
      <c r="A137" s="1590"/>
      <c r="B137" s="1593"/>
      <c r="C137" s="1596"/>
      <c r="D137" s="1596"/>
      <c r="E137" s="1576"/>
      <c r="F137" s="1576"/>
      <c r="G137" s="1596"/>
      <c r="H137" s="1576"/>
      <c r="I137" s="1576"/>
      <c r="J137" s="1576"/>
      <c r="K137" s="1585"/>
      <c r="L137" s="589" t="s">
        <v>669</v>
      </c>
      <c r="M137" s="1159" t="s">
        <v>670</v>
      </c>
      <c r="N137" s="1159" t="s">
        <v>671</v>
      </c>
      <c r="O137" s="1160" t="s">
        <v>17</v>
      </c>
    </row>
    <row r="138" spans="1:15" ht="44.25" thickBot="1">
      <c r="A138" s="593" t="s">
        <v>27</v>
      </c>
      <c r="B138" s="9" t="s">
        <v>321</v>
      </c>
      <c r="C138" s="9" t="s">
        <v>322</v>
      </c>
      <c r="D138" s="6"/>
      <c r="E138" s="9" t="s">
        <v>82</v>
      </c>
      <c r="F138" s="6" t="s">
        <v>21</v>
      </c>
      <c r="G138" s="9" t="s">
        <v>19</v>
      </c>
      <c r="H138" s="24">
        <v>4099764</v>
      </c>
      <c r="I138" s="719" t="s">
        <v>824</v>
      </c>
      <c r="J138" s="31" t="s">
        <v>67</v>
      </c>
      <c r="K138" s="8">
        <v>39</v>
      </c>
      <c r="L138" s="35"/>
      <c r="M138" s="34">
        <f>29617-18165</f>
        <v>11452</v>
      </c>
      <c r="N138" s="34">
        <f>58459-35011</f>
        <v>23448</v>
      </c>
      <c r="O138" s="34">
        <f>M138+N138</f>
        <v>34900</v>
      </c>
    </row>
    <row r="139" spans="1:15" ht="15">
      <c r="A139" s="721" t="s">
        <v>23</v>
      </c>
      <c r="B139" s="82" t="s">
        <v>285</v>
      </c>
      <c r="C139" s="12"/>
      <c r="D139" s="10" t="s">
        <v>1722</v>
      </c>
      <c r="E139" s="11" t="s">
        <v>1733</v>
      </c>
      <c r="F139" s="11"/>
      <c r="G139" s="12"/>
      <c r="H139" s="10" t="s">
        <v>1725</v>
      </c>
      <c r="I139" s="11" t="s">
        <v>1726</v>
      </c>
      <c r="J139" s="11"/>
      <c r="K139" s="11"/>
      <c r="L139" s="12"/>
      <c r="N139" s="4" t="s">
        <v>24</v>
      </c>
      <c r="O139" s="574">
        <f>SUM(O134:O138)</f>
        <v>34900</v>
      </c>
    </row>
    <row r="140" spans="1:12" ht="15">
      <c r="A140" s="571"/>
      <c r="B140" s="70" t="s">
        <v>286</v>
      </c>
      <c r="C140" s="15"/>
      <c r="D140" s="13"/>
      <c r="E140" s="14" t="s">
        <v>1734</v>
      </c>
      <c r="F140" s="14"/>
      <c r="G140" s="15"/>
      <c r="H140" s="13"/>
      <c r="I140" s="14" t="s">
        <v>1727</v>
      </c>
      <c r="J140" s="14"/>
      <c r="K140" s="14"/>
      <c r="L140" s="15"/>
    </row>
    <row r="141" spans="1:12" ht="15">
      <c r="A141" s="571"/>
      <c r="B141" s="70" t="s">
        <v>26</v>
      </c>
      <c r="C141" s="15"/>
      <c r="D141" s="13"/>
      <c r="E141" s="14" t="s">
        <v>1735</v>
      </c>
      <c r="F141" s="14"/>
      <c r="G141" s="15"/>
      <c r="H141" s="13"/>
      <c r="I141" s="45" t="s">
        <v>26</v>
      </c>
      <c r="J141" s="14"/>
      <c r="K141" s="14"/>
      <c r="L141" s="15"/>
    </row>
    <row r="142" spans="1:12" ht="15">
      <c r="A142" s="571" t="s">
        <v>169</v>
      </c>
      <c r="B142" s="70" t="s">
        <v>1834</v>
      </c>
      <c r="C142" s="15"/>
      <c r="D142" s="13"/>
      <c r="E142" s="14" t="s">
        <v>26</v>
      </c>
      <c r="F142" s="14"/>
      <c r="G142" s="15"/>
      <c r="H142" s="13"/>
      <c r="I142" s="14"/>
      <c r="J142" s="14"/>
      <c r="K142" s="14"/>
      <c r="L142" s="15"/>
    </row>
    <row r="143" spans="1:12" ht="15.75" thickBot="1">
      <c r="A143" s="447" t="s">
        <v>1112</v>
      </c>
      <c r="B143" s="99" t="s">
        <v>1218</v>
      </c>
      <c r="C143" s="18"/>
      <c r="D143" s="73"/>
      <c r="E143" s="17"/>
      <c r="F143" s="17"/>
      <c r="G143" s="18"/>
      <c r="H143" s="73"/>
      <c r="I143" s="17"/>
      <c r="J143" s="17"/>
      <c r="K143" s="17"/>
      <c r="L143" s="18"/>
    </row>
    <row r="144" ht="14.25"/>
    <row r="145" ht="14.25"/>
    <row r="146" ht="15" thickBot="1"/>
    <row r="147" spans="1:15" ht="39.75" customHeight="1">
      <c r="A147" s="1588" t="s">
        <v>7</v>
      </c>
      <c r="B147" s="1591" t="s">
        <v>664</v>
      </c>
      <c r="C147" s="1594" t="s">
        <v>9</v>
      </c>
      <c r="D147" s="1594" t="s">
        <v>10</v>
      </c>
      <c r="E147" s="1574" t="s">
        <v>665</v>
      </c>
      <c r="F147" s="1574" t="s">
        <v>12</v>
      </c>
      <c r="G147" s="1594" t="s">
        <v>13</v>
      </c>
      <c r="H147" s="1574" t="s">
        <v>282</v>
      </c>
      <c r="I147" s="1574" t="s">
        <v>14</v>
      </c>
      <c r="J147" s="1574" t="s">
        <v>60</v>
      </c>
      <c r="K147" s="1583" t="s">
        <v>666</v>
      </c>
      <c r="L147" s="1640" t="s">
        <v>667</v>
      </c>
      <c r="M147" s="1634"/>
      <c r="N147" s="1634"/>
      <c r="O147" s="1641"/>
    </row>
    <row r="148" spans="1:15" ht="39.75" customHeight="1">
      <c r="A148" s="1589"/>
      <c r="B148" s="1592"/>
      <c r="C148" s="1595"/>
      <c r="D148" s="1595"/>
      <c r="E148" s="1575"/>
      <c r="F148" s="1575"/>
      <c r="G148" s="1595"/>
      <c r="H148" s="1575"/>
      <c r="I148" s="1575"/>
      <c r="J148" s="1575"/>
      <c r="K148" s="1584"/>
      <c r="L148" s="1597" t="s">
        <v>668</v>
      </c>
      <c r="M148" s="1568"/>
      <c r="N148" s="1568"/>
      <c r="O148" s="1598"/>
    </row>
    <row r="149" spans="1:15" ht="39.75" customHeight="1" thickBot="1">
      <c r="A149" s="1590"/>
      <c r="B149" s="1593"/>
      <c r="C149" s="1596"/>
      <c r="D149" s="1596"/>
      <c r="E149" s="1576"/>
      <c r="F149" s="1576"/>
      <c r="G149" s="1596"/>
      <c r="H149" s="1576"/>
      <c r="I149" s="1576"/>
      <c r="J149" s="1576"/>
      <c r="K149" s="1585"/>
      <c r="L149" s="589" t="s">
        <v>669</v>
      </c>
      <c r="M149" s="1159" t="s">
        <v>670</v>
      </c>
      <c r="N149" s="1159" t="s">
        <v>671</v>
      </c>
      <c r="O149" s="1160" t="s">
        <v>17</v>
      </c>
    </row>
    <row r="150" spans="1:15" ht="44.25" thickBot="1">
      <c r="A150" s="593" t="s">
        <v>27</v>
      </c>
      <c r="B150" s="9" t="s">
        <v>1747</v>
      </c>
      <c r="C150" s="9" t="s">
        <v>28</v>
      </c>
      <c r="D150" s="9" t="s">
        <v>298</v>
      </c>
      <c r="E150" s="6">
        <v>18</v>
      </c>
      <c r="F150" s="9" t="s">
        <v>21</v>
      </c>
      <c r="G150" s="9" t="s">
        <v>19</v>
      </c>
      <c r="H150" s="24">
        <v>4099065</v>
      </c>
      <c r="I150" s="719" t="s">
        <v>825</v>
      </c>
      <c r="J150" s="389" t="s">
        <v>72</v>
      </c>
      <c r="K150" s="8">
        <v>60</v>
      </c>
      <c r="L150" s="35"/>
      <c r="M150" s="34">
        <f>2349*10</f>
        <v>23490</v>
      </c>
      <c r="N150" s="34">
        <f>7717*10</f>
        <v>77170</v>
      </c>
      <c r="O150" s="34">
        <f>M150+N150</f>
        <v>100660</v>
      </c>
    </row>
    <row r="151" spans="1:15" ht="15">
      <c r="A151" s="721" t="s">
        <v>23</v>
      </c>
      <c r="B151" s="82" t="s">
        <v>285</v>
      </c>
      <c r="C151" s="12"/>
      <c r="D151" s="10" t="s">
        <v>1722</v>
      </c>
      <c r="E151" s="11" t="s">
        <v>1736</v>
      </c>
      <c r="F151" s="11"/>
      <c r="G151" s="12"/>
      <c r="H151" s="10" t="s">
        <v>1725</v>
      </c>
      <c r="I151" s="11" t="s">
        <v>1726</v>
      </c>
      <c r="J151" s="11"/>
      <c r="K151" s="11"/>
      <c r="L151" s="12"/>
      <c r="N151" s="4" t="s">
        <v>24</v>
      </c>
      <c r="O151" s="574">
        <f>SUM(O146:O150)</f>
        <v>100660</v>
      </c>
    </row>
    <row r="152" spans="1:12" ht="15">
      <c r="A152" s="571"/>
      <c r="B152" s="70" t="s">
        <v>286</v>
      </c>
      <c r="C152" s="15"/>
      <c r="D152" s="13"/>
      <c r="E152" s="14" t="s">
        <v>1737</v>
      </c>
      <c r="F152" s="14"/>
      <c r="G152" s="15"/>
      <c r="H152" s="13"/>
      <c r="I152" s="14" t="s">
        <v>1727</v>
      </c>
      <c r="J152" s="14"/>
      <c r="K152" s="14"/>
      <c r="L152" s="15"/>
    </row>
    <row r="153" spans="1:12" ht="15">
      <c r="A153" s="571"/>
      <c r="B153" s="70" t="s">
        <v>26</v>
      </c>
      <c r="C153" s="15"/>
      <c r="D153" s="13"/>
      <c r="E153" s="14" t="s">
        <v>1738</v>
      </c>
      <c r="F153" s="14"/>
      <c r="G153" s="15"/>
      <c r="H153" s="13"/>
      <c r="I153" s="45" t="s">
        <v>26</v>
      </c>
      <c r="J153" s="14"/>
      <c r="K153" s="14"/>
      <c r="L153" s="15"/>
    </row>
    <row r="154" spans="1:12" ht="15">
      <c r="A154" s="571" t="s">
        <v>169</v>
      </c>
      <c r="B154" s="70" t="s">
        <v>1834</v>
      </c>
      <c r="C154" s="15"/>
      <c r="D154" s="13"/>
      <c r="E154" s="14" t="s">
        <v>26</v>
      </c>
      <c r="F154" s="14"/>
      <c r="G154" s="15"/>
      <c r="H154" s="13"/>
      <c r="I154" s="14"/>
      <c r="J154" s="14"/>
      <c r="K154" s="14"/>
      <c r="L154" s="15"/>
    </row>
    <row r="155" spans="1:12" ht="15.75" thickBot="1">
      <c r="A155" s="447" t="s">
        <v>1112</v>
      </c>
      <c r="B155" s="99" t="s">
        <v>1218</v>
      </c>
      <c r="C155" s="18"/>
      <c r="D155" s="73"/>
      <c r="E155" s="17"/>
      <c r="F155" s="17"/>
      <c r="G155" s="18"/>
      <c r="H155" s="73"/>
      <c r="I155" s="17"/>
      <c r="J155" s="17"/>
      <c r="K155" s="17"/>
      <c r="L155" s="18"/>
    </row>
    <row r="156" ht="14.25">
      <c r="K156" s="1"/>
    </row>
    <row r="157" ht="14.25"/>
    <row r="158" ht="14.25"/>
    <row r="159" ht="15" thickBot="1"/>
    <row r="160" spans="1:15" ht="38.25" customHeight="1">
      <c r="A160" s="1588" t="s">
        <v>7</v>
      </c>
      <c r="B160" s="1591" t="s">
        <v>664</v>
      </c>
      <c r="C160" s="1594" t="s">
        <v>9</v>
      </c>
      <c r="D160" s="1594" t="s">
        <v>10</v>
      </c>
      <c r="E160" s="1574" t="s">
        <v>665</v>
      </c>
      <c r="F160" s="1574" t="s">
        <v>12</v>
      </c>
      <c r="G160" s="1594" t="s">
        <v>13</v>
      </c>
      <c r="H160" s="1574" t="s">
        <v>282</v>
      </c>
      <c r="I160" s="1574" t="s">
        <v>14</v>
      </c>
      <c r="J160" s="1574" t="s">
        <v>60</v>
      </c>
      <c r="K160" s="1583" t="s">
        <v>666</v>
      </c>
      <c r="L160" s="1640" t="s">
        <v>667</v>
      </c>
      <c r="M160" s="1634"/>
      <c r="N160" s="1634"/>
      <c r="O160" s="1641"/>
    </row>
    <row r="161" spans="1:15" ht="38.25" customHeight="1">
      <c r="A161" s="1589"/>
      <c r="B161" s="1592"/>
      <c r="C161" s="1595"/>
      <c r="D161" s="1595"/>
      <c r="E161" s="1575"/>
      <c r="F161" s="1575"/>
      <c r="G161" s="1595"/>
      <c r="H161" s="1575"/>
      <c r="I161" s="1575"/>
      <c r="J161" s="1575"/>
      <c r="K161" s="1584"/>
      <c r="L161" s="1597" t="s">
        <v>668</v>
      </c>
      <c r="M161" s="1568"/>
      <c r="N161" s="1568"/>
      <c r="O161" s="1598"/>
    </row>
    <row r="162" spans="1:15" ht="38.25" customHeight="1" thickBot="1">
      <c r="A162" s="1590"/>
      <c r="B162" s="1593"/>
      <c r="C162" s="1596"/>
      <c r="D162" s="1596"/>
      <c r="E162" s="1576"/>
      <c r="F162" s="1576"/>
      <c r="G162" s="1596"/>
      <c r="H162" s="1576"/>
      <c r="I162" s="1576"/>
      <c r="J162" s="1576"/>
      <c r="K162" s="1585"/>
      <c r="L162" s="589" t="s">
        <v>669</v>
      </c>
      <c r="M162" s="1159" t="s">
        <v>670</v>
      </c>
      <c r="N162" s="1159" t="s">
        <v>671</v>
      </c>
      <c r="O162" s="1160" t="s">
        <v>17</v>
      </c>
    </row>
    <row r="163" spans="1:15" ht="36" customHeight="1" thickBot="1">
      <c r="A163" s="593" t="s">
        <v>27</v>
      </c>
      <c r="B163" s="9" t="s">
        <v>1739</v>
      </c>
      <c r="C163" s="9" t="s">
        <v>289</v>
      </c>
      <c r="D163" s="9" t="s">
        <v>323</v>
      </c>
      <c r="E163" s="6">
        <v>34</v>
      </c>
      <c r="F163" s="6" t="s">
        <v>21</v>
      </c>
      <c r="G163" s="9" t="s">
        <v>19</v>
      </c>
      <c r="H163" s="24">
        <v>4146189</v>
      </c>
      <c r="I163" s="719" t="s">
        <v>800</v>
      </c>
      <c r="J163" s="31" t="s">
        <v>67</v>
      </c>
      <c r="K163" s="8">
        <v>60</v>
      </c>
      <c r="L163" s="35"/>
      <c r="M163" s="36">
        <f>1931*12</f>
        <v>23172</v>
      </c>
      <c r="N163" s="36">
        <f>4234*12</f>
        <v>50808</v>
      </c>
      <c r="O163" s="34">
        <f>M163+N163</f>
        <v>73980</v>
      </c>
    </row>
    <row r="164" spans="1:15" ht="15" customHeight="1">
      <c r="A164" s="721" t="s">
        <v>23</v>
      </c>
      <c r="B164" s="82" t="s">
        <v>285</v>
      </c>
      <c r="C164" s="12"/>
      <c r="D164" s="10" t="s">
        <v>1722</v>
      </c>
      <c r="E164" s="11" t="s">
        <v>1739</v>
      </c>
      <c r="F164" s="11"/>
      <c r="G164" s="12"/>
      <c r="H164" s="10" t="s">
        <v>1725</v>
      </c>
      <c r="I164" s="11" t="s">
        <v>1726</v>
      </c>
      <c r="J164" s="11"/>
      <c r="K164" s="11"/>
      <c r="L164" s="12"/>
      <c r="N164" s="4" t="s">
        <v>24</v>
      </c>
      <c r="O164" s="574">
        <f>SUM(O159:O163)</f>
        <v>73980</v>
      </c>
    </row>
    <row r="165" spans="1:12" ht="15" customHeight="1">
      <c r="A165" s="571"/>
      <c r="B165" s="70" t="s">
        <v>286</v>
      </c>
      <c r="C165" s="15"/>
      <c r="D165" s="13"/>
      <c r="E165" s="14" t="s">
        <v>1740</v>
      </c>
      <c r="F165" s="14"/>
      <c r="G165" s="15"/>
      <c r="H165" s="13"/>
      <c r="I165" s="14" t="s">
        <v>1727</v>
      </c>
      <c r="J165" s="14"/>
      <c r="K165" s="14"/>
      <c r="L165" s="15"/>
    </row>
    <row r="166" spans="1:12" ht="15" customHeight="1">
      <c r="A166" s="571"/>
      <c r="B166" s="70" t="s">
        <v>26</v>
      </c>
      <c r="C166" s="15"/>
      <c r="D166" s="13"/>
      <c r="E166" s="14" t="s">
        <v>26</v>
      </c>
      <c r="F166" s="14"/>
      <c r="G166" s="15"/>
      <c r="H166" s="13"/>
      <c r="I166" s="45" t="s">
        <v>26</v>
      </c>
      <c r="J166" s="14"/>
      <c r="K166" s="14"/>
      <c r="L166" s="15"/>
    </row>
    <row r="167" spans="1:12" ht="15" customHeight="1">
      <c r="A167" s="571" t="s">
        <v>169</v>
      </c>
      <c r="B167" s="70" t="s">
        <v>1834</v>
      </c>
      <c r="C167" s="15"/>
      <c r="D167" s="13"/>
      <c r="E167" s="14"/>
      <c r="F167" s="14"/>
      <c r="G167" s="15"/>
      <c r="H167" s="13"/>
      <c r="I167" s="14"/>
      <c r="J167" s="14"/>
      <c r="K167" s="14"/>
      <c r="L167" s="15"/>
    </row>
    <row r="168" spans="1:12" ht="15" customHeight="1" thickBot="1">
      <c r="A168" s="447" t="s">
        <v>1112</v>
      </c>
      <c r="B168" s="99" t="s">
        <v>1218</v>
      </c>
      <c r="C168" s="18"/>
      <c r="D168" s="73"/>
      <c r="E168" s="17"/>
      <c r="F168" s="17"/>
      <c r="G168" s="18"/>
      <c r="H168" s="73"/>
      <c r="I168" s="17"/>
      <c r="J168" s="17"/>
      <c r="K168" s="17"/>
      <c r="L168" s="18"/>
    </row>
    <row r="169" ht="28.5" customHeight="1" thickBot="1"/>
    <row r="170" spans="1:15" ht="33" customHeight="1">
      <c r="A170" s="1588" t="s">
        <v>7</v>
      </c>
      <c r="B170" s="1591" t="s">
        <v>664</v>
      </c>
      <c r="C170" s="1594" t="s">
        <v>9</v>
      </c>
      <c r="D170" s="1594" t="s">
        <v>10</v>
      </c>
      <c r="E170" s="1574" t="s">
        <v>665</v>
      </c>
      <c r="F170" s="1574" t="s">
        <v>12</v>
      </c>
      <c r="G170" s="1594" t="s">
        <v>13</v>
      </c>
      <c r="H170" s="1574" t="s">
        <v>282</v>
      </c>
      <c r="I170" s="1574" t="s">
        <v>14</v>
      </c>
      <c r="J170" s="1574" t="s">
        <v>60</v>
      </c>
      <c r="K170" s="1583" t="s">
        <v>666</v>
      </c>
      <c r="L170" s="1640" t="s">
        <v>667</v>
      </c>
      <c r="M170" s="1634"/>
      <c r="N170" s="1634"/>
      <c r="O170" s="1641"/>
    </row>
    <row r="171" spans="1:15" ht="33" customHeight="1">
      <c r="A171" s="1589"/>
      <c r="B171" s="1592"/>
      <c r="C171" s="1595"/>
      <c r="D171" s="1595"/>
      <c r="E171" s="1575"/>
      <c r="F171" s="1575"/>
      <c r="G171" s="1595"/>
      <c r="H171" s="1575"/>
      <c r="I171" s="1575"/>
      <c r="J171" s="1575"/>
      <c r="K171" s="1584"/>
      <c r="L171" s="1597" t="s">
        <v>668</v>
      </c>
      <c r="M171" s="1568"/>
      <c r="N171" s="1568"/>
      <c r="O171" s="1598"/>
    </row>
    <row r="172" spans="1:15" ht="33" customHeight="1" thickBot="1">
      <c r="A172" s="1590"/>
      <c r="B172" s="1593"/>
      <c r="C172" s="1596"/>
      <c r="D172" s="1596"/>
      <c r="E172" s="1576"/>
      <c r="F172" s="1576"/>
      <c r="G172" s="1596"/>
      <c r="H172" s="1576"/>
      <c r="I172" s="1576"/>
      <c r="J172" s="1576"/>
      <c r="K172" s="1585"/>
      <c r="L172" s="589" t="s">
        <v>669</v>
      </c>
      <c r="M172" s="1159" t="s">
        <v>670</v>
      </c>
      <c r="N172" s="1159" t="s">
        <v>671</v>
      </c>
      <c r="O172" s="1160" t="s">
        <v>17</v>
      </c>
    </row>
    <row r="173" spans="1:15" ht="30" thickBot="1">
      <c r="A173" s="593" t="s">
        <v>27</v>
      </c>
      <c r="B173" s="3" t="s">
        <v>1741</v>
      </c>
      <c r="C173" s="4" t="s">
        <v>324</v>
      </c>
      <c r="D173" s="6" t="s">
        <v>172</v>
      </c>
      <c r="E173" s="6">
        <v>20</v>
      </c>
      <c r="F173" s="6" t="s">
        <v>21</v>
      </c>
      <c r="G173" s="9" t="s">
        <v>19</v>
      </c>
      <c r="H173" s="24">
        <v>838158</v>
      </c>
      <c r="I173" s="719" t="s">
        <v>799</v>
      </c>
      <c r="J173" s="31" t="s">
        <v>67</v>
      </c>
      <c r="K173" s="8">
        <v>39</v>
      </c>
      <c r="L173" s="35"/>
      <c r="M173" s="36">
        <f>53917-36412</f>
        <v>17505</v>
      </c>
      <c r="N173" s="36">
        <f>56099-16919</f>
        <v>39180</v>
      </c>
      <c r="O173" s="34">
        <f>M173+N173</f>
        <v>56685</v>
      </c>
    </row>
    <row r="174" spans="1:15" ht="19.5" customHeight="1">
      <c r="A174" s="721" t="s">
        <v>23</v>
      </c>
      <c r="B174" s="82" t="s">
        <v>285</v>
      </c>
      <c r="C174" s="12"/>
      <c r="D174" s="10" t="s">
        <v>1722</v>
      </c>
      <c r="E174" s="11" t="s">
        <v>1741</v>
      </c>
      <c r="F174" s="11"/>
      <c r="G174" s="12"/>
      <c r="H174" s="10" t="s">
        <v>1725</v>
      </c>
      <c r="I174" s="11" t="s">
        <v>1726</v>
      </c>
      <c r="J174" s="11"/>
      <c r="K174" s="11"/>
      <c r="L174" s="12"/>
      <c r="N174" s="4" t="s">
        <v>24</v>
      </c>
      <c r="O174" s="574">
        <f>SUM(O173)</f>
        <v>56685</v>
      </c>
    </row>
    <row r="175" spans="1:12" ht="15">
      <c r="A175" s="571"/>
      <c r="B175" s="70" t="s">
        <v>286</v>
      </c>
      <c r="C175" s="15"/>
      <c r="D175" s="13"/>
      <c r="E175" s="14" t="s">
        <v>1742</v>
      </c>
      <c r="F175" s="14"/>
      <c r="G175" s="15"/>
      <c r="H175" s="13"/>
      <c r="I175" s="14" t="s">
        <v>1727</v>
      </c>
      <c r="J175" s="14"/>
      <c r="K175" s="14"/>
      <c r="L175" s="15"/>
    </row>
    <row r="176" spans="1:12" ht="15">
      <c r="A176" s="571"/>
      <c r="B176" s="70" t="s">
        <v>26</v>
      </c>
      <c r="C176" s="15"/>
      <c r="D176" s="13"/>
      <c r="E176" s="14" t="s">
        <v>26</v>
      </c>
      <c r="F176" s="14"/>
      <c r="G176" s="15"/>
      <c r="H176" s="13"/>
      <c r="I176" s="45" t="s">
        <v>26</v>
      </c>
      <c r="J176" s="14"/>
      <c r="K176" s="14"/>
      <c r="L176" s="15"/>
    </row>
    <row r="177" spans="1:12" ht="15">
      <c r="A177" s="571" t="s">
        <v>169</v>
      </c>
      <c r="B177" s="70" t="s">
        <v>1834</v>
      </c>
      <c r="C177" s="15"/>
      <c r="D177" s="13"/>
      <c r="E177" s="20"/>
      <c r="F177" s="14"/>
      <c r="G177" s="15"/>
      <c r="H177" s="13"/>
      <c r="I177" s="14"/>
      <c r="J177" s="14"/>
      <c r="K177" s="14"/>
      <c r="L177" s="15"/>
    </row>
    <row r="178" spans="1:12" ht="15.75" thickBot="1">
      <c r="A178" s="447" t="s">
        <v>1112</v>
      </c>
      <c r="B178" s="99" t="s">
        <v>1218</v>
      </c>
      <c r="C178" s="18"/>
      <c r="D178" s="73"/>
      <c r="E178" s="17"/>
      <c r="F178" s="17"/>
      <c r="G178" s="18"/>
      <c r="H178" s="73"/>
      <c r="I178" s="17"/>
      <c r="J178" s="17"/>
      <c r="K178" s="17"/>
      <c r="L178" s="18"/>
    </row>
    <row r="179" spans="2:5" ht="15">
      <c r="B179" s="595"/>
      <c r="C179" s="56"/>
      <c r="D179" s="14"/>
      <c r="E179" s="14"/>
    </row>
    <row r="180" spans="2:5" ht="15.75" thickBot="1">
      <c r="B180" s="595"/>
      <c r="C180" s="56"/>
      <c r="D180" s="14"/>
      <c r="E180" s="14"/>
    </row>
    <row r="181" spans="1:15" ht="40.5" customHeight="1">
      <c r="A181" s="1588" t="s">
        <v>7</v>
      </c>
      <c r="B181" s="1591" t="s">
        <v>664</v>
      </c>
      <c r="C181" s="1594" t="s">
        <v>9</v>
      </c>
      <c r="D181" s="1594" t="s">
        <v>10</v>
      </c>
      <c r="E181" s="1574" t="s">
        <v>665</v>
      </c>
      <c r="F181" s="1574" t="s">
        <v>12</v>
      </c>
      <c r="G181" s="1594" t="s">
        <v>13</v>
      </c>
      <c r="H181" s="1574" t="s">
        <v>282</v>
      </c>
      <c r="I181" s="1574" t="s">
        <v>14</v>
      </c>
      <c r="J181" s="1574" t="s">
        <v>60</v>
      </c>
      <c r="K181" s="1583" t="s">
        <v>666</v>
      </c>
      <c r="L181" s="1640" t="s">
        <v>667</v>
      </c>
      <c r="M181" s="1634"/>
      <c r="N181" s="1634"/>
      <c r="O181" s="1641"/>
    </row>
    <row r="182" spans="1:15" ht="29.25" customHeight="1">
      <c r="A182" s="1589"/>
      <c r="B182" s="1592"/>
      <c r="C182" s="1595"/>
      <c r="D182" s="1595"/>
      <c r="E182" s="1575"/>
      <c r="F182" s="1575"/>
      <c r="G182" s="1595"/>
      <c r="H182" s="1575"/>
      <c r="I182" s="1575"/>
      <c r="J182" s="1575"/>
      <c r="K182" s="1584"/>
      <c r="L182" s="1597" t="s">
        <v>668</v>
      </c>
      <c r="M182" s="1568"/>
      <c r="N182" s="1568"/>
      <c r="O182" s="1598"/>
    </row>
    <row r="183" spans="1:15" ht="29.25" customHeight="1" thickBot="1">
      <c r="A183" s="1590"/>
      <c r="B183" s="1593"/>
      <c r="C183" s="1596"/>
      <c r="D183" s="1596"/>
      <c r="E183" s="1576"/>
      <c r="F183" s="1576"/>
      <c r="G183" s="1596"/>
      <c r="H183" s="1576"/>
      <c r="I183" s="1576"/>
      <c r="J183" s="1576"/>
      <c r="K183" s="1585"/>
      <c r="L183" s="589" t="s">
        <v>669</v>
      </c>
      <c r="M183" s="798" t="s">
        <v>670</v>
      </c>
      <c r="N183" s="798" t="s">
        <v>671</v>
      </c>
      <c r="O183" s="799" t="s">
        <v>17</v>
      </c>
    </row>
    <row r="184" spans="1:15" ht="44.25" thickBot="1">
      <c r="A184" s="1206" t="s">
        <v>27</v>
      </c>
      <c r="B184" s="803" t="s">
        <v>826</v>
      </c>
      <c r="C184" s="803" t="s">
        <v>325</v>
      </c>
      <c r="D184" s="1144" t="s">
        <v>120</v>
      </c>
      <c r="E184" s="1120">
        <v>21</v>
      </c>
      <c r="F184" s="1120" t="s">
        <v>21</v>
      </c>
      <c r="G184" s="1144" t="s">
        <v>19</v>
      </c>
      <c r="H184" s="1169">
        <v>4138868</v>
      </c>
      <c r="I184" s="1156" t="s">
        <v>827</v>
      </c>
      <c r="J184" s="1170" t="s">
        <v>67</v>
      </c>
      <c r="K184" s="1171">
        <v>20</v>
      </c>
      <c r="L184" s="1172"/>
      <c r="M184" s="859">
        <f>636*12</f>
        <v>7632</v>
      </c>
      <c r="N184" s="859">
        <f>1971*12</f>
        <v>23652</v>
      </c>
      <c r="O184" s="802">
        <f>M184+N184</f>
        <v>31284</v>
      </c>
    </row>
    <row r="185" spans="2:15" ht="21" customHeight="1">
      <c r="B185" s="721" t="s">
        <v>23</v>
      </c>
      <c r="C185" s="82" t="s">
        <v>285</v>
      </c>
      <c r="D185" s="12"/>
      <c r="H185" s="10" t="s">
        <v>1745</v>
      </c>
      <c r="I185" s="82" t="s">
        <v>1743</v>
      </c>
      <c r="J185" s="11"/>
      <c r="K185" s="11"/>
      <c r="L185" s="12"/>
      <c r="N185" s="4" t="s">
        <v>24</v>
      </c>
      <c r="O185" s="574">
        <f>SUM(O184)</f>
        <v>31284</v>
      </c>
    </row>
    <row r="186" spans="2:12" ht="15">
      <c r="B186" s="571"/>
      <c r="C186" s="70" t="s">
        <v>286</v>
      </c>
      <c r="D186" s="15"/>
      <c r="H186" s="13"/>
      <c r="I186" s="14" t="s">
        <v>1744</v>
      </c>
      <c r="J186" s="14"/>
      <c r="K186" s="14"/>
      <c r="L186" s="15"/>
    </row>
    <row r="187" spans="2:12" ht="15">
      <c r="B187" s="571"/>
      <c r="C187" s="70" t="s">
        <v>26</v>
      </c>
      <c r="D187" s="15"/>
      <c r="H187" s="13"/>
      <c r="I187" s="70" t="s">
        <v>1352</v>
      </c>
      <c r="J187" s="14"/>
      <c r="K187" s="14"/>
      <c r="L187" s="15"/>
    </row>
    <row r="188" spans="2:12" ht="15">
      <c r="B188" s="571" t="s">
        <v>169</v>
      </c>
      <c r="C188" s="70" t="s">
        <v>1834</v>
      </c>
      <c r="D188" s="15"/>
      <c r="H188" s="13"/>
      <c r="I188" s="70" t="s">
        <v>325</v>
      </c>
      <c r="J188" s="14"/>
      <c r="K188" s="14"/>
      <c r="L188" s="15"/>
    </row>
    <row r="189" spans="2:12" ht="15.75" thickBot="1">
      <c r="B189" s="447" t="s">
        <v>1112</v>
      </c>
      <c r="C189" s="99" t="s">
        <v>1218</v>
      </c>
      <c r="D189" s="18"/>
      <c r="H189" s="73"/>
      <c r="I189" s="99" t="s">
        <v>26</v>
      </c>
      <c r="J189" s="233"/>
      <c r="K189" s="233"/>
      <c r="L189" s="18"/>
    </row>
    <row r="190" spans="2:5" ht="15.75" thickBot="1">
      <c r="B190" s="14"/>
      <c r="C190" s="70"/>
      <c r="D190" s="14"/>
      <c r="E190" s="14"/>
    </row>
    <row r="191" spans="1:15" ht="43.5" customHeight="1">
      <c r="A191" s="1588" t="s">
        <v>7</v>
      </c>
      <c r="B191" s="1591" t="s">
        <v>664</v>
      </c>
      <c r="C191" s="1594" t="s">
        <v>9</v>
      </c>
      <c r="D191" s="1594" t="s">
        <v>10</v>
      </c>
      <c r="E191" s="1574" t="s">
        <v>665</v>
      </c>
      <c r="F191" s="1574" t="s">
        <v>12</v>
      </c>
      <c r="G191" s="1594" t="s">
        <v>13</v>
      </c>
      <c r="H191" s="1574" t="s">
        <v>282</v>
      </c>
      <c r="I191" s="1574" t="s">
        <v>14</v>
      </c>
      <c r="J191" s="1574" t="s">
        <v>60</v>
      </c>
      <c r="K191" s="1583" t="s">
        <v>666</v>
      </c>
      <c r="L191" s="1640" t="s">
        <v>667</v>
      </c>
      <c r="M191" s="1634"/>
      <c r="N191" s="1634"/>
      <c r="O191" s="1641"/>
    </row>
    <row r="192" spans="1:15" ht="37.5" customHeight="1">
      <c r="A192" s="1589"/>
      <c r="B192" s="1592"/>
      <c r="C192" s="1595"/>
      <c r="D192" s="1595"/>
      <c r="E192" s="1575"/>
      <c r="F192" s="1575"/>
      <c r="G192" s="1595"/>
      <c r="H192" s="1575"/>
      <c r="I192" s="1575"/>
      <c r="J192" s="1575"/>
      <c r="K192" s="1584"/>
      <c r="L192" s="1597" t="s">
        <v>668</v>
      </c>
      <c r="M192" s="1568"/>
      <c r="N192" s="1568"/>
      <c r="O192" s="1598"/>
    </row>
    <row r="193" spans="1:15" ht="29.25" customHeight="1" thickBot="1">
      <c r="A193" s="1590"/>
      <c r="B193" s="1593"/>
      <c r="C193" s="1596"/>
      <c r="D193" s="1596"/>
      <c r="E193" s="1576"/>
      <c r="F193" s="1576"/>
      <c r="G193" s="1596"/>
      <c r="H193" s="1576"/>
      <c r="I193" s="1576"/>
      <c r="J193" s="1576"/>
      <c r="K193" s="1585"/>
      <c r="L193" s="589" t="s">
        <v>669</v>
      </c>
      <c r="M193" s="1373" t="s">
        <v>670</v>
      </c>
      <c r="N193" s="1373" t="s">
        <v>671</v>
      </c>
      <c r="O193" s="1374" t="s">
        <v>17</v>
      </c>
    </row>
    <row r="194" spans="1:15" ht="30" thickBot="1">
      <c r="A194" s="621" t="s">
        <v>27</v>
      </c>
      <c r="B194" s="568"/>
      <c r="C194" s="690" t="s">
        <v>325</v>
      </c>
      <c r="D194" s="568" t="s">
        <v>1219</v>
      </c>
      <c r="E194" s="691" t="s">
        <v>1220</v>
      </c>
      <c r="F194" s="691" t="s">
        <v>21</v>
      </c>
      <c r="G194" s="472" t="s">
        <v>19</v>
      </c>
      <c r="H194" s="691">
        <v>9878235</v>
      </c>
      <c r="I194" s="801" t="s">
        <v>1373</v>
      </c>
      <c r="J194" s="552" t="s">
        <v>29</v>
      </c>
      <c r="K194" s="274">
        <v>5</v>
      </c>
      <c r="L194" s="275">
        <f>(11814-8819)*2</f>
        <v>5990</v>
      </c>
      <c r="M194" s="276"/>
      <c r="N194" s="276"/>
      <c r="O194" s="275">
        <f>L194</f>
        <v>5990</v>
      </c>
    </row>
    <row r="195" spans="2:18" ht="23.25" customHeight="1">
      <c r="B195" s="721" t="s">
        <v>23</v>
      </c>
      <c r="C195" s="82" t="s">
        <v>285</v>
      </c>
      <c r="D195" s="12"/>
      <c r="E195" s="14"/>
      <c r="H195" s="180" t="s">
        <v>1755</v>
      </c>
      <c r="I195" s="89" t="s">
        <v>285</v>
      </c>
      <c r="J195" s="1182"/>
      <c r="K195" s="1183"/>
      <c r="L195" s="33"/>
      <c r="M195" s="33"/>
      <c r="N195" s="4" t="s">
        <v>24</v>
      </c>
      <c r="O195" s="574">
        <f>SUM(O194)</f>
        <v>5990</v>
      </c>
      <c r="P195" s="33"/>
      <c r="Q195" s="33"/>
      <c r="R195" s="33"/>
    </row>
    <row r="196" spans="2:19" ht="15">
      <c r="B196" s="571"/>
      <c r="C196" s="70" t="s">
        <v>286</v>
      </c>
      <c r="D196" s="15"/>
      <c r="E196" s="14"/>
      <c r="H196" s="1184"/>
      <c r="I196" s="75" t="s">
        <v>286</v>
      </c>
      <c r="J196" s="60"/>
      <c r="K196" s="1114"/>
      <c r="L196" s="33"/>
      <c r="M196" s="33"/>
      <c r="N196" s="33"/>
      <c r="O196" s="33"/>
      <c r="P196" s="33"/>
      <c r="Q196" s="33"/>
      <c r="R196" s="33"/>
      <c r="S196" s="33"/>
    </row>
    <row r="197" spans="2:11" ht="15.75" thickBot="1">
      <c r="B197" s="571"/>
      <c r="C197" s="70" t="s">
        <v>26</v>
      </c>
      <c r="D197" s="15"/>
      <c r="E197" s="14"/>
      <c r="H197" s="1195"/>
      <c r="I197" s="74" t="s">
        <v>26</v>
      </c>
      <c r="J197" s="1431"/>
      <c r="K197" s="709"/>
    </row>
    <row r="198" spans="2:13" ht="15">
      <c r="B198" s="571" t="s">
        <v>169</v>
      </c>
      <c r="C198" s="70" t="s">
        <v>1834</v>
      </c>
      <c r="D198" s="15"/>
      <c r="E198" s="14"/>
      <c r="M198" s="33"/>
    </row>
    <row r="199" spans="2:13" ht="15.75" thickBot="1">
      <c r="B199" s="447" t="s">
        <v>1112</v>
      </c>
      <c r="C199" s="99" t="s">
        <v>1218</v>
      </c>
      <c r="D199" s="18"/>
      <c r="E199" s="14"/>
      <c r="M199" s="33"/>
    </row>
    <row r="200" spans="2:13" ht="15.75" thickBot="1">
      <c r="B200" s="14"/>
      <c r="C200" s="75"/>
      <c r="D200" s="14"/>
      <c r="E200" s="14"/>
      <c r="M200" s="33"/>
    </row>
    <row r="201" spans="1:21" ht="50.25" customHeight="1">
      <c r="A201" s="1580" t="s">
        <v>7</v>
      </c>
      <c r="B201" s="1574" t="s">
        <v>8</v>
      </c>
      <c r="C201" s="1574" t="s">
        <v>9</v>
      </c>
      <c r="D201" s="1574" t="s">
        <v>10</v>
      </c>
      <c r="E201" s="1574" t="s">
        <v>11</v>
      </c>
      <c r="F201" s="1574" t="s">
        <v>12</v>
      </c>
      <c r="G201" s="1574" t="s">
        <v>13</v>
      </c>
      <c r="H201" s="1574" t="s">
        <v>15</v>
      </c>
      <c r="I201" s="1574" t="s">
        <v>282</v>
      </c>
      <c r="J201" s="1574" t="s">
        <v>60</v>
      </c>
      <c r="K201" s="1577" t="s">
        <v>16</v>
      </c>
      <c r="L201" s="1570" t="s">
        <v>672</v>
      </c>
      <c r="M201" s="1570"/>
      <c r="N201" s="1570"/>
      <c r="O201" s="1570"/>
      <c r="P201" s="1570" t="s">
        <v>673</v>
      </c>
      <c r="Q201" s="1570"/>
      <c r="R201" s="1570"/>
      <c r="S201" s="1570"/>
      <c r="T201" s="1571" t="s">
        <v>1232</v>
      </c>
      <c r="U201" s="1657" t="s">
        <v>1184</v>
      </c>
    </row>
    <row r="202" spans="1:21" ht="19.5" customHeight="1">
      <c r="A202" s="1581"/>
      <c r="B202" s="1575"/>
      <c r="C202" s="1575"/>
      <c r="D202" s="1575"/>
      <c r="E202" s="1575"/>
      <c r="F202" s="1575"/>
      <c r="G202" s="1575"/>
      <c r="H202" s="1575"/>
      <c r="I202" s="1575"/>
      <c r="J202" s="1575"/>
      <c r="K202" s="1578"/>
      <c r="L202" s="1568" t="s">
        <v>669</v>
      </c>
      <c r="M202" s="1568" t="s">
        <v>670</v>
      </c>
      <c r="N202" s="1568" t="s">
        <v>671</v>
      </c>
      <c r="O202" s="1568" t="s">
        <v>674</v>
      </c>
      <c r="P202" s="1568" t="s">
        <v>669</v>
      </c>
      <c r="Q202" s="1568" t="s">
        <v>670</v>
      </c>
      <c r="R202" s="1568" t="s">
        <v>671</v>
      </c>
      <c r="S202" s="1568" t="s">
        <v>674</v>
      </c>
      <c r="T202" s="1572"/>
      <c r="U202" s="1658"/>
    </row>
    <row r="203" spans="1:21" ht="30" customHeight="1" thickBot="1">
      <c r="A203" s="1582"/>
      <c r="B203" s="1576"/>
      <c r="C203" s="1576"/>
      <c r="D203" s="1576"/>
      <c r="E203" s="1576"/>
      <c r="F203" s="1576"/>
      <c r="G203" s="1576"/>
      <c r="H203" s="1576"/>
      <c r="I203" s="1576"/>
      <c r="J203" s="1576"/>
      <c r="K203" s="1579"/>
      <c r="L203" s="1569"/>
      <c r="M203" s="1569"/>
      <c r="N203" s="1569"/>
      <c r="O203" s="1569"/>
      <c r="P203" s="1569"/>
      <c r="Q203" s="1569"/>
      <c r="R203" s="1569"/>
      <c r="S203" s="1569"/>
      <c r="T203" s="1573"/>
      <c r="U203" s="1659"/>
    </row>
    <row r="204" spans="1:21" s="27" customFormat="1" ht="49.5" customHeight="1">
      <c r="A204" s="621" t="s">
        <v>18</v>
      </c>
      <c r="B204" s="108" t="s">
        <v>147</v>
      </c>
      <c r="C204" s="107" t="s">
        <v>313</v>
      </c>
      <c r="D204" s="107" t="s">
        <v>312</v>
      </c>
      <c r="E204" s="107" t="s">
        <v>1571</v>
      </c>
      <c r="F204" s="107" t="s">
        <v>21</v>
      </c>
      <c r="G204" s="535" t="s">
        <v>19</v>
      </c>
      <c r="H204" s="1432">
        <v>53625005</v>
      </c>
      <c r="I204" s="1433">
        <v>90695777</v>
      </c>
      <c r="J204" s="1434" t="s">
        <v>67</v>
      </c>
      <c r="K204" s="1435">
        <v>16</v>
      </c>
      <c r="L204" s="1396"/>
      <c r="M204" s="1436">
        <f>51*12</f>
        <v>612</v>
      </c>
      <c r="N204" s="1436">
        <f>106*12</f>
        <v>1272</v>
      </c>
      <c r="O204" s="1436">
        <f>M204+N204</f>
        <v>1884</v>
      </c>
      <c r="P204" s="1396"/>
      <c r="Q204" s="1436">
        <f>51*12</f>
        <v>612</v>
      </c>
      <c r="R204" s="1436">
        <f>106*12</f>
        <v>1272</v>
      </c>
      <c r="S204" s="1436">
        <f>Q204+R204</f>
        <v>1884</v>
      </c>
      <c r="T204" s="273" t="s">
        <v>1536</v>
      </c>
      <c r="U204" s="187" t="s">
        <v>1496</v>
      </c>
    </row>
    <row r="205" spans="1:21" s="27" customFormat="1" ht="49.5" customHeight="1" thickBot="1">
      <c r="A205" s="621" t="s">
        <v>18</v>
      </c>
      <c r="B205" s="25" t="s">
        <v>147</v>
      </c>
      <c r="C205" s="24" t="s">
        <v>313</v>
      </c>
      <c r="D205" s="24" t="s">
        <v>252</v>
      </c>
      <c r="E205" s="24" t="s">
        <v>1572</v>
      </c>
      <c r="F205" s="24" t="s">
        <v>21</v>
      </c>
      <c r="G205" s="637" t="s">
        <v>19</v>
      </c>
      <c r="H205" s="1186">
        <v>53618278</v>
      </c>
      <c r="I205" s="1187">
        <v>90599843</v>
      </c>
      <c r="J205" s="1188" t="s">
        <v>67</v>
      </c>
      <c r="K205" s="1189">
        <v>20</v>
      </c>
      <c r="L205" s="412"/>
      <c r="M205" s="941">
        <f>30*12</f>
        <v>360</v>
      </c>
      <c r="N205" s="941">
        <f>54*12</f>
        <v>648</v>
      </c>
      <c r="O205" s="941">
        <f>M205+N205</f>
        <v>1008</v>
      </c>
      <c r="P205" s="412"/>
      <c r="Q205" s="941">
        <f>30*12</f>
        <v>360</v>
      </c>
      <c r="R205" s="941">
        <f>54*12</f>
        <v>648</v>
      </c>
      <c r="S205" s="941">
        <f>Q205+R205</f>
        <v>1008</v>
      </c>
      <c r="T205" s="273" t="s">
        <v>1536</v>
      </c>
      <c r="U205" s="187" t="s">
        <v>1496</v>
      </c>
    </row>
    <row r="206" spans="1:21" s="27" customFormat="1" ht="18" customHeight="1">
      <c r="A206" s="1"/>
      <c r="B206" s="10" t="s">
        <v>23</v>
      </c>
      <c r="C206" s="82" t="s">
        <v>285</v>
      </c>
      <c r="D206" s="12"/>
      <c r="E206" s="20"/>
      <c r="F206" s="14"/>
      <c r="G206" s="1"/>
      <c r="H206" s="1185" t="s">
        <v>1755</v>
      </c>
      <c r="I206" s="89" t="s">
        <v>307</v>
      </c>
      <c r="J206" s="125"/>
      <c r="K206" s="670"/>
      <c r="L206" s="33"/>
      <c r="M206" s="465"/>
      <c r="N206" s="465"/>
      <c r="O206" s="465"/>
      <c r="P206" s="465"/>
      <c r="Q206" s="465"/>
      <c r="R206" s="4" t="s">
        <v>24</v>
      </c>
      <c r="S206" s="574">
        <f>SUM(S204:S205)</f>
        <v>2892</v>
      </c>
      <c r="T206" s="461"/>
      <c r="U206" s="461"/>
    </row>
    <row r="207" spans="1:21" s="27" customFormat="1" ht="18" customHeight="1">
      <c r="A207" s="1"/>
      <c r="B207" s="13"/>
      <c r="C207" s="70" t="s">
        <v>286</v>
      </c>
      <c r="D207" s="15"/>
      <c r="E207" s="20"/>
      <c r="F207" s="14"/>
      <c r="G207" s="1"/>
      <c r="H207" s="16"/>
      <c r="I207" s="75" t="s">
        <v>1756</v>
      </c>
      <c r="J207" s="45"/>
      <c r="K207" s="181"/>
      <c r="L207" s="1"/>
      <c r="M207" s="465"/>
      <c r="N207" s="465"/>
      <c r="O207" s="465"/>
      <c r="P207" s="465"/>
      <c r="Q207" s="465"/>
      <c r="R207" s="465"/>
      <c r="S207" s="465"/>
      <c r="T207" s="461"/>
      <c r="U207" s="461"/>
    </row>
    <row r="208" spans="1:21" s="27" customFormat="1" ht="18" customHeight="1" thickBot="1">
      <c r="A208" s="1"/>
      <c r="B208" s="13"/>
      <c r="C208" s="70" t="s">
        <v>26</v>
      </c>
      <c r="D208" s="15"/>
      <c r="E208" s="14"/>
      <c r="F208" s="14"/>
      <c r="G208" s="1"/>
      <c r="H208" s="1178"/>
      <c r="I208" s="74" t="s">
        <v>26</v>
      </c>
      <c r="J208" s="116"/>
      <c r="K208" s="182"/>
      <c r="L208" s="33"/>
      <c r="M208" s="465"/>
      <c r="N208" s="465"/>
      <c r="O208" s="465"/>
      <c r="P208" s="465"/>
      <c r="Q208" s="465"/>
      <c r="R208" s="465"/>
      <c r="S208" s="465"/>
      <c r="T208" s="461"/>
      <c r="U208" s="461"/>
    </row>
    <row r="209" spans="1:21" s="27" customFormat="1" ht="18" customHeight="1" thickBot="1">
      <c r="A209" s="1"/>
      <c r="B209" s="73"/>
      <c r="C209" s="99" t="s">
        <v>287</v>
      </c>
      <c r="D209" s="18"/>
      <c r="E209" s="14"/>
      <c r="F209" s="14"/>
      <c r="G209" s="1"/>
      <c r="H209" s="1"/>
      <c r="I209" s="1"/>
      <c r="J209" s="1"/>
      <c r="K209" s="7"/>
      <c r="L209" s="1"/>
      <c r="M209" s="465"/>
      <c r="N209" s="465"/>
      <c r="O209" s="465"/>
      <c r="P209" s="465"/>
      <c r="Q209" s="465"/>
      <c r="R209" s="465"/>
      <c r="S209" s="465"/>
      <c r="T209" s="461"/>
      <c r="U209" s="461"/>
    </row>
    <row r="210" spans="13:14" ht="14.25">
      <c r="M210" s="127" t="s">
        <v>63</v>
      </c>
      <c r="N210" s="33">
        <f>O19+O64+O75+O89+O99+O113+O126+O139+O151+O164+O174+O185+O195+S206</f>
        <v>963406.8</v>
      </c>
    </row>
    <row r="211" ht="15" thickBot="1">
      <c r="M211" s="33"/>
    </row>
    <row r="212" spans="8:15" ht="50.25" customHeight="1">
      <c r="H212" s="56"/>
      <c r="K212" s="1621" t="s">
        <v>60</v>
      </c>
      <c r="L212" s="1623" t="s">
        <v>675</v>
      </c>
      <c r="M212" s="1624"/>
      <c r="N212" s="1625"/>
      <c r="O212" s="1626" t="s">
        <v>61</v>
      </c>
    </row>
    <row r="213" spans="11:15" ht="37.5" customHeight="1" thickBot="1">
      <c r="K213" s="1622"/>
      <c r="L213" s="282" t="s">
        <v>62</v>
      </c>
      <c r="M213" s="282" t="s">
        <v>670</v>
      </c>
      <c r="N213" s="282" t="s">
        <v>671</v>
      </c>
      <c r="O213" s="1627"/>
    </row>
    <row r="214" spans="11:15" ht="27" customHeight="1">
      <c r="K214" s="1437" t="s">
        <v>29</v>
      </c>
      <c r="L214" s="1438">
        <f>O50+O53+O54+O55+O56+O57+O58+O59+O60+O61+O62+O63+O86+O87+O88+O194</f>
        <v>54807</v>
      </c>
      <c r="M214" s="1439"/>
      <c r="N214" s="1440"/>
      <c r="O214" s="821">
        <v>16</v>
      </c>
    </row>
    <row r="215" spans="11:15" ht="27" customHeight="1">
      <c r="K215" s="1441" t="s">
        <v>22</v>
      </c>
      <c r="L215" s="213">
        <f>O84</f>
        <v>70967.40000000001</v>
      </c>
      <c r="M215" s="185"/>
      <c r="N215" s="1442"/>
      <c r="O215" s="822">
        <v>1</v>
      </c>
    </row>
    <row r="216" spans="11:15" ht="27" customHeight="1">
      <c r="K216" s="1441" t="s">
        <v>67</v>
      </c>
      <c r="L216" s="209"/>
      <c r="M216" s="220">
        <f>M18+M30+M31+M32+M33+M35+M36+M37+M38+M39+M40+M42+M43+M44+M45+M46+M47+M48+M49+M51+M52+M74+M85+M98+M112+M138+M163+M173+M184+Q204+Q205</f>
        <v>104070.2</v>
      </c>
      <c r="N216" s="984">
        <f>N18+N30+N31+N32+N33+N35+N36+N37+N38+N39+N40+N42+N43+N44+N45+N46+N47+N48+N49+N51+N52+N74+N85+N98+N112+N138+N163+N173+N184+R204+R205</f>
        <v>242232.2</v>
      </c>
      <c r="O216" s="822">
        <v>31</v>
      </c>
    </row>
    <row r="217" spans="11:15" ht="27" customHeight="1" thickBot="1">
      <c r="K217" s="1443" t="s">
        <v>72</v>
      </c>
      <c r="L217" s="985"/>
      <c r="M217" s="1444">
        <f>M28+M29+M34+M41+M125+M150</f>
        <v>138388</v>
      </c>
      <c r="N217" s="1445">
        <f>N28+N29+N34+N41+N125+N150</f>
        <v>352942</v>
      </c>
      <c r="O217" s="1446">
        <v>6</v>
      </c>
    </row>
    <row r="218" spans="11:15" ht="27" customHeight="1" thickBot="1">
      <c r="K218" s="37" t="s">
        <v>63</v>
      </c>
      <c r="L218" s="831">
        <f>SUM(L214:L217)</f>
        <v>125774.40000000001</v>
      </c>
      <c r="M218" s="831">
        <f>SUM(M214:M217)</f>
        <v>242458.2</v>
      </c>
      <c r="N218" s="832">
        <f>SUM(N214:N217)</f>
        <v>595174.2</v>
      </c>
      <c r="O218" s="833">
        <f>SUM(O214:O217)</f>
        <v>54</v>
      </c>
    </row>
    <row r="219" spans="11:13" ht="27" customHeight="1" thickBot="1">
      <c r="K219" s="1"/>
      <c r="L219" s="38" t="s">
        <v>64</v>
      </c>
      <c r="M219" s="681">
        <f>SUM(L218:N218)</f>
        <v>963406.8</v>
      </c>
    </row>
  </sheetData>
  <sheetProtection/>
  <mergeCells count="199">
    <mergeCell ref="G170:G172"/>
    <mergeCell ref="H170:H172"/>
    <mergeCell ref="I170:I172"/>
    <mergeCell ref="J170:J172"/>
    <mergeCell ref="K170:K172"/>
    <mergeCell ref="L170:O170"/>
    <mergeCell ref="L171:O171"/>
    <mergeCell ref="A170:A172"/>
    <mergeCell ref="B170:B172"/>
    <mergeCell ref="C170:C172"/>
    <mergeCell ref="D170:D172"/>
    <mergeCell ref="E170:E172"/>
    <mergeCell ref="F170:F172"/>
    <mergeCell ref="G160:G162"/>
    <mergeCell ref="H160:H162"/>
    <mergeCell ref="I160:I162"/>
    <mergeCell ref="J160:J162"/>
    <mergeCell ref="K160:K162"/>
    <mergeCell ref="L160:O160"/>
    <mergeCell ref="L161:O161"/>
    <mergeCell ref="A160:A162"/>
    <mergeCell ref="B160:B162"/>
    <mergeCell ref="C160:C162"/>
    <mergeCell ref="D160:D162"/>
    <mergeCell ref="E160:E162"/>
    <mergeCell ref="F160:F162"/>
    <mergeCell ref="G147:G149"/>
    <mergeCell ref="H147:H149"/>
    <mergeCell ref="I147:I149"/>
    <mergeCell ref="J147:J149"/>
    <mergeCell ref="K147:K149"/>
    <mergeCell ref="L147:O147"/>
    <mergeCell ref="L148:O148"/>
    <mergeCell ref="A147:A149"/>
    <mergeCell ref="B147:B149"/>
    <mergeCell ref="C147:C149"/>
    <mergeCell ref="D147:D149"/>
    <mergeCell ref="E147:E149"/>
    <mergeCell ref="F147:F149"/>
    <mergeCell ref="G135:G137"/>
    <mergeCell ref="H135:H137"/>
    <mergeCell ref="I135:I137"/>
    <mergeCell ref="J135:J137"/>
    <mergeCell ref="K135:K137"/>
    <mergeCell ref="L135:O135"/>
    <mergeCell ref="L136:O136"/>
    <mergeCell ref="A135:A137"/>
    <mergeCell ref="B135:B137"/>
    <mergeCell ref="C135:C137"/>
    <mergeCell ref="D135:D137"/>
    <mergeCell ref="E135:E137"/>
    <mergeCell ref="F135:F137"/>
    <mergeCell ref="G122:G124"/>
    <mergeCell ref="H122:H124"/>
    <mergeCell ref="I122:I124"/>
    <mergeCell ref="J122:J124"/>
    <mergeCell ref="K122:K124"/>
    <mergeCell ref="L122:O122"/>
    <mergeCell ref="L123:O123"/>
    <mergeCell ref="A122:A124"/>
    <mergeCell ref="B122:B124"/>
    <mergeCell ref="C122:C124"/>
    <mergeCell ref="D122:D124"/>
    <mergeCell ref="E122:E124"/>
    <mergeCell ref="F122:F124"/>
    <mergeCell ref="G109:G111"/>
    <mergeCell ref="H109:H111"/>
    <mergeCell ref="I109:I111"/>
    <mergeCell ref="J109:J111"/>
    <mergeCell ref="K109:K111"/>
    <mergeCell ref="L109:O109"/>
    <mergeCell ref="L110:O110"/>
    <mergeCell ref="A109:A111"/>
    <mergeCell ref="B109:B111"/>
    <mergeCell ref="C109:C111"/>
    <mergeCell ref="D109:D111"/>
    <mergeCell ref="E109:E111"/>
    <mergeCell ref="F109:F111"/>
    <mergeCell ref="G181:G183"/>
    <mergeCell ref="H181:H183"/>
    <mergeCell ref="I181:I183"/>
    <mergeCell ref="J181:J183"/>
    <mergeCell ref="K181:K183"/>
    <mergeCell ref="L181:O181"/>
    <mergeCell ref="L182:O182"/>
    <mergeCell ref="A181:A183"/>
    <mergeCell ref="B181:B183"/>
    <mergeCell ref="C181:C183"/>
    <mergeCell ref="D181:D183"/>
    <mergeCell ref="E181:E183"/>
    <mergeCell ref="F181:F183"/>
    <mergeCell ref="A81:A83"/>
    <mergeCell ref="B81:B83"/>
    <mergeCell ref="A95:A97"/>
    <mergeCell ref="B95:B97"/>
    <mergeCell ref="C95:C97"/>
    <mergeCell ref="D95:D97"/>
    <mergeCell ref="C81:C83"/>
    <mergeCell ref="D81:D83"/>
    <mergeCell ref="E95:E97"/>
    <mergeCell ref="F95:F97"/>
    <mergeCell ref="J81:J83"/>
    <mergeCell ref="K81:K83"/>
    <mergeCell ref="L81:O81"/>
    <mergeCell ref="L82:O82"/>
    <mergeCell ref="L95:O95"/>
    <mergeCell ref="E81:E83"/>
    <mergeCell ref="F81:F83"/>
    <mergeCell ref="G81:G83"/>
    <mergeCell ref="F71:F73"/>
    <mergeCell ref="A71:A73"/>
    <mergeCell ref="B71:B73"/>
    <mergeCell ref="C71:C73"/>
    <mergeCell ref="D71:D73"/>
    <mergeCell ref="E71:E73"/>
    <mergeCell ref="J71:J73"/>
    <mergeCell ref="J25:J27"/>
    <mergeCell ref="I25:I27"/>
    <mergeCell ref="I81:I83"/>
    <mergeCell ref="H81:H83"/>
    <mergeCell ref="K25:K27"/>
    <mergeCell ref="L25:O25"/>
    <mergeCell ref="K71:K73"/>
    <mergeCell ref="L71:O71"/>
    <mergeCell ref="G14:H14"/>
    <mergeCell ref="L15:O15"/>
    <mergeCell ref="A25:A27"/>
    <mergeCell ref="B25:B27"/>
    <mergeCell ref="C25:C27"/>
    <mergeCell ref="D25:D27"/>
    <mergeCell ref="E25:E27"/>
    <mergeCell ref="F25:F27"/>
    <mergeCell ref="G25:G27"/>
    <mergeCell ref="H25:H27"/>
    <mergeCell ref="H15:H17"/>
    <mergeCell ref="I15:I17"/>
    <mergeCell ref="J15:J17"/>
    <mergeCell ref="K15:K17"/>
    <mergeCell ref="A15:A17"/>
    <mergeCell ref="B15:B17"/>
    <mergeCell ref="C15:C17"/>
    <mergeCell ref="D15:D17"/>
    <mergeCell ref="E15:E17"/>
    <mergeCell ref="F15:F17"/>
    <mergeCell ref="L96:O96"/>
    <mergeCell ref="J95:J97"/>
    <mergeCell ref="K95:K97"/>
    <mergeCell ref="L16:O16"/>
    <mergeCell ref="L26:O26"/>
    <mergeCell ref="G71:G73"/>
    <mergeCell ref="H71:H73"/>
    <mergeCell ref="I71:I73"/>
    <mergeCell ref="L72:O72"/>
    <mergeCell ref="G15:G17"/>
    <mergeCell ref="B3:I3"/>
    <mergeCell ref="B5:J5"/>
    <mergeCell ref="B1:I1"/>
    <mergeCell ref="L212:N212"/>
    <mergeCell ref="O212:O213"/>
    <mergeCell ref="K212:K213"/>
    <mergeCell ref="G95:G97"/>
    <mergeCell ref="H95:H97"/>
    <mergeCell ref="I95:I97"/>
    <mergeCell ref="B201:B203"/>
    <mergeCell ref="A201:A203"/>
    <mergeCell ref="C201:C203"/>
    <mergeCell ref="D201:D203"/>
    <mergeCell ref="E201:E203"/>
    <mergeCell ref="F201:F203"/>
    <mergeCell ref="G201:G203"/>
    <mergeCell ref="I201:I203"/>
    <mergeCell ref="J201:J203"/>
    <mergeCell ref="K201:K203"/>
    <mergeCell ref="L201:O201"/>
    <mergeCell ref="P201:S201"/>
    <mergeCell ref="L202:L203"/>
    <mergeCell ref="M202:M203"/>
    <mergeCell ref="N202:N203"/>
    <mergeCell ref="O202:O203"/>
    <mergeCell ref="G191:G193"/>
    <mergeCell ref="H191:H193"/>
    <mergeCell ref="I191:I193"/>
    <mergeCell ref="T201:T203"/>
    <mergeCell ref="U201:U203"/>
    <mergeCell ref="P202:P203"/>
    <mergeCell ref="Q202:Q203"/>
    <mergeCell ref="R202:R203"/>
    <mergeCell ref="S202:S203"/>
    <mergeCell ref="H201:H203"/>
    <mergeCell ref="K191:K193"/>
    <mergeCell ref="L191:O191"/>
    <mergeCell ref="L192:O192"/>
    <mergeCell ref="A191:A193"/>
    <mergeCell ref="B191:B193"/>
    <mergeCell ref="C191:C193"/>
    <mergeCell ref="D191:D193"/>
    <mergeCell ref="E191:E193"/>
    <mergeCell ref="J191:J193"/>
    <mergeCell ref="F191:F193"/>
  </mergeCells>
  <printOptions/>
  <pageMargins left="0.7" right="0.7" top="0.75" bottom="0.75" header="0.3" footer="0.3"/>
  <pageSetup horizontalDpi="600" verticalDpi="600" orientation="portrait" paperSize="9" r:id="rId1"/>
  <ignoredErrors>
    <ignoredError sqref="O35 O85 O5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3"/>
  <sheetViews>
    <sheetView zoomScale="80" zoomScaleNormal="80" zoomScalePageLayoutView="0" workbookViewId="0" topLeftCell="A94">
      <selection activeCell="B97" sqref="B97:I101"/>
    </sheetView>
  </sheetViews>
  <sheetFormatPr defaultColWidth="8.796875" defaultRowHeight="14.25"/>
  <cols>
    <col min="1" max="1" width="11.09765625" style="1" customWidth="1"/>
    <col min="2" max="2" width="16.5" style="1" customWidth="1"/>
    <col min="3" max="3" width="15.59765625" style="1" customWidth="1"/>
    <col min="4" max="4" width="14.59765625" style="1" customWidth="1"/>
    <col min="5" max="5" width="10.8984375" style="1" customWidth="1"/>
    <col min="6" max="6" width="11.3984375" style="1" customWidth="1"/>
    <col min="7" max="7" width="14.5" style="1" customWidth="1"/>
    <col min="8" max="8" width="16.5" style="1" customWidth="1"/>
    <col min="9" max="9" width="27.09765625" style="1" customWidth="1"/>
    <col min="10" max="10" width="12.59765625" style="1" customWidth="1"/>
    <col min="11" max="11" width="12.3984375" style="7" customWidth="1"/>
    <col min="12" max="12" width="15" style="1" customWidth="1"/>
    <col min="13" max="13" width="15" style="33" customWidth="1"/>
    <col min="14" max="14" width="18.3984375" style="33" customWidth="1"/>
    <col min="15" max="15" width="16.8984375" style="33" customWidth="1"/>
    <col min="16" max="16" width="12.19921875" style="1" customWidth="1"/>
    <col min="17" max="17" width="15.09765625" style="1" customWidth="1"/>
    <col min="18" max="18" width="14.3984375" style="1" customWidth="1"/>
    <col min="19" max="19" width="20.19921875" style="1" customWidth="1"/>
    <col min="20" max="20" width="20.59765625" style="1" customWidth="1"/>
    <col min="21" max="21" width="22.09765625" style="1" customWidth="1"/>
    <col min="22" max="16384" width="9" style="1" customWidth="1"/>
  </cols>
  <sheetData>
    <row r="1" spans="2:9" ht="18">
      <c r="B1" s="1609" t="s">
        <v>1231</v>
      </c>
      <c r="C1" s="1609"/>
      <c r="D1" s="1609"/>
      <c r="E1" s="1609"/>
      <c r="F1" s="1609"/>
      <c r="G1" s="1609"/>
      <c r="H1" s="1609"/>
      <c r="I1" s="1609"/>
    </row>
    <row r="3" spans="2:9" ht="32.25" customHeight="1">
      <c r="B3" s="1642" t="s">
        <v>729</v>
      </c>
      <c r="C3" s="1643"/>
      <c r="D3" s="1643"/>
      <c r="E3" s="1643"/>
      <c r="F3" s="1643"/>
      <c r="G3" s="1643"/>
      <c r="H3" s="1643"/>
      <c r="I3" s="1644"/>
    </row>
    <row r="4" spans="2:9" ht="15">
      <c r="B4" s="487"/>
      <c r="C4" s="487"/>
      <c r="D4" s="487"/>
      <c r="E4" s="487"/>
      <c r="F4" s="487"/>
      <c r="G4" s="487"/>
      <c r="H4" s="487"/>
      <c r="I4" s="487"/>
    </row>
    <row r="5" spans="2:9" ht="15">
      <c r="B5" s="562"/>
      <c r="C5" s="1665" t="s">
        <v>1105</v>
      </c>
      <c r="D5" s="1665"/>
      <c r="E5" s="1665"/>
      <c r="F5" s="1665"/>
      <c r="G5" s="1665"/>
      <c r="H5" s="1665"/>
      <c r="I5" s="1665"/>
    </row>
    <row r="6" spans="2:9" ht="15">
      <c r="B6" s="487"/>
      <c r="C6" s="487"/>
      <c r="D6" s="487"/>
      <c r="E6" s="487"/>
      <c r="F6" s="487"/>
      <c r="G6" s="487"/>
      <c r="H6" s="1605" t="s">
        <v>1106</v>
      </c>
      <c r="I6" s="1605"/>
    </row>
    <row r="7" spans="2:9" ht="15">
      <c r="B7" s="487"/>
      <c r="C7" s="487"/>
      <c r="D7" s="487"/>
      <c r="E7" s="487"/>
      <c r="F7" s="487"/>
      <c r="G7" s="487"/>
      <c r="H7" s="1605" t="s">
        <v>1107</v>
      </c>
      <c r="I7" s="1605"/>
    </row>
    <row r="8" spans="2:9" ht="15">
      <c r="B8" s="487"/>
      <c r="C8" s="487"/>
      <c r="D8" s="487"/>
      <c r="E8" s="487"/>
      <c r="F8" s="487"/>
      <c r="G8" s="487"/>
      <c r="H8" s="487"/>
      <c r="I8" s="490"/>
    </row>
    <row r="9" spans="2:9" ht="15.75">
      <c r="B9" s="488" t="s">
        <v>1</v>
      </c>
      <c r="C9" s="489"/>
      <c r="D9" s="487"/>
      <c r="E9" s="487"/>
      <c r="F9" s="487"/>
      <c r="G9" s="489"/>
      <c r="H9" s="487"/>
      <c r="I9" s="490"/>
    </row>
    <row r="10" spans="2:9" ht="15.75">
      <c r="B10" s="1389" t="s">
        <v>1833</v>
      </c>
      <c r="C10" s="489"/>
      <c r="D10" s="487"/>
      <c r="E10" s="487"/>
      <c r="F10" s="487"/>
      <c r="G10" s="489"/>
      <c r="H10" s="487"/>
      <c r="I10" s="490"/>
    </row>
    <row r="11" spans="2:9" ht="15.75">
      <c r="B11" s="491" t="s">
        <v>1535</v>
      </c>
      <c r="C11" s="489"/>
      <c r="D11" s="492"/>
      <c r="E11" s="487"/>
      <c r="F11" s="487"/>
      <c r="G11" s="489"/>
      <c r="H11" s="487"/>
      <c r="I11" s="490"/>
    </row>
    <row r="12" spans="2:9" ht="15.75">
      <c r="B12" s="491" t="s">
        <v>1096</v>
      </c>
      <c r="C12" s="489"/>
      <c r="D12" s="492"/>
      <c r="E12" s="487"/>
      <c r="F12" s="487"/>
      <c r="G12" s="489"/>
      <c r="H12" s="487"/>
      <c r="I12" s="490"/>
    </row>
    <row r="13" spans="2:9" ht="15">
      <c r="B13" s="489" t="s">
        <v>727</v>
      </c>
      <c r="C13" s="489"/>
      <c r="D13" s="489"/>
      <c r="E13" s="489"/>
      <c r="F13" s="489"/>
      <c r="G13" s="489"/>
      <c r="H13" s="487"/>
      <c r="I13" s="490"/>
    </row>
    <row r="14" spans="2:9" ht="15.75">
      <c r="B14" s="493" t="s">
        <v>3</v>
      </c>
      <c r="C14" s="494" t="s">
        <v>4</v>
      </c>
      <c r="D14" s="492"/>
      <c r="E14" s="492"/>
      <c r="F14" s="492"/>
      <c r="G14" s="492"/>
      <c r="H14" s="495"/>
      <c r="I14" s="489"/>
    </row>
    <row r="15" spans="2:9" ht="15.75">
      <c r="B15" s="493" t="s">
        <v>5</v>
      </c>
      <c r="C15" s="488" t="s">
        <v>6</v>
      </c>
      <c r="D15" s="492"/>
      <c r="E15" s="492"/>
      <c r="F15" s="492"/>
      <c r="G15" s="492"/>
      <c r="H15" s="495"/>
      <c r="I15" s="489"/>
    </row>
    <row r="16" spans="2:9" ht="15.75">
      <c r="B16" s="493"/>
      <c r="C16" s="488"/>
      <c r="D16" s="492"/>
      <c r="E16" s="492"/>
      <c r="F16" s="492"/>
      <c r="G16" s="492"/>
      <c r="H16" s="495"/>
      <c r="I16" s="489"/>
    </row>
    <row r="17" spans="1:8" ht="15" thickBot="1">
      <c r="A17" s="59"/>
      <c r="B17" s="58"/>
      <c r="C17" s="59"/>
      <c r="D17" s="59"/>
      <c r="E17" s="59"/>
      <c r="F17" s="59"/>
      <c r="G17" s="59"/>
      <c r="H17" s="59"/>
    </row>
    <row r="18" spans="1:15" ht="39.75" customHeight="1">
      <c r="A18" s="1588" t="s">
        <v>7</v>
      </c>
      <c r="B18" s="1591" t="s">
        <v>664</v>
      </c>
      <c r="C18" s="1594" t="s">
        <v>9</v>
      </c>
      <c r="D18" s="1594" t="s">
        <v>10</v>
      </c>
      <c r="E18" s="1574" t="s">
        <v>665</v>
      </c>
      <c r="F18" s="1574" t="s">
        <v>12</v>
      </c>
      <c r="G18" s="1594" t="s">
        <v>13</v>
      </c>
      <c r="H18" s="1574" t="s">
        <v>282</v>
      </c>
      <c r="I18" s="1574" t="s">
        <v>14</v>
      </c>
      <c r="J18" s="1574" t="s">
        <v>60</v>
      </c>
      <c r="K18" s="1583" t="s">
        <v>666</v>
      </c>
      <c r="L18" s="1640" t="s">
        <v>667</v>
      </c>
      <c r="M18" s="1634"/>
      <c r="N18" s="1634"/>
      <c r="O18" s="1641"/>
    </row>
    <row r="19" spans="1:15" ht="28.5" customHeight="1">
      <c r="A19" s="1589"/>
      <c r="B19" s="1592"/>
      <c r="C19" s="1595"/>
      <c r="D19" s="1595"/>
      <c r="E19" s="1575"/>
      <c r="F19" s="1575"/>
      <c r="G19" s="1595"/>
      <c r="H19" s="1575"/>
      <c r="I19" s="1575"/>
      <c r="J19" s="1575"/>
      <c r="K19" s="1584"/>
      <c r="L19" s="1597" t="s">
        <v>668</v>
      </c>
      <c r="M19" s="1568"/>
      <c r="N19" s="1568"/>
      <c r="O19" s="1598"/>
    </row>
    <row r="20" spans="1:15" ht="28.5" customHeight="1" thickBot="1">
      <c r="A20" s="1590"/>
      <c r="B20" s="1593"/>
      <c r="C20" s="1596"/>
      <c r="D20" s="1596"/>
      <c r="E20" s="1576"/>
      <c r="F20" s="1576"/>
      <c r="G20" s="1596"/>
      <c r="H20" s="1576"/>
      <c r="I20" s="1576"/>
      <c r="J20" s="1576"/>
      <c r="K20" s="1585"/>
      <c r="L20" s="270" t="s">
        <v>669</v>
      </c>
      <c r="M20" s="277" t="s">
        <v>670</v>
      </c>
      <c r="N20" s="277" t="s">
        <v>671</v>
      </c>
      <c r="O20" s="272" t="s">
        <v>17</v>
      </c>
    </row>
    <row r="21" spans="1:15" ht="29.25">
      <c r="A21" s="593" t="s">
        <v>27</v>
      </c>
      <c r="B21" s="25" t="s">
        <v>147</v>
      </c>
      <c r="C21" s="4" t="s">
        <v>326</v>
      </c>
      <c r="D21" s="4" t="s">
        <v>807</v>
      </c>
      <c r="E21" s="186" t="s">
        <v>808</v>
      </c>
      <c r="F21" s="4" t="s">
        <v>327</v>
      </c>
      <c r="G21" s="3" t="s">
        <v>326</v>
      </c>
      <c r="H21" s="24">
        <v>70903550</v>
      </c>
      <c r="I21" s="719" t="s">
        <v>328</v>
      </c>
      <c r="J21" s="87" t="s">
        <v>67</v>
      </c>
      <c r="K21" s="8">
        <v>5</v>
      </c>
      <c r="L21" s="32"/>
      <c r="M21" s="34">
        <f>979-649</f>
        <v>330</v>
      </c>
      <c r="N21" s="34">
        <f>2768-1850</f>
        <v>918</v>
      </c>
      <c r="O21" s="34">
        <f>M21+N21</f>
        <v>1248</v>
      </c>
    </row>
    <row r="22" spans="1:15" ht="29.25">
      <c r="A22" s="593" t="s">
        <v>27</v>
      </c>
      <c r="B22" s="25" t="s">
        <v>329</v>
      </c>
      <c r="C22" s="4" t="s">
        <v>326</v>
      </c>
      <c r="D22" s="3" t="s">
        <v>330</v>
      </c>
      <c r="E22" s="4"/>
      <c r="F22" s="4" t="s">
        <v>327</v>
      </c>
      <c r="G22" s="4" t="s">
        <v>326</v>
      </c>
      <c r="H22" s="24">
        <v>790155</v>
      </c>
      <c r="I22" s="719" t="s">
        <v>331</v>
      </c>
      <c r="J22" s="395" t="s">
        <v>29</v>
      </c>
      <c r="K22" s="8">
        <v>15</v>
      </c>
      <c r="L22" s="24">
        <f>115-114</f>
        <v>1</v>
      </c>
      <c r="M22" s="35"/>
      <c r="N22" s="35"/>
      <c r="O22" s="34">
        <f>L22</f>
        <v>1</v>
      </c>
    </row>
    <row r="23" spans="1:15" ht="28.5" customHeight="1">
      <c r="A23" s="593" t="s">
        <v>27</v>
      </c>
      <c r="B23" s="25" t="s">
        <v>294</v>
      </c>
      <c r="C23" s="4" t="s">
        <v>326</v>
      </c>
      <c r="D23" s="3" t="s">
        <v>805</v>
      </c>
      <c r="E23" s="4"/>
      <c r="F23" s="4" t="s">
        <v>327</v>
      </c>
      <c r="G23" s="4" t="s">
        <v>326</v>
      </c>
      <c r="H23" s="24">
        <v>70903518</v>
      </c>
      <c r="I23" s="719" t="s">
        <v>332</v>
      </c>
      <c r="J23" s="87" t="s">
        <v>67</v>
      </c>
      <c r="K23" s="8">
        <v>10</v>
      </c>
      <c r="L23" s="32"/>
      <c r="M23" s="34">
        <f>158-158</f>
        <v>0</v>
      </c>
      <c r="N23" s="34">
        <f>406-341</f>
        <v>65</v>
      </c>
      <c r="O23" s="34">
        <f>M23+N23</f>
        <v>65</v>
      </c>
    </row>
    <row r="24" spans="1:15" ht="29.25">
      <c r="A24" s="593" t="s">
        <v>27</v>
      </c>
      <c r="B24" s="25" t="s">
        <v>147</v>
      </c>
      <c r="C24" s="4" t="s">
        <v>326</v>
      </c>
      <c r="D24" s="188" t="s">
        <v>333</v>
      </c>
      <c r="E24" s="4"/>
      <c r="F24" s="4" t="s">
        <v>327</v>
      </c>
      <c r="G24" s="4" t="s">
        <v>326</v>
      </c>
      <c r="H24" s="24">
        <v>70903517</v>
      </c>
      <c r="I24" s="719" t="s">
        <v>334</v>
      </c>
      <c r="J24" s="87" t="s">
        <v>67</v>
      </c>
      <c r="K24" s="8">
        <v>5</v>
      </c>
      <c r="L24" s="32"/>
      <c r="M24" s="34">
        <f>3353-2684</f>
        <v>669</v>
      </c>
      <c r="N24" s="34">
        <f>10305-8310</f>
        <v>1995</v>
      </c>
      <c r="O24" s="34">
        <f>M24+N24</f>
        <v>2664</v>
      </c>
    </row>
    <row r="25" spans="1:15" ht="33.75" customHeight="1">
      <c r="A25" s="593" t="s">
        <v>27</v>
      </c>
      <c r="B25" s="25" t="s">
        <v>335</v>
      </c>
      <c r="C25" s="4" t="s">
        <v>336</v>
      </c>
      <c r="D25" s="188" t="s">
        <v>252</v>
      </c>
      <c r="E25" s="4"/>
      <c r="F25" s="4" t="s">
        <v>327</v>
      </c>
      <c r="G25" s="4" t="s">
        <v>326</v>
      </c>
      <c r="H25" s="24">
        <v>70903502</v>
      </c>
      <c r="I25" s="719" t="s">
        <v>337</v>
      </c>
      <c r="J25" s="87" t="s">
        <v>67</v>
      </c>
      <c r="K25" s="8">
        <v>2</v>
      </c>
      <c r="L25" s="32"/>
      <c r="M25" s="34">
        <f>22324-22324</f>
        <v>0</v>
      </c>
      <c r="N25" s="34">
        <f>59513-59513</f>
        <v>0</v>
      </c>
      <c r="O25" s="34">
        <f>M25+N25</f>
        <v>0</v>
      </c>
    </row>
    <row r="26" spans="1:15" ht="29.25">
      <c r="A26" s="593" t="s">
        <v>27</v>
      </c>
      <c r="B26" s="25" t="s">
        <v>147</v>
      </c>
      <c r="C26" s="4" t="s">
        <v>326</v>
      </c>
      <c r="D26" s="3" t="s">
        <v>338</v>
      </c>
      <c r="E26" s="4"/>
      <c r="F26" s="4" t="s">
        <v>327</v>
      </c>
      <c r="G26" s="4" t="s">
        <v>326</v>
      </c>
      <c r="H26" s="24">
        <v>70903541</v>
      </c>
      <c r="I26" s="719" t="s">
        <v>339</v>
      </c>
      <c r="J26" s="87" t="s">
        <v>67</v>
      </c>
      <c r="K26" s="8">
        <v>5</v>
      </c>
      <c r="L26" s="32"/>
      <c r="M26" s="34">
        <f>1721-1234</f>
        <v>487</v>
      </c>
      <c r="N26" s="34">
        <f>4882-3520</f>
        <v>1362</v>
      </c>
      <c r="O26" s="34">
        <f>M26+N26</f>
        <v>1849</v>
      </c>
    </row>
    <row r="27" spans="1:15" ht="29.25">
      <c r="A27" s="593" t="s">
        <v>27</v>
      </c>
      <c r="B27" s="25" t="s">
        <v>147</v>
      </c>
      <c r="C27" s="4" t="s">
        <v>326</v>
      </c>
      <c r="D27" s="3" t="s">
        <v>340</v>
      </c>
      <c r="E27" s="4"/>
      <c r="F27" s="4" t="s">
        <v>327</v>
      </c>
      <c r="G27" s="4" t="s">
        <v>326</v>
      </c>
      <c r="H27" s="24">
        <v>70903581</v>
      </c>
      <c r="I27" s="719" t="s">
        <v>341</v>
      </c>
      <c r="J27" s="87" t="s">
        <v>67</v>
      </c>
      <c r="K27" s="8">
        <v>5</v>
      </c>
      <c r="L27" s="32"/>
      <c r="M27" s="34">
        <f>261-206</f>
        <v>55</v>
      </c>
      <c r="N27" s="34">
        <f>556-421</f>
        <v>135</v>
      </c>
      <c r="O27" s="34">
        <f>M27+N27</f>
        <v>190</v>
      </c>
    </row>
    <row r="28" spans="1:15" ht="18">
      <c r="A28" s="593" t="s">
        <v>27</v>
      </c>
      <c r="B28" s="23" t="s">
        <v>329</v>
      </c>
      <c r="C28" s="6" t="s">
        <v>326</v>
      </c>
      <c r="D28" s="6" t="s">
        <v>342</v>
      </c>
      <c r="E28" s="6"/>
      <c r="F28" s="6" t="s">
        <v>327</v>
      </c>
      <c r="G28" s="4" t="s">
        <v>326</v>
      </c>
      <c r="H28" s="24">
        <v>4143413</v>
      </c>
      <c r="I28" s="719" t="s">
        <v>343</v>
      </c>
      <c r="J28" s="392" t="s">
        <v>22</v>
      </c>
      <c r="K28" s="8">
        <v>70</v>
      </c>
      <c r="L28" s="34">
        <f>(2713.83-2434.5)+2981.37*40</f>
        <v>119534.12999999999</v>
      </c>
      <c r="M28" s="35"/>
      <c r="N28" s="35"/>
      <c r="O28" s="34">
        <f>L28</f>
        <v>119534.12999999999</v>
      </c>
    </row>
    <row r="29" spans="1:15" ht="18">
      <c r="A29" s="593" t="s">
        <v>27</v>
      </c>
      <c r="B29" s="25"/>
      <c r="C29" s="4" t="s">
        <v>326</v>
      </c>
      <c r="D29" s="3" t="s">
        <v>1259</v>
      </c>
      <c r="E29" s="4" t="s">
        <v>1260</v>
      </c>
      <c r="F29" s="4" t="s">
        <v>327</v>
      </c>
      <c r="G29" s="4" t="s">
        <v>326</v>
      </c>
      <c r="H29" s="24">
        <v>90110391</v>
      </c>
      <c r="I29" s="719" t="s">
        <v>1261</v>
      </c>
      <c r="J29" s="87" t="s">
        <v>67</v>
      </c>
      <c r="K29" s="8">
        <v>7</v>
      </c>
      <c r="L29" s="32"/>
      <c r="M29" s="34">
        <f>323-53</f>
        <v>270</v>
      </c>
      <c r="N29" s="34">
        <f>938-113</f>
        <v>825</v>
      </c>
      <c r="O29" s="34">
        <f>M29+N29</f>
        <v>1095</v>
      </c>
    </row>
    <row r="30" spans="1:15" ht="18">
      <c r="A30" s="593" t="s">
        <v>27</v>
      </c>
      <c r="B30" s="25"/>
      <c r="C30" s="4" t="s">
        <v>326</v>
      </c>
      <c r="D30" s="3" t="s">
        <v>333</v>
      </c>
      <c r="E30" s="4" t="s">
        <v>1262</v>
      </c>
      <c r="F30" s="4" t="s">
        <v>327</v>
      </c>
      <c r="G30" s="4" t="s">
        <v>326</v>
      </c>
      <c r="H30" s="24">
        <v>90110314</v>
      </c>
      <c r="I30" s="719" t="s">
        <v>1263</v>
      </c>
      <c r="J30" s="87" t="s">
        <v>67</v>
      </c>
      <c r="K30" s="8">
        <v>7</v>
      </c>
      <c r="L30" s="32"/>
      <c r="M30" s="34">
        <f>331-29</f>
        <v>302</v>
      </c>
      <c r="N30" s="34">
        <f>868-63</f>
        <v>805</v>
      </c>
      <c r="O30" s="34">
        <f>M30+N30</f>
        <v>1107</v>
      </c>
    </row>
    <row r="31" spans="1:15" ht="19.5" customHeight="1">
      <c r="A31" s="593" t="s">
        <v>27</v>
      </c>
      <c r="B31" s="735"/>
      <c r="C31" s="969" t="s">
        <v>326</v>
      </c>
      <c r="D31" s="736" t="s">
        <v>1264</v>
      </c>
      <c r="E31" s="736" t="s">
        <v>1265</v>
      </c>
      <c r="F31" s="969" t="s">
        <v>327</v>
      </c>
      <c r="G31" s="969" t="s">
        <v>326</v>
      </c>
      <c r="H31" s="736">
        <v>90114885</v>
      </c>
      <c r="I31" s="719" t="s">
        <v>1517</v>
      </c>
      <c r="J31" s="842" t="s">
        <v>29</v>
      </c>
      <c r="K31" s="737">
        <v>5</v>
      </c>
      <c r="L31" s="738">
        <f>959-299</f>
        <v>660</v>
      </c>
      <c r="M31" s="35"/>
      <c r="N31" s="35"/>
      <c r="O31" s="738">
        <f>L31</f>
        <v>660</v>
      </c>
    </row>
    <row r="32" spans="1:15" ht="19.5" customHeight="1" thickBot="1">
      <c r="A32" s="593" t="s">
        <v>27</v>
      </c>
      <c r="B32" s="25"/>
      <c r="C32" s="4" t="s">
        <v>372</v>
      </c>
      <c r="D32" s="3" t="s">
        <v>55</v>
      </c>
      <c r="E32" s="4" t="s">
        <v>1518</v>
      </c>
      <c r="F32" s="4" t="s">
        <v>327</v>
      </c>
      <c r="G32" s="4" t="s">
        <v>326</v>
      </c>
      <c r="H32" s="22">
        <v>90509053</v>
      </c>
      <c r="I32" s="797" t="s">
        <v>1519</v>
      </c>
      <c r="J32" s="1192" t="s">
        <v>67</v>
      </c>
      <c r="K32" s="8">
        <v>7</v>
      </c>
      <c r="L32" s="32"/>
      <c r="M32" s="34">
        <f>100</f>
        <v>100</v>
      </c>
      <c r="N32" s="34">
        <v>200</v>
      </c>
      <c r="O32" s="34">
        <f>M32+N32</f>
        <v>300</v>
      </c>
    </row>
    <row r="33" spans="2:15" ht="15.75">
      <c r="B33" s="1447" t="s">
        <v>23</v>
      </c>
      <c r="C33" s="125" t="s">
        <v>378</v>
      </c>
      <c r="D33" s="670"/>
      <c r="E33" s="27"/>
      <c r="F33" s="27"/>
      <c r="G33" s="27"/>
      <c r="H33" s="1185" t="s">
        <v>1719</v>
      </c>
      <c r="I33" s="189" t="s">
        <v>1258</v>
      </c>
      <c r="J33" s="1193"/>
      <c r="K33" s="192"/>
      <c r="L33" s="56"/>
      <c r="N33" s="34" t="s">
        <v>24</v>
      </c>
      <c r="O33" s="574">
        <f>SUM(O21:O32)</f>
        <v>128713.12999999999</v>
      </c>
    </row>
    <row r="34" spans="2:12" ht="15.75">
      <c r="B34" s="1198"/>
      <c r="C34" s="45" t="s">
        <v>345</v>
      </c>
      <c r="D34" s="181"/>
      <c r="E34" s="27"/>
      <c r="F34" s="27"/>
      <c r="G34" s="27"/>
      <c r="H34" s="1184"/>
      <c r="I34" s="191" t="s">
        <v>344</v>
      </c>
      <c r="J34" s="1194"/>
      <c r="K34" s="192"/>
      <c r="L34" s="56"/>
    </row>
    <row r="35" spans="2:12" ht="16.5" thickBot="1">
      <c r="B35" s="1198"/>
      <c r="C35" s="45" t="s">
        <v>344</v>
      </c>
      <c r="D35" s="181"/>
      <c r="E35" s="27"/>
      <c r="F35" s="27"/>
      <c r="G35" s="27"/>
      <c r="H35" s="1195"/>
      <c r="I35" s="194" t="s">
        <v>806</v>
      </c>
      <c r="J35" s="1196"/>
      <c r="K35" s="192"/>
      <c r="L35" s="56"/>
    </row>
    <row r="36" spans="2:8" ht="15">
      <c r="B36" s="1198" t="s">
        <v>169</v>
      </c>
      <c r="C36" s="600">
        <v>8222146636</v>
      </c>
      <c r="D36" s="181"/>
      <c r="E36" s="59"/>
      <c r="F36" s="59"/>
      <c r="G36" s="27"/>
      <c r="H36" s="27"/>
    </row>
    <row r="37" spans="2:8" ht="15.75" thickBot="1">
      <c r="B37" s="1191" t="s">
        <v>1112</v>
      </c>
      <c r="C37" s="116" t="s">
        <v>1153</v>
      </c>
      <c r="D37" s="182"/>
      <c r="E37" s="59"/>
      <c r="F37" s="59"/>
      <c r="G37" s="27"/>
      <c r="H37" s="27"/>
    </row>
    <row r="39" spans="2:6" ht="15.75" thickBot="1">
      <c r="B39" s="595"/>
      <c r="C39" s="14"/>
      <c r="D39" s="56"/>
      <c r="E39" s="56"/>
      <c r="F39" s="56"/>
    </row>
    <row r="40" spans="1:15" ht="33" customHeight="1">
      <c r="A40" s="1588" t="s">
        <v>7</v>
      </c>
      <c r="B40" s="1591" t="s">
        <v>664</v>
      </c>
      <c r="C40" s="1594" t="s">
        <v>9</v>
      </c>
      <c r="D40" s="1594" t="s">
        <v>10</v>
      </c>
      <c r="E40" s="1574" t="s">
        <v>665</v>
      </c>
      <c r="F40" s="1574" t="s">
        <v>12</v>
      </c>
      <c r="G40" s="1594" t="s">
        <v>13</v>
      </c>
      <c r="H40" s="1574" t="s">
        <v>282</v>
      </c>
      <c r="I40" s="1574" t="s">
        <v>14</v>
      </c>
      <c r="J40" s="1574" t="s">
        <v>60</v>
      </c>
      <c r="K40" s="1583" t="s">
        <v>666</v>
      </c>
      <c r="L40" s="1640" t="s">
        <v>667</v>
      </c>
      <c r="M40" s="1634"/>
      <c r="N40" s="1634"/>
      <c r="O40" s="1641"/>
    </row>
    <row r="41" spans="1:15" ht="33" customHeight="1">
      <c r="A41" s="1589"/>
      <c r="B41" s="1592"/>
      <c r="C41" s="1595"/>
      <c r="D41" s="1595"/>
      <c r="E41" s="1575"/>
      <c r="F41" s="1575"/>
      <c r="G41" s="1595"/>
      <c r="H41" s="1575"/>
      <c r="I41" s="1575"/>
      <c r="J41" s="1575"/>
      <c r="K41" s="1584"/>
      <c r="L41" s="1597" t="s">
        <v>668</v>
      </c>
      <c r="M41" s="1568"/>
      <c r="N41" s="1568"/>
      <c r="O41" s="1598"/>
    </row>
    <row r="42" spans="1:15" ht="30.75" customHeight="1" thickBot="1">
      <c r="A42" s="1590"/>
      <c r="B42" s="1593"/>
      <c r="C42" s="1596"/>
      <c r="D42" s="1596"/>
      <c r="E42" s="1576"/>
      <c r="F42" s="1576"/>
      <c r="G42" s="1596"/>
      <c r="H42" s="1576"/>
      <c r="I42" s="1576"/>
      <c r="J42" s="1576"/>
      <c r="K42" s="1585"/>
      <c r="L42" s="589" t="s">
        <v>669</v>
      </c>
      <c r="M42" s="1179" t="s">
        <v>670</v>
      </c>
      <c r="N42" s="1179" t="s">
        <v>671</v>
      </c>
      <c r="O42" s="1180" t="s">
        <v>17</v>
      </c>
    </row>
    <row r="43" spans="1:15" ht="29.25">
      <c r="A43" s="593" t="s">
        <v>27</v>
      </c>
      <c r="B43" s="3" t="s">
        <v>349</v>
      </c>
      <c r="C43" s="4" t="s">
        <v>326</v>
      </c>
      <c r="D43" s="4" t="s">
        <v>55</v>
      </c>
      <c r="E43" s="186">
        <v>78</v>
      </c>
      <c r="F43" s="4" t="s">
        <v>327</v>
      </c>
      <c r="G43" s="3" t="s">
        <v>326</v>
      </c>
      <c r="H43" s="24">
        <v>83246645</v>
      </c>
      <c r="I43" s="719" t="s">
        <v>350</v>
      </c>
      <c r="J43" s="87" t="s">
        <v>67</v>
      </c>
      <c r="K43" s="8">
        <v>2</v>
      </c>
      <c r="L43" s="32"/>
      <c r="M43" s="34">
        <f>89-41</f>
        <v>48</v>
      </c>
      <c r="N43" s="34">
        <f>224-78</f>
        <v>146</v>
      </c>
      <c r="O43" s="34">
        <f>SUM(M43:N43)</f>
        <v>194</v>
      </c>
    </row>
    <row r="44" spans="1:15" ht="18.75" thickBot="1">
      <c r="A44" s="593" t="s">
        <v>27</v>
      </c>
      <c r="B44" s="9" t="s">
        <v>351</v>
      </c>
      <c r="C44" s="6" t="s">
        <v>326</v>
      </c>
      <c r="D44" s="6" t="s">
        <v>55</v>
      </c>
      <c r="E44" s="186">
        <v>78</v>
      </c>
      <c r="F44" s="4" t="s">
        <v>327</v>
      </c>
      <c r="G44" s="4" t="s">
        <v>326</v>
      </c>
      <c r="H44" s="24">
        <v>70903552</v>
      </c>
      <c r="I44" s="719" t="s">
        <v>359</v>
      </c>
      <c r="J44" s="87" t="s">
        <v>67</v>
      </c>
      <c r="K44" s="8">
        <v>25</v>
      </c>
      <c r="L44" s="32"/>
      <c r="M44" s="34">
        <f>74365-60921</f>
        <v>13444</v>
      </c>
      <c r="N44" s="34">
        <f>151031-122620</f>
        <v>28411</v>
      </c>
      <c r="O44" s="34">
        <f>SUM(M44:N44)</f>
        <v>41855</v>
      </c>
    </row>
    <row r="45" spans="2:15" ht="15">
      <c r="B45" s="1447" t="s">
        <v>23</v>
      </c>
      <c r="C45" s="125" t="s">
        <v>378</v>
      </c>
      <c r="D45" s="670"/>
      <c r="E45" s="451"/>
      <c r="F45" s="59"/>
      <c r="G45" s="59"/>
      <c r="H45" s="1185" t="s">
        <v>1719</v>
      </c>
      <c r="I45" s="89" t="s">
        <v>1757</v>
      </c>
      <c r="J45" s="1183"/>
      <c r="N45" s="34" t="s">
        <v>24</v>
      </c>
      <c r="O45" s="574">
        <f>SUM(O43:O44)</f>
        <v>42049</v>
      </c>
    </row>
    <row r="46" spans="2:10" ht="15">
      <c r="B46" s="1198"/>
      <c r="C46" s="45" t="s">
        <v>345</v>
      </c>
      <c r="D46" s="181"/>
      <c r="E46" s="451"/>
      <c r="F46" s="59"/>
      <c r="G46" s="59"/>
      <c r="H46" s="1197"/>
      <c r="I46" s="75" t="s">
        <v>1758</v>
      </c>
      <c r="J46" s="1114"/>
    </row>
    <row r="47" spans="2:10" ht="15">
      <c r="B47" s="1198"/>
      <c r="C47" s="45" t="s">
        <v>344</v>
      </c>
      <c r="D47" s="181"/>
      <c r="E47" s="451"/>
      <c r="F47" s="59"/>
      <c r="G47" s="59"/>
      <c r="H47" s="1197"/>
      <c r="I47" s="75" t="s">
        <v>344</v>
      </c>
      <c r="J47" s="1114"/>
    </row>
    <row r="48" spans="2:10" ht="15">
      <c r="B48" s="1198" t="s">
        <v>169</v>
      </c>
      <c r="C48" s="600">
        <v>8222146636</v>
      </c>
      <c r="D48" s="181"/>
      <c r="E48" s="451"/>
      <c r="F48" s="59"/>
      <c r="G48" s="59"/>
      <c r="H48" s="1198"/>
      <c r="I48" s="75"/>
      <c r="J48" s="181"/>
    </row>
    <row r="49" spans="2:10" ht="15.75" thickBot="1">
      <c r="B49" s="1191" t="s">
        <v>1112</v>
      </c>
      <c r="C49" s="116" t="s">
        <v>1153</v>
      </c>
      <c r="D49" s="182"/>
      <c r="E49" s="451"/>
      <c r="F49" s="59"/>
      <c r="G49" s="59"/>
      <c r="H49" s="1178"/>
      <c r="I49" s="74"/>
      <c r="J49" s="182"/>
    </row>
    <row r="50" spans="2:6" ht="15.75" thickBot="1">
      <c r="B50" s="595"/>
      <c r="C50" s="14"/>
      <c r="D50" s="56"/>
      <c r="E50" s="56"/>
      <c r="F50" s="56"/>
    </row>
    <row r="51" spans="1:15" ht="36" customHeight="1">
      <c r="A51" s="1588" t="s">
        <v>7</v>
      </c>
      <c r="B51" s="1591" t="s">
        <v>664</v>
      </c>
      <c r="C51" s="1594" t="s">
        <v>9</v>
      </c>
      <c r="D51" s="1594" t="s">
        <v>10</v>
      </c>
      <c r="E51" s="1574" t="s">
        <v>665</v>
      </c>
      <c r="F51" s="1574" t="s">
        <v>12</v>
      </c>
      <c r="G51" s="1594" t="s">
        <v>13</v>
      </c>
      <c r="H51" s="1574" t="s">
        <v>282</v>
      </c>
      <c r="I51" s="1574" t="s">
        <v>14</v>
      </c>
      <c r="J51" s="1574" t="s">
        <v>60</v>
      </c>
      <c r="K51" s="1583" t="s">
        <v>666</v>
      </c>
      <c r="L51" s="1640" t="s">
        <v>667</v>
      </c>
      <c r="M51" s="1634"/>
      <c r="N51" s="1634"/>
      <c r="O51" s="1641"/>
    </row>
    <row r="52" spans="1:15" ht="36" customHeight="1">
      <c r="A52" s="1589"/>
      <c r="B52" s="1592"/>
      <c r="C52" s="1595"/>
      <c r="D52" s="1595"/>
      <c r="E52" s="1575"/>
      <c r="F52" s="1575"/>
      <c r="G52" s="1595"/>
      <c r="H52" s="1575"/>
      <c r="I52" s="1575"/>
      <c r="J52" s="1575"/>
      <c r="K52" s="1584"/>
      <c r="L52" s="1597" t="s">
        <v>668</v>
      </c>
      <c r="M52" s="1568"/>
      <c r="N52" s="1568"/>
      <c r="O52" s="1598"/>
    </row>
    <row r="53" spans="1:15" ht="33.75" customHeight="1" thickBot="1">
      <c r="A53" s="1590"/>
      <c r="B53" s="1593"/>
      <c r="C53" s="1596"/>
      <c r="D53" s="1596"/>
      <c r="E53" s="1576"/>
      <c r="F53" s="1576"/>
      <c r="G53" s="1596"/>
      <c r="H53" s="1576"/>
      <c r="I53" s="1576"/>
      <c r="J53" s="1576"/>
      <c r="K53" s="1585"/>
      <c r="L53" s="589" t="s">
        <v>669</v>
      </c>
      <c r="M53" s="1179" t="s">
        <v>670</v>
      </c>
      <c r="N53" s="1179" t="s">
        <v>671</v>
      </c>
      <c r="O53" s="1180" t="s">
        <v>17</v>
      </c>
    </row>
    <row r="54" spans="1:15" ht="30" thickBot="1">
      <c r="A54" s="593" t="s">
        <v>27</v>
      </c>
      <c r="B54" s="4" t="s">
        <v>351</v>
      </c>
      <c r="C54" s="4" t="s">
        <v>352</v>
      </c>
      <c r="D54" s="4"/>
      <c r="E54" s="186"/>
      <c r="F54" s="4" t="s">
        <v>21</v>
      </c>
      <c r="G54" s="3" t="s">
        <v>19</v>
      </c>
      <c r="H54" s="22">
        <v>70903558</v>
      </c>
      <c r="I54" s="797" t="s">
        <v>353</v>
      </c>
      <c r="J54" s="1192" t="s">
        <v>67</v>
      </c>
      <c r="K54" s="770">
        <v>12</v>
      </c>
      <c r="L54" s="32"/>
      <c r="M54" s="34">
        <f>25283-19798</f>
        <v>5485</v>
      </c>
      <c r="N54" s="34">
        <f>47949-37039</f>
        <v>10910</v>
      </c>
      <c r="O54" s="34">
        <f>SUM(M54:N54)</f>
        <v>16395</v>
      </c>
    </row>
    <row r="55" spans="2:15" ht="15">
      <c r="B55" s="1447" t="s">
        <v>23</v>
      </c>
      <c r="C55" s="125" t="s">
        <v>378</v>
      </c>
      <c r="D55" s="670"/>
      <c r="E55" s="451"/>
      <c r="F55" s="59"/>
      <c r="G55" s="59"/>
      <c r="H55" s="1185" t="s">
        <v>1719</v>
      </c>
      <c r="I55" s="89" t="s">
        <v>1759</v>
      </c>
      <c r="J55" s="633"/>
      <c r="K55" s="1199"/>
      <c r="N55" s="34" t="s">
        <v>24</v>
      </c>
      <c r="O55" s="574">
        <f>SUM(O54)</f>
        <v>16395</v>
      </c>
    </row>
    <row r="56" spans="2:11" ht="15">
      <c r="B56" s="1198"/>
      <c r="C56" s="45" t="s">
        <v>345</v>
      </c>
      <c r="D56" s="181"/>
      <c r="E56" s="451"/>
      <c r="F56" s="59"/>
      <c r="G56" s="59"/>
      <c r="H56" s="1197"/>
      <c r="I56" s="75" t="s">
        <v>1760</v>
      </c>
      <c r="J56" s="59"/>
      <c r="K56" s="1200"/>
    </row>
    <row r="57" spans="2:11" ht="15.75" thickBot="1">
      <c r="B57" s="1198"/>
      <c r="C57" s="45" t="s">
        <v>344</v>
      </c>
      <c r="D57" s="181"/>
      <c r="E57" s="451"/>
      <c r="F57" s="59"/>
      <c r="G57" s="59"/>
      <c r="H57" s="1201"/>
      <c r="I57" s="74" t="s">
        <v>26</v>
      </c>
      <c r="J57" s="634"/>
      <c r="K57" s="1202"/>
    </row>
    <row r="58" spans="2:11" ht="15">
      <c r="B58" s="1198" t="s">
        <v>169</v>
      </c>
      <c r="C58" s="600">
        <v>8222146636</v>
      </c>
      <c r="D58" s="181"/>
      <c r="E58" s="451"/>
      <c r="F58" s="59"/>
      <c r="G58" s="68"/>
      <c r="H58" s="1190"/>
      <c r="I58" s="75"/>
      <c r="J58" s="45"/>
      <c r="K58" s="60"/>
    </row>
    <row r="59" spans="2:11" ht="15.75" thickBot="1">
      <c r="B59" s="1191" t="s">
        <v>1112</v>
      </c>
      <c r="C59" s="116" t="s">
        <v>1153</v>
      </c>
      <c r="D59" s="182"/>
      <c r="E59" s="27"/>
      <c r="F59" s="27"/>
      <c r="G59" s="27"/>
      <c r="H59" s="45"/>
      <c r="I59" s="75"/>
      <c r="J59" s="45"/>
      <c r="K59" s="59"/>
    </row>
    <row r="60" spans="2:6" ht="15.75" thickBot="1">
      <c r="B60" s="595"/>
      <c r="C60" s="14"/>
      <c r="D60" s="56"/>
      <c r="E60" s="56"/>
      <c r="F60" s="56"/>
    </row>
    <row r="61" spans="1:15" ht="41.25" customHeight="1">
      <c r="A61" s="1588" t="s">
        <v>7</v>
      </c>
      <c r="B61" s="1591" t="s">
        <v>664</v>
      </c>
      <c r="C61" s="1594" t="s">
        <v>9</v>
      </c>
      <c r="D61" s="1594" t="s">
        <v>10</v>
      </c>
      <c r="E61" s="1574" t="s">
        <v>665</v>
      </c>
      <c r="F61" s="1574" t="s">
        <v>12</v>
      </c>
      <c r="G61" s="1594" t="s">
        <v>13</v>
      </c>
      <c r="H61" s="1574" t="s">
        <v>282</v>
      </c>
      <c r="I61" s="1574" t="s">
        <v>14</v>
      </c>
      <c r="J61" s="1574" t="s">
        <v>60</v>
      </c>
      <c r="K61" s="1583" t="s">
        <v>666</v>
      </c>
      <c r="L61" s="1640" t="s">
        <v>667</v>
      </c>
      <c r="M61" s="1634"/>
      <c r="N61" s="1634"/>
      <c r="O61" s="1641"/>
    </row>
    <row r="62" spans="1:15" ht="41.25" customHeight="1">
      <c r="A62" s="1589"/>
      <c r="B62" s="1592"/>
      <c r="C62" s="1595"/>
      <c r="D62" s="1595"/>
      <c r="E62" s="1575"/>
      <c r="F62" s="1575"/>
      <c r="G62" s="1595"/>
      <c r="H62" s="1575"/>
      <c r="I62" s="1575"/>
      <c r="J62" s="1575"/>
      <c r="K62" s="1584"/>
      <c r="L62" s="1597" t="s">
        <v>668</v>
      </c>
      <c r="M62" s="1568"/>
      <c r="N62" s="1568"/>
      <c r="O62" s="1598"/>
    </row>
    <row r="63" spans="1:15" ht="27" customHeight="1" thickBot="1">
      <c r="A63" s="1590"/>
      <c r="B63" s="1593"/>
      <c r="C63" s="1596"/>
      <c r="D63" s="1596"/>
      <c r="E63" s="1576"/>
      <c r="F63" s="1576"/>
      <c r="G63" s="1596"/>
      <c r="H63" s="1576"/>
      <c r="I63" s="1576"/>
      <c r="J63" s="1576"/>
      <c r="K63" s="1585"/>
      <c r="L63" s="589" t="s">
        <v>669</v>
      </c>
      <c r="M63" s="1179" t="s">
        <v>670</v>
      </c>
      <c r="N63" s="1179" t="s">
        <v>671</v>
      </c>
      <c r="O63" s="1180" t="s">
        <v>17</v>
      </c>
    </row>
    <row r="64" spans="1:15" ht="18">
      <c r="A64" s="593" t="s">
        <v>27</v>
      </c>
      <c r="B64" s="4" t="s">
        <v>351</v>
      </c>
      <c r="C64" s="4" t="s">
        <v>354</v>
      </c>
      <c r="D64" s="4"/>
      <c r="E64" s="186">
        <v>30</v>
      </c>
      <c r="F64" s="4" t="s">
        <v>327</v>
      </c>
      <c r="G64" s="3" t="s">
        <v>326</v>
      </c>
      <c r="H64" s="24">
        <v>70851603</v>
      </c>
      <c r="I64" s="719" t="s">
        <v>355</v>
      </c>
      <c r="J64" s="87" t="s">
        <v>67</v>
      </c>
      <c r="K64" s="8">
        <v>6.6</v>
      </c>
      <c r="L64" s="32"/>
      <c r="M64" s="34">
        <f>31184-25100</f>
        <v>6084</v>
      </c>
      <c r="N64" s="34">
        <f>65071-52223</f>
        <v>12848</v>
      </c>
      <c r="O64" s="34">
        <f>SUM(M64:N64)</f>
        <v>18932</v>
      </c>
    </row>
    <row r="65" spans="1:15" ht="18.75" thickBot="1">
      <c r="A65" s="593" t="s">
        <v>27</v>
      </c>
      <c r="B65" s="4" t="s">
        <v>351</v>
      </c>
      <c r="C65" s="4" t="s">
        <v>354</v>
      </c>
      <c r="D65" s="4"/>
      <c r="E65" s="186"/>
      <c r="F65" s="4" t="s">
        <v>327</v>
      </c>
      <c r="G65" s="3" t="s">
        <v>326</v>
      </c>
      <c r="H65" s="22">
        <v>83246688</v>
      </c>
      <c r="I65" s="797" t="s">
        <v>356</v>
      </c>
      <c r="J65" s="1192" t="s">
        <v>67</v>
      </c>
      <c r="K65" s="770">
        <v>4.5</v>
      </c>
      <c r="L65" s="32"/>
      <c r="M65" s="34">
        <f>36-17</f>
        <v>19</v>
      </c>
      <c r="N65" s="34">
        <f>90-37</f>
        <v>53</v>
      </c>
      <c r="O65" s="34">
        <f>SUM(M65:N65)</f>
        <v>72</v>
      </c>
    </row>
    <row r="66" spans="1:15" ht="18">
      <c r="A66" s="296"/>
      <c r="B66" s="1447" t="s">
        <v>23</v>
      </c>
      <c r="C66" s="125" t="s">
        <v>378</v>
      </c>
      <c r="D66" s="670"/>
      <c r="E66" s="27"/>
      <c r="F66" s="27"/>
      <c r="G66" s="27"/>
      <c r="H66" s="1185" t="s">
        <v>1719</v>
      </c>
      <c r="I66" s="89" t="s">
        <v>1761</v>
      </c>
      <c r="J66" s="633"/>
      <c r="K66" s="1183"/>
      <c r="L66" s="59"/>
      <c r="M66" s="72"/>
      <c r="N66" s="34" t="s">
        <v>24</v>
      </c>
      <c r="O66" s="574">
        <f>SUM(O64:O65)</f>
        <v>19004</v>
      </c>
    </row>
    <row r="67" spans="1:15" ht="18">
      <c r="A67" s="296"/>
      <c r="B67" s="1198"/>
      <c r="C67" s="45" t="s">
        <v>345</v>
      </c>
      <c r="D67" s="181"/>
      <c r="E67" s="27"/>
      <c r="F67" s="27"/>
      <c r="G67" s="27"/>
      <c r="H67" s="1197"/>
      <c r="I67" s="75" t="s">
        <v>1762</v>
      </c>
      <c r="J67" s="59"/>
      <c r="K67" s="1114"/>
      <c r="L67" s="59"/>
      <c r="M67" s="72"/>
      <c r="N67" s="72"/>
      <c r="O67" s="72"/>
    </row>
    <row r="68" spans="1:15" ht="18.75" thickBot="1">
      <c r="A68" s="296"/>
      <c r="B68" s="1198"/>
      <c r="C68" s="45" t="s">
        <v>344</v>
      </c>
      <c r="D68" s="181"/>
      <c r="E68" s="27"/>
      <c r="F68" s="27"/>
      <c r="G68" s="27"/>
      <c r="H68" s="1201"/>
      <c r="I68" s="74" t="s">
        <v>344</v>
      </c>
      <c r="J68" s="634"/>
      <c r="K68" s="709"/>
      <c r="L68" s="59"/>
      <c r="M68" s="72"/>
      <c r="N68" s="72"/>
      <c r="O68" s="72"/>
    </row>
    <row r="69" spans="1:15" ht="18">
      <c r="A69" s="296"/>
      <c r="B69" s="1198" t="s">
        <v>169</v>
      </c>
      <c r="C69" s="600">
        <v>8222146636</v>
      </c>
      <c r="D69" s="181"/>
      <c r="E69" s="27"/>
      <c r="F69" s="27"/>
      <c r="G69" s="27"/>
      <c r="H69" s="1190"/>
      <c r="I69" s="75"/>
      <c r="J69" s="45"/>
      <c r="K69" s="59"/>
      <c r="L69" s="59"/>
      <c r="M69" s="72"/>
      <c r="N69" s="72"/>
      <c r="O69" s="72"/>
    </row>
    <row r="70" spans="1:15" ht="18.75" thickBot="1">
      <c r="A70" s="296"/>
      <c r="B70" s="1191" t="s">
        <v>1112</v>
      </c>
      <c r="C70" s="116" t="s">
        <v>1153</v>
      </c>
      <c r="D70" s="182"/>
      <c r="E70" s="27"/>
      <c r="F70" s="27"/>
      <c r="G70" s="27"/>
      <c r="H70" s="45"/>
      <c r="I70" s="75"/>
      <c r="J70" s="45"/>
      <c r="K70" s="59"/>
      <c r="L70" s="59"/>
      <c r="M70" s="72"/>
      <c r="N70" s="72"/>
      <c r="O70" s="72"/>
    </row>
    <row r="71" spans="1:15" ht="18.75" thickBot="1">
      <c r="A71" s="296"/>
      <c r="B71" s="59"/>
      <c r="C71" s="59"/>
      <c r="D71" s="59"/>
      <c r="E71" s="451"/>
      <c r="F71" s="59"/>
      <c r="G71" s="68"/>
      <c r="H71" s="59"/>
      <c r="I71" s="59"/>
      <c r="J71" s="1164"/>
      <c r="K71" s="60"/>
      <c r="L71" s="59"/>
      <c r="M71" s="72"/>
      <c r="N71" s="72"/>
      <c r="O71" s="72"/>
    </row>
    <row r="72" spans="1:15" ht="33" customHeight="1">
      <c r="A72" s="1588" t="s">
        <v>7</v>
      </c>
      <c r="B72" s="1591" t="s">
        <v>664</v>
      </c>
      <c r="C72" s="1594" t="s">
        <v>9</v>
      </c>
      <c r="D72" s="1594" t="s">
        <v>10</v>
      </c>
      <c r="E72" s="1574" t="s">
        <v>665</v>
      </c>
      <c r="F72" s="1574" t="s">
        <v>12</v>
      </c>
      <c r="G72" s="1594" t="s">
        <v>13</v>
      </c>
      <c r="H72" s="1574" t="s">
        <v>282</v>
      </c>
      <c r="I72" s="1574" t="s">
        <v>14</v>
      </c>
      <c r="J72" s="1574" t="s">
        <v>60</v>
      </c>
      <c r="K72" s="1583" t="s">
        <v>666</v>
      </c>
      <c r="L72" s="1640" t="s">
        <v>667</v>
      </c>
      <c r="M72" s="1634"/>
      <c r="N72" s="1634"/>
      <c r="O72" s="1641"/>
    </row>
    <row r="73" spans="1:15" ht="33" customHeight="1">
      <c r="A73" s="1589"/>
      <c r="B73" s="1592"/>
      <c r="C73" s="1595"/>
      <c r="D73" s="1595"/>
      <c r="E73" s="1575"/>
      <c r="F73" s="1575"/>
      <c r="G73" s="1595"/>
      <c r="H73" s="1575"/>
      <c r="I73" s="1575"/>
      <c r="J73" s="1575"/>
      <c r="K73" s="1584"/>
      <c r="L73" s="1597" t="s">
        <v>668</v>
      </c>
      <c r="M73" s="1568"/>
      <c r="N73" s="1568"/>
      <c r="O73" s="1598"/>
    </row>
    <row r="74" spans="1:15" ht="27" customHeight="1" thickBot="1">
      <c r="A74" s="1590"/>
      <c r="B74" s="1593"/>
      <c r="C74" s="1596"/>
      <c r="D74" s="1596"/>
      <c r="E74" s="1576"/>
      <c r="F74" s="1576"/>
      <c r="G74" s="1596"/>
      <c r="H74" s="1576"/>
      <c r="I74" s="1576"/>
      <c r="J74" s="1576"/>
      <c r="K74" s="1585"/>
      <c r="L74" s="270" t="s">
        <v>669</v>
      </c>
      <c r="M74" s="277" t="s">
        <v>670</v>
      </c>
      <c r="N74" s="277" t="s">
        <v>671</v>
      </c>
      <c r="O74" s="272" t="s">
        <v>17</v>
      </c>
    </row>
    <row r="75" spans="1:15" ht="30" thickBot="1">
      <c r="A75" s="593" t="s">
        <v>27</v>
      </c>
      <c r="B75" s="3" t="s">
        <v>163</v>
      </c>
      <c r="C75" s="4" t="s">
        <v>357</v>
      </c>
      <c r="D75" s="4"/>
      <c r="E75" s="186"/>
      <c r="F75" s="4" t="s">
        <v>327</v>
      </c>
      <c r="G75" s="3" t="s">
        <v>326</v>
      </c>
      <c r="H75" s="22">
        <v>70903499</v>
      </c>
      <c r="I75" s="797" t="s">
        <v>358</v>
      </c>
      <c r="J75" s="1192" t="s">
        <v>67</v>
      </c>
      <c r="K75" s="770">
        <v>14</v>
      </c>
      <c r="L75" s="32"/>
      <c r="M75" s="34">
        <f>54071-45735</f>
        <v>8336</v>
      </c>
      <c r="N75" s="34">
        <f>118097-100902</f>
        <v>17195</v>
      </c>
      <c r="O75" s="34">
        <f>SUM(M75:N75)</f>
        <v>25531</v>
      </c>
    </row>
    <row r="76" spans="2:15" ht="15">
      <c r="B76" s="1447" t="s">
        <v>23</v>
      </c>
      <c r="C76" s="125" t="s">
        <v>378</v>
      </c>
      <c r="D76" s="670"/>
      <c r="E76" s="27"/>
      <c r="F76" s="27"/>
      <c r="G76" s="27"/>
      <c r="H76" s="1185" t="s">
        <v>1719</v>
      </c>
      <c r="I76" s="89" t="s">
        <v>1763</v>
      </c>
      <c r="J76" s="633"/>
      <c r="K76" s="1183"/>
      <c r="M76" s="1"/>
      <c r="N76" s="34" t="s">
        <v>24</v>
      </c>
      <c r="O76" s="574">
        <f>SUM(O75)</f>
        <v>25531</v>
      </c>
    </row>
    <row r="77" spans="1:15" ht="18">
      <c r="A77" s="296"/>
      <c r="B77" s="1198"/>
      <c r="C77" s="45" t="s">
        <v>345</v>
      </c>
      <c r="D77" s="181"/>
      <c r="E77" s="45"/>
      <c r="F77" s="45"/>
      <c r="G77" s="59"/>
      <c r="H77" s="1197"/>
      <c r="I77" s="75" t="s">
        <v>1764</v>
      </c>
      <c r="J77" s="59"/>
      <c r="K77" s="1200"/>
      <c r="L77" s="59"/>
      <c r="M77" s="72"/>
      <c r="N77" s="72"/>
      <c r="O77" s="72"/>
    </row>
    <row r="78" spans="1:15" ht="18.75" thickBot="1">
      <c r="A78" s="296"/>
      <c r="B78" s="1198"/>
      <c r="C78" s="45" t="s">
        <v>344</v>
      </c>
      <c r="D78" s="181"/>
      <c r="E78" s="45"/>
      <c r="F78" s="45"/>
      <c r="G78" s="59"/>
      <c r="H78" s="1201"/>
      <c r="I78" s="74" t="s">
        <v>344</v>
      </c>
      <c r="J78" s="634"/>
      <c r="K78" s="1202"/>
      <c r="L78" s="59"/>
      <c r="M78" s="72"/>
      <c r="N78" s="72"/>
      <c r="O78" s="72"/>
    </row>
    <row r="79" spans="1:12" ht="15">
      <c r="A79" s="27"/>
      <c r="B79" s="1198" t="s">
        <v>169</v>
      </c>
      <c r="C79" s="600">
        <v>8222146636</v>
      </c>
      <c r="D79" s="181"/>
      <c r="E79" s="45"/>
      <c r="F79" s="45"/>
      <c r="G79" s="59"/>
      <c r="H79" s="1190"/>
      <c r="I79" s="75"/>
      <c r="J79" s="45"/>
      <c r="K79" s="60"/>
      <c r="L79" s="27"/>
    </row>
    <row r="80" spans="2:11" ht="15.75" thickBot="1">
      <c r="B80" s="1191" t="s">
        <v>1112</v>
      </c>
      <c r="C80" s="116" t="s">
        <v>1153</v>
      </c>
      <c r="D80" s="182"/>
      <c r="E80" s="45"/>
      <c r="F80" s="45"/>
      <c r="G80" s="59"/>
      <c r="H80" s="45"/>
      <c r="I80" s="75"/>
      <c r="J80" s="45"/>
      <c r="K80" s="60"/>
    </row>
    <row r="81" spans="2:6" ht="15">
      <c r="B81" s="595"/>
      <c r="C81" s="14"/>
      <c r="D81" s="56"/>
      <c r="E81" s="56"/>
      <c r="F81" s="56"/>
    </row>
    <row r="82" ht="15" thickBot="1"/>
    <row r="83" spans="1:15" ht="39.75" customHeight="1">
      <c r="A83" s="1588" t="s">
        <v>7</v>
      </c>
      <c r="B83" s="1591" t="s">
        <v>664</v>
      </c>
      <c r="C83" s="1594" t="s">
        <v>9</v>
      </c>
      <c r="D83" s="1594" t="s">
        <v>10</v>
      </c>
      <c r="E83" s="1574" t="s">
        <v>665</v>
      </c>
      <c r="F83" s="1574" t="s">
        <v>12</v>
      </c>
      <c r="G83" s="1594" t="s">
        <v>13</v>
      </c>
      <c r="H83" s="1574" t="s">
        <v>282</v>
      </c>
      <c r="I83" s="1574" t="s">
        <v>14</v>
      </c>
      <c r="J83" s="1574" t="s">
        <v>60</v>
      </c>
      <c r="K83" s="1583" t="s">
        <v>666</v>
      </c>
      <c r="L83" s="1640" t="s">
        <v>667</v>
      </c>
      <c r="M83" s="1634"/>
      <c r="N83" s="1634"/>
      <c r="O83" s="1641"/>
    </row>
    <row r="84" spans="1:15" ht="30" customHeight="1">
      <c r="A84" s="1589"/>
      <c r="B84" s="1592"/>
      <c r="C84" s="1595"/>
      <c r="D84" s="1595"/>
      <c r="E84" s="1575"/>
      <c r="F84" s="1575"/>
      <c r="G84" s="1595"/>
      <c r="H84" s="1575"/>
      <c r="I84" s="1575"/>
      <c r="J84" s="1575"/>
      <c r="K84" s="1584"/>
      <c r="L84" s="1597" t="s">
        <v>668</v>
      </c>
      <c r="M84" s="1568"/>
      <c r="N84" s="1568"/>
      <c r="O84" s="1598"/>
    </row>
    <row r="85" spans="1:15" ht="28.5" customHeight="1" thickBot="1">
      <c r="A85" s="1590"/>
      <c r="B85" s="1593"/>
      <c r="C85" s="1596"/>
      <c r="D85" s="1596"/>
      <c r="E85" s="1576"/>
      <c r="F85" s="1576"/>
      <c r="G85" s="1596"/>
      <c r="H85" s="1576"/>
      <c r="I85" s="1576"/>
      <c r="J85" s="1576"/>
      <c r="K85" s="1585"/>
      <c r="L85" s="270" t="s">
        <v>669</v>
      </c>
      <c r="M85" s="277" t="s">
        <v>670</v>
      </c>
      <c r="N85" s="277" t="s">
        <v>671</v>
      </c>
      <c r="O85" s="272" t="s">
        <v>17</v>
      </c>
    </row>
    <row r="86" spans="1:15" ht="18">
      <c r="A86" s="593" t="s">
        <v>27</v>
      </c>
      <c r="B86" s="4" t="s">
        <v>197</v>
      </c>
      <c r="C86" s="4" t="s">
        <v>354</v>
      </c>
      <c r="D86" s="4"/>
      <c r="E86" s="115"/>
      <c r="F86" s="4" t="s">
        <v>327</v>
      </c>
      <c r="G86" s="3" t="s">
        <v>326</v>
      </c>
      <c r="H86" s="24">
        <v>90695879</v>
      </c>
      <c r="I86" s="719" t="s">
        <v>360</v>
      </c>
      <c r="J86" s="87" t="s">
        <v>67</v>
      </c>
      <c r="K86" s="8">
        <v>6</v>
      </c>
      <c r="L86" s="32"/>
      <c r="M86" s="34">
        <f>114*12</f>
        <v>1368</v>
      </c>
      <c r="N86" s="34">
        <f>557*12</f>
        <v>6684</v>
      </c>
      <c r="O86" s="34">
        <f>SUM(M86:N86)</f>
        <v>8052</v>
      </c>
    </row>
    <row r="87" spans="1:15" ht="17.25" customHeight="1">
      <c r="A87" s="593" t="s">
        <v>27</v>
      </c>
      <c r="B87" s="4" t="s">
        <v>197</v>
      </c>
      <c r="C87" s="4" t="s">
        <v>357</v>
      </c>
      <c r="D87" s="4"/>
      <c r="E87" s="186"/>
      <c r="F87" s="4" t="s">
        <v>327</v>
      </c>
      <c r="G87" s="3" t="s">
        <v>326</v>
      </c>
      <c r="H87" s="24">
        <v>70850724</v>
      </c>
      <c r="I87" s="719" t="s">
        <v>361</v>
      </c>
      <c r="J87" s="87" t="s">
        <v>67</v>
      </c>
      <c r="K87" s="8">
        <v>11</v>
      </c>
      <c r="L87" s="32"/>
      <c r="M87" s="34">
        <f>4332-3564</f>
        <v>768</v>
      </c>
      <c r="N87" s="34">
        <f>10556-8709</f>
        <v>1847</v>
      </c>
      <c r="O87" s="34">
        <f aca="true" t="shared" si="0" ref="O87:O94">SUM(M87:N87)</f>
        <v>2615</v>
      </c>
    </row>
    <row r="88" spans="1:15" ht="36" customHeight="1">
      <c r="A88" s="593" t="s">
        <v>27</v>
      </c>
      <c r="B88" s="4" t="s">
        <v>362</v>
      </c>
      <c r="C88" s="4" t="s">
        <v>352</v>
      </c>
      <c r="D88" s="4"/>
      <c r="E88" s="186"/>
      <c r="F88" s="200" t="s">
        <v>21</v>
      </c>
      <c r="G88" s="201" t="s">
        <v>19</v>
      </c>
      <c r="H88" s="24">
        <v>70850677</v>
      </c>
      <c r="I88" s="719" t="s">
        <v>363</v>
      </c>
      <c r="J88" s="87" t="s">
        <v>67</v>
      </c>
      <c r="K88" s="8">
        <v>5</v>
      </c>
      <c r="L88" s="32"/>
      <c r="M88" s="34">
        <f>9426-6026</f>
        <v>3400</v>
      </c>
      <c r="N88" s="34">
        <f>25430-16281</f>
        <v>9149</v>
      </c>
      <c r="O88" s="34">
        <f t="shared" si="0"/>
        <v>12549</v>
      </c>
    </row>
    <row r="89" spans="1:15" ht="36" customHeight="1">
      <c r="A89" s="593" t="s">
        <v>27</v>
      </c>
      <c r="B89" s="4" t="s">
        <v>197</v>
      </c>
      <c r="C89" s="4" t="s">
        <v>364</v>
      </c>
      <c r="D89" s="4"/>
      <c r="E89" s="186">
        <v>23</v>
      </c>
      <c r="F89" s="4" t="s">
        <v>21</v>
      </c>
      <c r="G89" s="3" t="s">
        <v>19</v>
      </c>
      <c r="H89" s="24">
        <v>70851269</v>
      </c>
      <c r="I89" s="719" t="s">
        <v>365</v>
      </c>
      <c r="J89" s="87" t="s">
        <v>67</v>
      </c>
      <c r="K89" s="8">
        <v>8</v>
      </c>
      <c r="L89" s="32"/>
      <c r="M89" s="34">
        <f>555-495</f>
        <v>60</v>
      </c>
      <c r="N89" s="34">
        <f>875-725</f>
        <v>150</v>
      </c>
      <c r="O89" s="34">
        <f t="shared" si="0"/>
        <v>210</v>
      </c>
    </row>
    <row r="90" spans="1:15" ht="18">
      <c r="A90" s="593" t="s">
        <v>27</v>
      </c>
      <c r="B90" s="24" t="s">
        <v>366</v>
      </c>
      <c r="C90" s="4" t="s">
        <v>326</v>
      </c>
      <c r="D90" s="4" t="s">
        <v>347</v>
      </c>
      <c r="E90" s="186">
        <v>17</v>
      </c>
      <c r="F90" s="4" t="s">
        <v>327</v>
      </c>
      <c r="G90" s="3" t="s">
        <v>367</v>
      </c>
      <c r="H90" s="24">
        <v>70903537</v>
      </c>
      <c r="I90" s="719" t="s">
        <v>368</v>
      </c>
      <c r="J90" s="87" t="s">
        <v>67</v>
      </c>
      <c r="K90" s="8">
        <v>15</v>
      </c>
      <c r="L90" s="32"/>
      <c r="M90" s="34">
        <f>1846-1726</f>
        <v>120</v>
      </c>
      <c r="N90" s="34">
        <f>5516-4879</f>
        <v>637</v>
      </c>
      <c r="O90" s="34">
        <f t="shared" si="0"/>
        <v>757</v>
      </c>
    </row>
    <row r="91" spans="1:15" ht="29.25">
      <c r="A91" s="593" t="s">
        <v>27</v>
      </c>
      <c r="B91" s="24" t="s">
        <v>369</v>
      </c>
      <c r="C91" s="3" t="s">
        <v>370</v>
      </c>
      <c r="D91" s="4"/>
      <c r="E91" s="186"/>
      <c r="F91" s="4" t="s">
        <v>21</v>
      </c>
      <c r="G91" s="3" t="s">
        <v>19</v>
      </c>
      <c r="H91" s="24">
        <v>70487751</v>
      </c>
      <c r="I91" s="719" t="s">
        <v>371</v>
      </c>
      <c r="J91" s="87" t="s">
        <v>67</v>
      </c>
      <c r="K91" s="8">
        <v>2</v>
      </c>
      <c r="L91" s="32"/>
      <c r="M91" s="34">
        <f>1426-1220</f>
        <v>206</v>
      </c>
      <c r="N91" s="34">
        <f>646-606</f>
        <v>40</v>
      </c>
      <c r="O91" s="34">
        <f t="shared" si="0"/>
        <v>246</v>
      </c>
    </row>
    <row r="92" spans="1:15" ht="18">
      <c r="A92" s="593" t="s">
        <v>27</v>
      </c>
      <c r="B92" s="24"/>
      <c r="C92" s="4" t="s">
        <v>372</v>
      </c>
      <c r="D92" s="4"/>
      <c r="E92" s="186">
        <v>72</v>
      </c>
      <c r="F92" s="4" t="s">
        <v>327</v>
      </c>
      <c r="G92" s="3" t="s">
        <v>326</v>
      </c>
      <c r="H92" s="24">
        <v>70850675</v>
      </c>
      <c r="I92" s="719" t="s">
        <v>373</v>
      </c>
      <c r="J92" s="87" t="s">
        <v>67</v>
      </c>
      <c r="K92" s="8">
        <v>6.6</v>
      </c>
      <c r="L92" s="32"/>
      <c r="M92" s="34">
        <f>635-632</f>
        <v>3</v>
      </c>
      <c r="N92" s="34">
        <f>1577-1561</f>
        <v>16</v>
      </c>
      <c r="O92" s="34">
        <f t="shared" si="0"/>
        <v>19</v>
      </c>
    </row>
    <row r="93" spans="1:15" ht="18">
      <c r="A93" s="593" t="s">
        <v>27</v>
      </c>
      <c r="B93" s="24" t="s">
        <v>374</v>
      </c>
      <c r="C93" s="4" t="s">
        <v>326</v>
      </c>
      <c r="D93" s="4" t="s">
        <v>298</v>
      </c>
      <c r="E93" s="186">
        <v>3</v>
      </c>
      <c r="F93" s="4" t="s">
        <v>327</v>
      </c>
      <c r="G93" s="3" t="s">
        <v>326</v>
      </c>
      <c r="H93" s="24">
        <v>71875444</v>
      </c>
      <c r="I93" s="719" t="s">
        <v>375</v>
      </c>
      <c r="J93" s="87" t="s">
        <v>67</v>
      </c>
      <c r="K93" s="8">
        <v>20</v>
      </c>
      <c r="L93" s="32"/>
      <c r="M93" s="34">
        <f>33105-15653</f>
        <v>17452</v>
      </c>
      <c r="N93" s="34">
        <f>80812-37454</f>
        <v>43358</v>
      </c>
      <c r="O93" s="34">
        <f t="shared" si="0"/>
        <v>60810</v>
      </c>
    </row>
    <row r="94" spans="1:15" ht="18">
      <c r="A94" s="593" t="s">
        <v>27</v>
      </c>
      <c r="B94" s="4" t="s">
        <v>376</v>
      </c>
      <c r="C94" s="4" t="s">
        <v>326</v>
      </c>
      <c r="D94" s="4" t="s">
        <v>298</v>
      </c>
      <c r="E94" s="186">
        <v>1</v>
      </c>
      <c r="F94" s="4" t="s">
        <v>327</v>
      </c>
      <c r="G94" s="4" t="s">
        <v>326</v>
      </c>
      <c r="H94" s="24">
        <v>70544881</v>
      </c>
      <c r="I94" s="719" t="s">
        <v>377</v>
      </c>
      <c r="J94" s="87" t="s">
        <v>67</v>
      </c>
      <c r="K94" s="8">
        <v>20</v>
      </c>
      <c r="L94" s="32"/>
      <c r="M94" s="34">
        <v>4000</v>
      </c>
      <c r="N94" s="34">
        <v>10000</v>
      </c>
      <c r="O94" s="34">
        <f t="shared" si="0"/>
        <v>14000</v>
      </c>
    </row>
    <row r="95" spans="1:15" ht="29.25">
      <c r="A95" s="593" t="s">
        <v>27</v>
      </c>
      <c r="B95" s="618" t="s">
        <v>378</v>
      </c>
      <c r="C95" s="619" t="s">
        <v>326</v>
      </c>
      <c r="D95" s="620" t="s">
        <v>55</v>
      </c>
      <c r="E95" s="428" t="s">
        <v>778</v>
      </c>
      <c r="F95" s="427" t="s">
        <v>327</v>
      </c>
      <c r="G95" s="427" t="s">
        <v>326</v>
      </c>
      <c r="H95" s="498">
        <v>991789</v>
      </c>
      <c r="I95" s="968" t="s">
        <v>1152</v>
      </c>
      <c r="J95" s="499" t="s">
        <v>22</v>
      </c>
      <c r="K95" s="427">
        <v>65</v>
      </c>
      <c r="L95" s="259">
        <f>(8635.23-5666.65)*20</f>
        <v>59371.6</v>
      </c>
      <c r="M95" s="429"/>
      <c r="N95" s="429"/>
      <c r="O95" s="430">
        <f>L95</f>
        <v>59371.6</v>
      </c>
    </row>
    <row r="96" spans="1:15" ht="30" thickBot="1">
      <c r="A96" s="593" t="s">
        <v>27</v>
      </c>
      <c r="B96" s="594" t="s">
        <v>241</v>
      </c>
      <c r="C96" s="731" t="s">
        <v>1252</v>
      </c>
      <c r="D96" s="731"/>
      <c r="E96" s="732">
        <v>75</v>
      </c>
      <c r="F96" s="731" t="s">
        <v>21</v>
      </c>
      <c r="G96" s="594" t="s">
        <v>19</v>
      </c>
      <c r="H96" s="731">
        <v>350301</v>
      </c>
      <c r="I96" s="968" t="s">
        <v>1516</v>
      </c>
      <c r="J96" s="841" t="s">
        <v>29</v>
      </c>
      <c r="K96" s="733">
        <v>8</v>
      </c>
      <c r="L96" s="34">
        <f>87695-87524</f>
        <v>171</v>
      </c>
      <c r="M96" s="35"/>
      <c r="N96" s="35"/>
      <c r="O96" s="34">
        <f>L96</f>
        <v>171</v>
      </c>
    </row>
    <row r="97" spans="2:15" ht="15">
      <c r="B97" s="1447" t="s">
        <v>23</v>
      </c>
      <c r="C97" s="125" t="s">
        <v>378</v>
      </c>
      <c r="D97" s="670"/>
      <c r="H97" s="1185" t="s">
        <v>1719</v>
      </c>
      <c r="I97" s="12" t="s">
        <v>378</v>
      </c>
      <c r="N97" s="34" t="s">
        <v>24</v>
      </c>
      <c r="O97" s="574">
        <f>SUM(O86:O96)</f>
        <v>158800.6</v>
      </c>
    </row>
    <row r="98" spans="2:9" ht="15">
      <c r="B98" s="1198"/>
      <c r="C98" s="45" t="s">
        <v>345</v>
      </c>
      <c r="D98" s="181"/>
      <c r="H98" s="190"/>
      <c r="I98" s="15" t="s">
        <v>345</v>
      </c>
    </row>
    <row r="99" spans="2:9" ht="15.75" thickBot="1">
      <c r="B99" s="1198"/>
      <c r="C99" s="45" t="s">
        <v>344</v>
      </c>
      <c r="D99" s="181"/>
      <c r="H99" s="193"/>
      <c r="I99" s="18" t="s">
        <v>344</v>
      </c>
    </row>
    <row r="100" spans="2:4" ht="15">
      <c r="B100" s="1198" t="s">
        <v>169</v>
      </c>
      <c r="C100" s="600">
        <v>8222146636</v>
      </c>
      <c r="D100" s="181"/>
    </row>
    <row r="101" spans="2:4" ht="15.75" thickBot="1">
      <c r="B101" s="1191" t="s">
        <v>1112</v>
      </c>
      <c r="C101" s="116" t="s">
        <v>1153</v>
      </c>
      <c r="D101" s="182"/>
    </row>
    <row r="102" spans="2:4" ht="15">
      <c r="B102" s="14"/>
      <c r="C102" s="14"/>
      <c r="D102" s="14"/>
    </row>
    <row r="103" spans="2:8" ht="18.75" thickBot="1">
      <c r="B103" s="1668" t="s">
        <v>679</v>
      </c>
      <c r="C103" s="1668"/>
      <c r="D103" s="1668"/>
      <c r="E103" s="1668"/>
      <c r="F103" s="1668"/>
      <c r="G103" s="1668"/>
      <c r="H103" s="1668"/>
    </row>
    <row r="104" spans="1:15" ht="43.5" customHeight="1">
      <c r="A104" s="1588" t="s">
        <v>7</v>
      </c>
      <c r="B104" s="1591" t="s">
        <v>664</v>
      </c>
      <c r="C104" s="1594" t="s">
        <v>9</v>
      </c>
      <c r="D104" s="1594" t="s">
        <v>10</v>
      </c>
      <c r="E104" s="1574" t="s">
        <v>665</v>
      </c>
      <c r="F104" s="1574" t="s">
        <v>12</v>
      </c>
      <c r="G104" s="1594" t="s">
        <v>13</v>
      </c>
      <c r="H104" s="1574" t="s">
        <v>282</v>
      </c>
      <c r="I104" s="1574" t="s">
        <v>14</v>
      </c>
      <c r="J104" s="1574" t="s">
        <v>60</v>
      </c>
      <c r="K104" s="1583" t="s">
        <v>666</v>
      </c>
      <c r="L104" s="1640" t="s">
        <v>667</v>
      </c>
      <c r="M104" s="1634"/>
      <c r="N104" s="1634"/>
      <c r="O104" s="1641"/>
    </row>
    <row r="105" spans="1:15" ht="30" customHeight="1">
      <c r="A105" s="1589"/>
      <c r="B105" s="1592"/>
      <c r="C105" s="1595"/>
      <c r="D105" s="1595"/>
      <c r="E105" s="1575"/>
      <c r="F105" s="1575"/>
      <c r="G105" s="1595"/>
      <c r="H105" s="1575"/>
      <c r="I105" s="1575"/>
      <c r="J105" s="1575"/>
      <c r="K105" s="1584"/>
      <c r="L105" s="1597" t="s">
        <v>668</v>
      </c>
      <c r="M105" s="1568"/>
      <c r="N105" s="1568"/>
      <c r="O105" s="1598"/>
    </row>
    <row r="106" spans="1:15" ht="28.5" customHeight="1" thickBot="1">
      <c r="A106" s="1590"/>
      <c r="B106" s="1593"/>
      <c r="C106" s="1596"/>
      <c r="D106" s="1596"/>
      <c r="E106" s="1576"/>
      <c r="F106" s="1576"/>
      <c r="G106" s="1596"/>
      <c r="H106" s="1576"/>
      <c r="I106" s="1576"/>
      <c r="J106" s="1576"/>
      <c r="K106" s="1585"/>
      <c r="L106" s="485" t="s">
        <v>669</v>
      </c>
      <c r="M106" s="486" t="s">
        <v>670</v>
      </c>
      <c r="N106" s="486" t="s">
        <v>671</v>
      </c>
      <c r="O106" s="484" t="s">
        <v>17</v>
      </c>
    </row>
    <row r="107" spans="1:15" ht="45.75" customHeight="1">
      <c r="A107" s="621" t="s">
        <v>27</v>
      </c>
      <c r="B107" s="9" t="s">
        <v>1258</v>
      </c>
      <c r="C107" s="187" t="s">
        <v>326</v>
      </c>
      <c r="D107" s="187" t="s">
        <v>804</v>
      </c>
      <c r="E107" s="539">
        <v>3</v>
      </c>
      <c r="F107" s="187" t="s">
        <v>327</v>
      </c>
      <c r="G107" s="187" t="s">
        <v>326</v>
      </c>
      <c r="H107" s="107">
        <v>1250701</v>
      </c>
      <c r="I107" s="734" t="s">
        <v>1079</v>
      </c>
      <c r="J107" s="556" t="s">
        <v>72</v>
      </c>
      <c r="K107" s="274">
        <v>80</v>
      </c>
      <c r="L107" s="500"/>
      <c r="M107" s="275">
        <f>(2781.59-1018.73)*30</f>
        <v>52885.8</v>
      </c>
      <c r="N107" s="275">
        <f>(7888.66-2683.84)*30</f>
        <v>156144.59999999998</v>
      </c>
      <c r="O107" s="275">
        <f>M107+N107</f>
        <v>209030.39999999997</v>
      </c>
    </row>
    <row r="108" spans="1:15" ht="45.75" customHeight="1" thickBot="1">
      <c r="A108" s="593" t="s">
        <v>27</v>
      </c>
      <c r="B108" s="9" t="s">
        <v>1258</v>
      </c>
      <c r="C108" s="6" t="s">
        <v>326</v>
      </c>
      <c r="D108" s="6" t="s">
        <v>804</v>
      </c>
      <c r="E108" s="188">
        <v>1</v>
      </c>
      <c r="F108" s="4" t="s">
        <v>327</v>
      </c>
      <c r="G108" s="4" t="s">
        <v>326</v>
      </c>
      <c r="H108" s="24">
        <v>1172249</v>
      </c>
      <c r="I108" s="719" t="s">
        <v>1080</v>
      </c>
      <c r="J108" s="31" t="s">
        <v>67</v>
      </c>
      <c r="K108" s="8">
        <v>35</v>
      </c>
      <c r="L108" s="32"/>
      <c r="M108" s="34">
        <f>(4483-482)*2</f>
        <v>8002</v>
      </c>
      <c r="N108" s="202">
        <f>(11773-1185)*2</f>
        <v>21176</v>
      </c>
      <c r="O108" s="34">
        <f>M108+N108</f>
        <v>29178</v>
      </c>
    </row>
    <row r="109" spans="2:15" ht="15.75">
      <c r="B109" s="1447" t="s">
        <v>23</v>
      </c>
      <c r="C109" s="125" t="s">
        <v>378</v>
      </c>
      <c r="D109" s="670"/>
      <c r="E109" s="27"/>
      <c r="F109" s="27"/>
      <c r="G109" s="27"/>
      <c r="H109" s="1185" t="s">
        <v>1719</v>
      </c>
      <c r="I109" s="189" t="s">
        <v>1258</v>
      </c>
      <c r="J109" s="1193"/>
      <c r="N109" s="34" t="s">
        <v>24</v>
      </c>
      <c r="O109" s="574">
        <f>SUM(O107:O108)</f>
        <v>238208.39999999997</v>
      </c>
    </row>
    <row r="110" spans="2:10" ht="15.75">
      <c r="B110" s="1198"/>
      <c r="C110" s="45" t="s">
        <v>345</v>
      </c>
      <c r="D110" s="181"/>
      <c r="E110" s="27"/>
      <c r="F110" s="27"/>
      <c r="G110" s="27"/>
      <c r="H110" s="1184"/>
      <c r="I110" s="191" t="s">
        <v>344</v>
      </c>
      <c r="J110" s="1194"/>
    </row>
    <row r="111" spans="2:10" ht="16.5" thickBot="1">
      <c r="B111" s="1198"/>
      <c r="C111" s="45" t="s">
        <v>344</v>
      </c>
      <c r="D111" s="181"/>
      <c r="E111" s="27"/>
      <c r="F111" s="27"/>
      <c r="G111" s="27"/>
      <c r="H111" s="1195"/>
      <c r="I111" s="194" t="s">
        <v>806</v>
      </c>
      <c r="J111" s="1196"/>
    </row>
    <row r="112" spans="2:13" ht="15">
      <c r="B112" s="1198" t="s">
        <v>169</v>
      </c>
      <c r="C112" s="600">
        <v>8222146636</v>
      </c>
      <c r="D112" s="181"/>
      <c r="E112" s="59"/>
      <c r="F112" s="59"/>
      <c r="G112" s="27"/>
      <c r="H112" s="27"/>
      <c r="M112" s="1"/>
    </row>
    <row r="113" spans="2:8" ht="15.75" thickBot="1">
      <c r="B113" s="1191" t="s">
        <v>1112</v>
      </c>
      <c r="C113" s="116" t="s">
        <v>1153</v>
      </c>
      <c r="D113" s="182"/>
      <c r="E113" s="59"/>
      <c r="F113" s="59"/>
      <c r="G113" s="27"/>
      <c r="H113" s="27"/>
    </row>
    <row r="114" spans="2:13" ht="15.75">
      <c r="B114" s="56"/>
      <c r="C114" s="191"/>
      <c r="D114" s="192"/>
      <c r="E114" s="192"/>
      <c r="F114" s="56"/>
      <c r="L114" s="1" t="s">
        <v>63</v>
      </c>
      <c r="M114" s="33">
        <f>O33+O45+O55+O66+O76+O97+O109</f>
        <v>628701.1299999999</v>
      </c>
    </row>
    <row r="115" spans="2:6" ht="16.5" thickBot="1">
      <c r="B115" s="56"/>
      <c r="C115" s="191"/>
      <c r="D115" s="192"/>
      <c r="E115" s="192"/>
      <c r="F115" s="56"/>
    </row>
    <row r="116" spans="1:15" ht="43.5" customHeight="1">
      <c r="A116" s="56"/>
      <c r="B116" s="614"/>
      <c r="C116" s="56"/>
      <c r="D116" s="56"/>
      <c r="E116" s="56"/>
      <c r="K116" s="1621" t="s">
        <v>60</v>
      </c>
      <c r="L116" s="1623" t="s">
        <v>675</v>
      </c>
      <c r="M116" s="1624"/>
      <c r="N116" s="1625"/>
      <c r="O116" s="1666" t="s">
        <v>61</v>
      </c>
    </row>
    <row r="117" spans="1:15" ht="20.25" customHeight="1" thickBot="1">
      <c r="A117" s="56"/>
      <c r="B117" s="56"/>
      <c r="C117" s="56"/>
      <c r="D117" s="56"/>
      <c r="E117" s="56"/>
      <c r="K117" s="1622"/>
      <c r="L117" s="282" t="s">
        <v>62</v>
      </c>
      <c r="M117" s="282" t="s">
        <v>670</v>
      </c>
      <c r="N117" s="282" t="s">
        <v>671</v>
      </c>
      <c r="O117" s="1667"/>
    </row>
    <row r="118" spans="1:15" ht="15">
      <c r="A118" s="56"/>
      <c r="B118" s="56"/>
      <c r="C118" s="56"/>
      <c r="D118" s="56"/>
      <c r="E118" s="56"/>
      <c r="K118" s="1030" t="s">
        <v>29</v>
      </c>
      <c r="L118" s="1003">
        <f>O22+O31+O96</f>
        <v>832</v>
      </c>
      <c r="M118" s="1033"/>
      <c r="N118" s="1034"/>
      <c r="O118" s="1040">
        <v>3</v>
      </c>
    </row>
    <row r="119" spans="9:15" ht="15">
      <c r="I119" s="33"/>
      <c r="K119" s="1031" t="s">
        <v>22</v>
      </c>
      <c r="L119" s="1002">
        <f>O28+O95</f>
        <v>178905.72999999998</v>
      </c>
      <c r="M119" s="693"/>
      <c r="N119" s="1035"/>
      <c r="O119" s="995">
        <v>2</v>
      </c>
    </row>
    <row r="120" spans="9:15" ht="15">
      <c r="I120" s="33"/>
      <c r="K120" s="1031" t="s">
        <v>72</v>
      </c>
      <c r="L120" s="1036"/>
      <c r="M120" s="297">
        <f>M107</f>
        <v>52885.8</v>
      </c>
      <c r="N120" s="1025">
        <f>N107</f>
        <v>156144.59999999998</v>
      </c>
      <c r="O120" s="1029">
        <v>1</v>
      </c>
    </row>
    <row r="121" spans="11:15" ht="15.75" thickBot="1">
      <c r="K121" s="1032" t="s">
        <v>67</v>
      </c>
      <c r="L121" s="1037"/>
      <c r="M121" s="1038">
        <f>M21+M23+M24+M25+M26+M27+M29+M30+M32+M43+M54+M64+M65+M75+M44+M86+M87+M88+M89+M90+M91+M92+M93+M94+M108</f>
        <v>71008</v>
      </c>
      <c r="N121" s="1039">
        <f>N21+N23+N24+N25+N26+N27+N29+N30+N32+N43+N54+N64+N65+N75+N44+N86+N87+N88+N89+N90+N91+N92+N93+N94+N108</f>
        <v>168925</v>
      </c>
      <c r="O121" s="996">
        <v>25</v>
      </c>
    </row>
    <row r="122" spans="11:15" ht="15.75" thickBot="1">
      <c r="K122" s="353" t="s">
        <v>63</v>
      </c>
      <c r="L122" s="299">
        <f>SUM(L118:L121)</f>
        <v>179737.72999999998</v>
      </c>
      <c r="M122" s="300">
        <f>SUM(M118:M121)</f>
        <v>123893.8</v>
      </c>
      <c r="N122" s="177">
        <f>SUM(N118:N121)</f>
        <v>325069.6</v>
      </c>
      <c r="O122" s="1041">
        <f>SUM(O118:O121)</f>
        <v>31</v>
      </c>
    </row>
    <row r="123" spans="11:13" ht="18.75" thickBot="1">
      <c r="K123" s="1"/>
      <c r="L123" s="127" t="s">
        <v>64</v>
      </c>
      <c r="M123" s="681">
        <f>SUM(L122:N122)</f>
        <v>628701.1299999999</v>
      </c>
    </row>
  </sheetData>
  <sheetProtection/>
  <mergeCells count="100">
    <mergeCell ref="L61:O61"/>
    <mergeCell ref="L62:O62"/>
    <mergeCell ref="F61:F63"/>
    <mergeCell ref="G61:G63"/>
    <mergeCell ref="H61:H63"/>
    <mergeCell ref="I61:I63"/>
    <mergeCell ref="J61:J63"/>
    <mergeCell ref="K61:K63"/>
    <mergeCell ref="I51:I53"/>
    <mergeCell ref="J51:J53"/>
    <mergeCell ref="K51:K53"/>
    <mergeCell ref="L51:O51"/>
    <mergeCell ref="L52:O52"/>
    <mergeCell ref="A61:A63"/>
    <mergeCell ref="B61:B63"/>
    <mergeCell ref="C61:C63"/>
    <mergeCell ref="D61:D63"/>
    <mergeCell ref="E61:E63"/>
    <mergeCell ref="L40:O40"/>
    <mergeCell ref="L41:O41"/>
    <mergeCell ref="A51:A53"/>
    <mergeCell ref="B51:B53"/>
    <mergeCell ref="C51:C53"/>
    <mergeCell ref="D51:D53"/>
    <mergeCell ref="E51:E53"/>
    <mergeCell ref="F51:F53"/>
    <mergeCell ref="G51:G53"/>
    <mergeCell ref="H51:H53"/>
    <mergeCell ref="A40:A42"/>
    <mergeCell ref="B40:B42"/>
    <mergeCell ref="C40:C42"/>
    <mergeCell ref="D40:D42"/>
    <mergeCell ref="E40:E42"/>
    <mergeCell ref="F40:F42"/>
    <mergeCell ref="F104:F106"/>
    <mergeCell ref="B103:H103"/>
    <mergeCell ref="E83:E85"/>
    <mergeCell ref="F83:F85"/>
    <mergeCell ref="C104:C106"/>
    <mergeCell ref="L104:O104"/>
    <mergeCell ref="J83:J85"/>
    <mergeCell ref="K83:K85"/>
    <mergeCell ref="L83:O83"/>
    <mergeCell ref="L84:O84"/>
    <mergeCell ref="D104:D106"/>
    <mergeCell ref="E104:E106"/>
    <mergeCell ref="A104:A106"/>
    <mergeCell ref="B104:B106"/>
    <mergeCell ref="A72:A74"/>
    <mergeCell ref="B72:B74"/>
    <mergeCell ref="C72:C74"/>
    <mergeCell ref="D72:D74"/>
    <mergeCell ref="A83:A85"/>
    <mergeCell ref="B83:B85"/>
    <mergeCell ref="A18:A20"/>
    <mergeCell ref="B18:B20"/>
    <mergeCell ref="C18:C20"/>
    <mergeCell ref="D18:D20"/>
    <mergeCell ref="E18:E20"/>
    <mergeCell ref="F18:F20"/>
    <mergeCell ref="L19:O19"/>
    <mergeCell ref="J18:J20"/>
    <mergeCell ref="K18:K20"/>
    <mergeCell ref="L73:O73"/>
    <mergeCell ref="K72:K74"/>
    <mergeCell ref="C83:C85"/>
    <mergeCell ref="D83:D85"/>
    <mergeCell ref="E72:E74"/>
    <mergeCell ref="F72:F74"/>
    <mergeCell ref="G40:G42"/>
    <mergeCell ref="L116:N116"/>
    <mergeCell ref="K116:K117"/>
    <mergeCell ref="O116:O117"/>
    <mergeCell ref="H72:H74"/>
    <mergeCell ref="G83:G85"/>
    <mergeCell ref="H83:H85"/>
    <mergeCell ref="K104:K106"/>
    <mergeCell ref="I72:I74"/>
    <mergeCell ref="J72:J74"/>
    <mergeCell ref="J104:J106"/>
    <mergeCell ref="B3:I3"/>
    <mergeCell ref="C5:I5"/>
    <mergeCell ref="H6:I6"/>
    <mergeCell ref="H7:I7"/>
    <mergeCell ref="B1:I1"/>
    <mergeCell ref="L72:O72"/>
    <mergeCell ref="G18:G20"/>
    <mergeCell ref="H18:H20"/>
    <mergeCell ref="I18:I20"/>
    <mergeCell ref="L18:O18"/>
    <mergeCell ref="H40:H42"/>
    <mergeCell ref="I40:I42"/>
    <mergeCell ref="J40:J42"/>
    <mergeCell ref="K40:K42"/>
    <mergeCell ref="L105:O105"/>
    <mergeCell ref="G104:G106"/>
    <mergeCell ref="H104:H106"/>
    <mergeCell ref="I104:I106"/>
    <mergeCell ref="G72:G74"/>
    <mergeCell ref="I83:I85"/>
  </mergeCells>
  <printOptions/>
  <pageMargins left="0.7" right="0.7" top="0.75" bottom="0.75" header="0.3" footer="0.3"/>
  <pageSetup horizontalDpi="600" verticalDpi="600" orientation="portrait" paperSize="9" r:id="rId1"/>
  <ignoredErrors>
    <ignoredError sqref="O22 O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231"/>
  <sheetViews>
    <sheetView tabSelected="1" zoomScale="80" zoomScaleNormal="80" zoomScalePageLayoutView="0" workbookViewId="0" topLeftCell="A1">
      <selection activeCell="B82" sqref="B82"/>
    </sheetView>
  </sheetViews>
  <sheetFormatPr defaultColWidth="8.796875" defaultRowHeight="14.25"/>
  <cols>
    <col min="1" max="1" width="11" style="5" customWidth="1"/>
    <col min="2" max="2" width="15.69921875" style="1" customWidth="1"/>
    <col min="3" max="3" width="13.19921875" style="203" customWidth="1"/>
    <col min="4" max="4" width="11.5" style="1" customWidth="1"/>
    <col min="5" max="5" width="12" style="1" customWidth="1"/>
    <col min="6" max="6" width="10.8984375" style="1" customWidth="1"/>
    <col min="7" max="7" width="18.3984375" style="1" customWidth="1"/>
    <col min="8" max="8" width="27" style="1" customWidth="1"/>
    <col min="9" max="9" width="15.19921875" style="1" customWidth="1"/>
    <col min="10" max="10" width="10.8984375" style="1" customWidth="1"/>
    <col min="11" max="11" width="9" style="1" customWidth="1"/>
    <col min="12" max="12" width="15.59765625" style="1" customWidth="1"/>
    <col min="13" max="13" width="14" style="1" customWidth="1"/>
    <col min="14" max="14" width="16.8984375" style="1" customWidth="1"/>
    <col min="15" max="15" width="17.19921875" style="1" customWidth="1"/>
    <col min="16" max="16" width="13.8984375" style="1" customWidth="1"/>
    <col min="17" max="17" width="13.19921875" style="1" customWidth="1"/>
    <col min="18" max="18" width="14.59765625" style="1" customWidth="1"/>
    <col min="19" max="19" width="12.69921875" style="1" customWidth="1"/>
    <col min="20" max="20" width="20.19921875" style="1" customWidth="1"/>
    <col min="21" max="21" width="18.59765625" style="1" customWidth="1"/>
    <col min="22" max="16384" width="9" style="1" customWidth="1"/>
  </cols>
  <sheetData>
    <row r="1" spans="1:9" ht="18">
      <c r="A1" s="1"/>
      <c r="B1" s="1609" t="s">
        <v>1231</v>
      </c>
      <c r="C1" s="1609"/>
      <c r="D1" s="1609"/>
      <c r="E1" s="1609"/>
      <c r="F1" s="1609"/>
      <c r="G1" s="1609"/>
      <c r="H1" s="1609"/>
      <c r="I1" s="1609"/>
    </row>
    <row r="2" spans="1:8" ht="14.25">
      <c r="A2" s="1"/>
      <c r="C2" s="1"/>
      <c r="H2" s="295"/>
    </row>
    <row r="3" spans="1:9" ht="25.5" customHeight="1">
      <c r="A3" s="1"/>
      <c r="B3" s="1602" t="s">
        <v>680</v>
      </c>
      <c r="C3" s="1603"/>
      <c r="D3" s="1603"/>
      <c r="E3" s="1603"/>
      <c r="F3" s="1603"/>
      <c r="G3" s="1603"/>
      <c r="H3" s="1603"/>
      <c r="I3" s="1604"/>
    </row>
    <row r="4" spans="1:9" ht="15">
      <c r="A4" s="1"/>
      <c r="B4" s="487"/>
      <c r="C4" s="487"/>
      <c r="D4" s="487"/>
      <c r="E4" s="487"/>
      <c r="F4" s="487"/>
      <c r="G4" s="487"/>
      <c r="H4" s="487"/>
      <c r="I4" s="487"/>
    </row>
    <row r="5" spans="1:9" ht="27" customHeight="1">
      <c r="A5" s="1"/>
      <c r="B5" s="1675" t="s">
        <v>1103</v>
      </c>
      <c r="C5" s="1676"/>
      <c r="D5" s="1676"/>
      <c r="E5" s="1676"/>
      <c r="F5" s="1676"/>
      <c r="G5" s="1676"/>
      <c r="H5" s="1676"/>
      <c r="I5" s="1677"/>
    </row>
    <row r="6" spans="1:9" ht="15">
      <c r="A6" s="1"/>
      <c r="B6" s="487"/>
      <c r="C6" s="487"/>
      <c r="D6" s="487"/>
      <c r="E6" s="487"/>
      <c r="F6" s="487"/>
      <c r="G6" s="487"/>
      <c r="H6" s="490"/>
      <c r="I6" s="489"/>
    </row>
    <row r="7" spans="1:9" ht="15.75">
      <c r="A7" s="1"/>
      <c r="B7" s="488" t="s">
        <v>1</v>
      </c>
      <c r="C7" s="489"/>
      <c r="D7" s="487"/>
      <c r="E7" s="487"/>
      <c r="F7" s="487"/>
      <c r="G7" s="489"/>
      <c r="H7" s="490"/>
      <c r="I7" s="489"/>
    </row>
    <row r="8" spans="1:9" ht="15.75">
      <c r="A8" s="1"/>
      <c r="B8" s="1389" t="s">
        <v>1833</v>
      </c>
      <c r="C8" s="489"/>
      <c r="D8" s="487"/>
      <c r="E8" s="487"/>
      <c r="F8" s="487"/>
      <c r="G8" s="489"/>
      <c r="H8" s="490"/>
      <c r="I8" s="489"/>
    </row>
    <row r="9" spans="1:9" ht="15.75">
      <c r="A9" s="1"/>
      <c r="B9" s="491" t="s">
        <v>1182</v>
      </c>
      <c r="C9" s="489"/>
      <c r="D9" s="492"/>
      <c r="E9" s="487"/>
      <c r="F9" s="487"/>
      <c r="G9" s="489"/>
      <c r="H9" s="490"/>
      <c r="I9" s="489"/>
    </row>
    <row r="10" spans="1:9" ht="15.75">
      <c r="A10" s="1"/>
      <c r="B10" s="491" t="s">
        <v>1096</v>
      </c>
      <c r="C10" s="489"/>
      <c r="D10" s="492"/>
      <c r="E10" s="487"/>
      <c r="F10" s="487"/>
      <c r="G10" s="489"/>
      <c r="H10" s="490"/>
      <c r="I10" s="489"/>
    </row>
    <row r="11" spans="1:9" ht="15">
      <c r="A11" s="1"/>
      <c r="B11" s="489" t="s">
        <v>727</v>
      </c>
      <c r="C11" s="489"/>
      <c r="D11" s="489"/>
      <c r="E11" s="489"/>
      <c r="F11" s="489"/>
      <c r="G11" s="489"/>
      <c r="H11" s="490"/>
      <c r="I11" s="489"/>
    </row>
    <row r="12" spans="1:9" ht="15.75">
      <c r="A12" s="1"/>
      <c r="B12" s="493" t="s">
        <v>3</v>
      </c>
      <c r="C12" s="494" t="s">
        <v>4</v>
      </c>
      <c r="D12" s="492"/>
      <c r="E12" s="492"/>
      <c r="F12" s="492"/>
      <c r="G12" s="492"/>
      <c r="H12" s="489"/>
      <c r="I12" s="489"/>
    </row>
    <row r="13" spans="1:9" ht="15.75">
      <c r="A13" s="1"/>
      <c r="B13" s="493" t="s">
        <v>5</v>
      </c>
      <c r="C13" s="488" t="s">
        <v>6</v>
      </c>
      <c r="D13" s="492"/>
      <c r="E13" s="492"/>
      <c r="F13" s="492"/>
      <c r="G13" s="492"/>
      <c r="H13" s="489"/>
      <c r="I13" s="489"/>
    </row>
    <row r="14" spans="1:8" ht="15" thickBot="1">
      <c r="A14" s="58"/>
      <c r="B14" s="58"/>
      <c r="C14" s="102"/>
      <c r="D14" s="59"/>
      <c r="E14" s="59"/>
      <c r="F14" s="59"/>
      <c r="G14" s="59"/>
      <c r="H14" s="59"/>
    </row>
    <row r="15" spans="1:15" ht="43.5" customHeight="1">
      <c r="A15" s="1588" t="s">
        <v>7</v>
      </c>
      <c r="B15" s="1591" t="s">
        <v>664</v>
      </c>
      <c r="C15" s="1594" t="s">
        <v>9</v>
      </c>
      <c r="D15" s="1594" t="s">
        <v>10</v>
      </c>
      <c r="E15" s="1574" t="s">
        <v>665</v>
      </c>
      <c r="F15" s="1574" t="s">
        <v>12</v>
      </c>
      <c r="G15" s="1594" t="s">
        <v>13</v>
      </c>
      <c r="H15" s="1574" t="s">
        <v>14</v>
      </c>
      <c r="I15" s="1574" t="s">
        <v>282</v>
      </c>
      <c r="J15" s="1574" t="s">
        <v>60</v>
      </c>
      <c r="K15" s="1583" t="s">
        <v>666</v>
      </c>
      <c r="L15" s="1640" t="s">
        <v>667</v>
      </c>
      <c r="M15" s="1634"/>
      <c r="N15" s="1634"/>
      <c r="O15" s="1641"/>
    </row>
    <row r="16" spans="1:15" ht="40.5" customHeight="1">
      <c r="A16" s="1589"/>
      <c r="B16" s="1592"/>
      <c r="C16" s="1595"/>
      <c r="D16" s="1595"/>
      <c r="E16" s="1575"/>
      <c r="F16" s="1575"/>
      <c r="G16" s="1595"/>
      <c r="H16" s="1575"/>
      <c r="I16" s="1613"/>
      <c r="J16" s="1575"/>
      <c r="K16" s="1584"/>
      <c r="L16" s="1597" t="s">
        <v>668</v>
      </c>
      <c r="M16" s="1568"/>
      <c r="N16" s="1568"/>
      <c r="O16" s="1598"/>
    </row>
    <row r="17" spans="1:15" ht="33.75" customHeight="1" thickBot="1">
      <c r="A17" s="1590"/>
      <c r="B17" s="1593"/>
      <c r="C17" s="1596"/>
      <c r="D17" s="1596"/>
      <c r="E17" s="1576"/>
      <c r="F17" s="1576"/>
      <c r="G17" s="1596"/>
      <c r="H17" s="1576"/>
      <c r="I17" s="1614"/>
      <c r="J17" s="1576"/>
      <c r="K17" s="1585"/>
      <c r="L17" s="270" t="s">
        <v>669</v>
      </c>
      <c r="M17" s="277" t="s">
        <v>670</v>
      </c>
      <c r="N17" s="277" t="s">
        <v>671</v>
      </c>
      <c r="O17" s="272" t="s">
        <v>17</v>
      </c>
    </row>
    <row r="18" spans="1:15" ht="29.25">
      <c r="A18" s="593" t="s">
        <v>27</v>
      </c>
      <c r="B18" s="310" t="s">
        <v>391</v>
      </c>
      <c r="C18" s="305" t="s">
        <v>380</v>
      </c>
      <c r="D18" s="309" t="s">
        <v>392</v>
      </c>
      <c r="E18" s="309">
        <v>1</v>
      </c>
      <c r="F18" s="303" t="s">
        <v>382</v>
      </c>
      <c r="G18" s="309" t="s">
        <v>380</v>
      </c>
      <c r="H18" s="790" t="s">
        <v>393</v>
      </c>
      <c r="I18" s="309">
        <v>1001167</v>
      </c>
      <c r="J18" s="87" t="s">
        <v>67</v>
      </c>
      <c r="K18" s="543">
        <v>3</v>
      </c>
      <c r="L18" s="306"/>
      <c r="M18" s="307">
        <f>2741-2552</f>
        <v>189</v>
      </c>
      <c r="N18" s="307">
        <f>6244-5783</f>
        <v>461</v>
      </c>
      <c r="O18" s="308">
        <f aca="true" t="shared" si="0" ref="O18:O32">SUM(M18:N18)</f>
        <v>650</v>
      </c>
    </row>
    <row r="19" spans="1:15" ht="29.25">
      <c r="A19" s="593" t="s">
        <v>27</v>
      </c>
      <c r="B19" s="310" t="s">
        <v>394</v>
      </c>
      <c r="C19" s="305" t="s">
        <v>380</v>
      </c>
      <c r="D19" s="309" t="s">
        <v>392</v>
      </c>
      <c r="E19" s="309">
        <v>1</v>
      </c>
      <c r="F19" s="303" t="s">
        <v>382</v>
      </c>
      <c r="G19" s="309" t="s">
        <v>380</v>
      </c>
      <c r="H19" s="790" t="s">
        <v>395</v>
      </c>
      <c r="I19" s="309">
        <v>1001177</v>
      </c>
      <c r="J19" s="87" t="s">
        <v>67</v>
      </c>
      <c r="K19" s="543">
        <v>4</v>
      </c>
      <c r="L19" s="306"/>
      <c r="M19" s="307">
        <f>4021-3709</f>
        <v>312</v>
      </c>
      <c r="N19" s="307">
        <f>7280-6749</f>
        <v>531</v>
      </c>
      <c r="O19" s="308">
        <f t="shared" si="0"/>
        <v>843</v>
      </c>
    </row>
    <row r="20" spans="1:15" ht="29.25">
      <c r="A20" s="593" t="s">
        <v>27</v>
      </c>
      <c r="B20" s="310" t="s">
        <v>394</v>
      </c>
      <c r="C20" s="305" t="s">
        <v>380</v>
      </c>
      <c r="D20" s="309" t="s">
        <v>392</v>
      </c>
      <c r="E20" s="309">
        <v>1</v>
      </c>
      <c r="F20" s="303" t="s">
        <v>382</v>
      </c>
      <c r="G20" s="309" t="s">
        <v>380</v>
      </c>
      <c r="H20" s="790" t="s">
        <v>396</v>
      </c>
      <c r="I20" s="309">
        <v>70951500</v>
      </c>
      <c r="J20" s="87" t="s">
        <v>67</v>
      </c>
      <c r="K20" s="543">
        <v>6.6</v>
      </c>
      <c r="L20" s="306"/>
      <c r="M20" s="307">
        <f>568*10</f>
        <v>5680</v>
      </c>
      <c r="N20" s="307">
        <f>1476*10</f>
        <v>14760</v>
      </c>
      <c r="O20" s="308">
        <f t="shared" si="0"/>
        <v>20440</v>
      </c>
    </row>
    <row r="21" spans="1:15" ht="29.25">
      <c r="A21" s="593" t="s">
        <v>27</v>
      </c>
      <c r="B21" s="310" t="s">
        <v>397</v>
      </c>
      <c r="C21" s="305" t="s">
        <v>398</v>
      </c>
      <c r="D21" s="302"/>
      <c r="E21" s="309">
        <v>26</v>
      </c>
      <c r="F21" s="303" t="s">
        <v>382</v>
      </c>
      <c r="G21" s="309" t="s">
        <v>380</v>
      </c>
      <c r="H21" s="790" t="s">
        <v>399</v>
      </c>
      <c r="I21" s="309">
        <v>90600013</v>
      </c>
      <c r="J21" s="87" t="s">
        <v>67</v>
      </c>
      <c r="K21" s="543">
        <v>6.6</v>
      </c>
      <c r="L21" s="306"/>
      <c r="M21" s="307">
        <f>7*11</f>
        <v>77</v>
      </c>
      <c r="N21" s="307">
        <f>6*11</f>
        <v>66</v>
      </c>
      <c r="O21" s="308">
        <f t="shared" si="0"/>
        <v>143</v>
      </c>
    </row>
    <row r="22" spans="1:15" ht="29.25">
      <c r="A22" s="593" t="s">
        <v>27</v>
      </c>
      <c r="B22" s="310" t="s">
        <v>400</v>
      </c>
      <c r="C22" s="305" t="s">
        <v>401</v>
      </c>
      <c r="D22" s="302"/>
      <c r="E22" s="309">
        <v>22</v>
      </c>
      <c r="F22" s="303" t="s">
        <v>382</v>
      </c>
      <c r="G22" s="309" t="s">
        <v>380</v>
      </c>
      <c r="H22" s="790" t="s">
        <v>402</v>
      </c>
      <c r="I22" s="309">
        <v>1503717</v>
      </c>
      <c r="J22" s="87" t="s">
        <v>67</v>
      </c>
      <c r="K22" s="543">
        <v>4</v>
      </c>
      <c r="L22" s="306"/>
      <c r="M22" s="307">
        <v>500</v>
      </c>
      <c r="N22" s="307">
        <v>600</v>
      </c>
      <c r="O22" s="308">
        <f t="shared" si="0"/>
        <v>1100</v>
      </c>
    </row>
    <row r="23" spans="1:15" ht="29.25">
      <c r="A23" s="593" t="s">
        <v>27</v>
      </c>
      <c r="B23" s="310" t="s">
        <v>406</v>
      </c>
      <c r="C23" s="305" t="s">
        <v>407</v>
      </c>
      <c r="D23" s="302"/>
      <c r="E23" s="309">
        <v>2</v>
      </c>
      <c r="F23" s="303" t="s">
        <v>382</v>
      </c>
      <c r="G23" s="309" t="s">
        <v>380</v>
      </c>
      <c r="H23" s="790" t="s">
        <v>408</v>
      </c>
      <c r="I23" s="309">
        <v>70851683</v>
      </c>
      <c r="J23" s="87" t="s">
        <v>67</v>
      </c>
      <c r="K23" s="543">
        <v>6.6</v>
      </c>
      <c r="L23" s="326"/>
      <c r="M23" s="331">
        <f>6*12</f>
        <v>72</v>
      </c>
      <c r="N23" s="331">
        <f>8*12</f>
        <v>96</v>
      </c>
      <c r="O23" s="308">
        <f t="shared" si="0"/>
        <v>168</v>
      </c>
    </row>
    <row r="24" spans="1:15" ht="29.25">
      <c r="A24" s="593" t="s">
        <v>27</v>
      </c>
      <c r="B24" s="310" t="s">
        <v>409</v>
      </c>
      <c r="C24" s="305" t="s">
        <v>410</v>
      </c>
      <c r="D24" s="302"/>
      <c r="E24" s="309">
        <v>39</v>
      </c>
      <c r="F24" s="303" t="s">
        <v>382</v>
      </c>
      <c r="G24" s="309" t="s">
        <v>380</v>
      </c>
      <c r="H24" s="790" t="s">
        <v>411</v>
      </c>
      <c r="I24" s="309">
        <v>1503842</v>
      </c>
      <c r="J24" s="87" t="s">
        <v>67</v>
      </c>
      <c r="K24" s="543">
        <v>4</v>
      </c>
      <c r="L24" s="326"/>
      <c r="M24" s="331">
        <f>19*12</f>
        <v>228</v>
      </c>
      <c r="N24" s="331">
        <f>33*12</f>
        <v>396</v>
      </c>
      <c r="O24" s="308">
        <f t="shared" si="0"/>
        <v>624</v>
      </c>
    </row>
    <row r="25" spans="1:15" ht="57.75">
      <c r="A25" s="593" t="s">
        <v>27</v>
      </c>
      <c r="B25" s="310" t="s">
        <v>412</v>
      </c>
      <c r="C25" s="305" t="s">
        <v>413</v>
      </c>
      <c r="D25" s="302"/>
      <c r="E25" s="309">
        <v>27</v>
      </c>
      <c r="F25" s="303" t="s">
        <v>382</v>
      </c>
      <c r="G25" s="309" t="s">
        <v>380</v>
      </c>
      <c r="H25" s="719" t="s">
        <v>414</v>
      </c>
      <c r="I25" s="309">
        <v>1483990</v>
      </c>
      <c r="J25" s="1192" t="s">
        <v>67</v>
      </c>
      <c r="K25" s="543">
        <v>3</v>
      </c>
      <c r="L25" s="326"/>
      <c r="M25" s="331">
        <f>91*10</f>
        <v>910</v>
      </c>
      <c r="N25" s="331">
        <f>345*10</f>
        <v>3450</v>
      </c>
      <c r="O25" s="308">
        <f t="shared" si="0"/>
        <v>4360</v>
      </c>
    </row>
    <row r="26" spans="1:15" ht="29.25">
      <c r="A26" s="623" t="s">
        <v>27</v>
      </c>
      <c r="B26" s="311" t="s">
        <v>415</v>
      </c>
      <c r="C26" s="312" t="s">
        <v>380</v>
      </c>
      <c r="D26" s="313" t="s">
        <v>416</v>
      </c>
      <c r="E26" s="314" t="s">
        <v>417</v>
      </c>
      <c r="F26" s="322" t="s">
        <v>382</v>
      </c>
      <c r="G26" s="321" t="s">
        <v>380</v>
      </c>
      <c r="H26" s="794" t="s">
        <v>418</v>
      </c>
      <c r="I26" s="321">
        <v>90467549</v>
      </c>
      <c r="J26" s="1192" t="s">
        <v>67</v>
      </c>
      <c r="K26" s="544">
        <v>7</v>
      </c>
      <c r="L26" s="326"/>
      <c r="M26" s="331">
        <f>117*12</f>
        <v>1404</v>
      </c>
      <c r="N26" s="331">
        <f>328*12</f>
        <v>3936</v>
      </c>
      <c r="O26" s="308">
        <f t="shared" si="0"/>
        <v>5340</v>
      </c>
    </row>
    <row r="27" spans="1:15" ht="29.25">
      <c r="A27" s="593" t="s">
        <v>27</v>
      </c>
      <c r="B27" s="3" t="s">
        <v>294</v>
      </c>
      <c r="C27" s="309" t="s">
        <v>380</v>
      </c>
      <c r="D27" s="302" t="s">
        <v>323</v>
      </c>
      <c r="E27" s="309"/>
      <c r="F27" s="303" t="s">
        <v>382</v>
      </c>
      <c r="G27" s="309" t="s">
        <v>380</v>
      </c>
      <c r="H27" s="1163" t="s">
        <v>780</v>
      </c>
      <c r="I27" s="431">
        <v>4143380</v>
      </c>
      <c r="J27" s="87" t="s">
        <v>67</v>
      </c>
      <c r="K27" s="860">
        <v>38</v>
      </c>
      <c r="L27" s="326"/>
      <c r="M27" s="331">
        <f>((1059.29-509.14)*30)*2</f>
        <v>33009</v>
      </c>
      <c r="N27" s="331">
        <f>((3130.46-1522.11)*30)*2</f>
        <v>96501.00000000001</v>
      </c>
      <c r="O27" s="308">
        <f t="shared" si="0"/>
        <v>129510.00000000001</v>
      </c>
    </row>
    <row r="28" spans="1:15" ht="29.25">
      <c r="A28" s="593" t="s">
        <v>27</v>
      </c>
      <c r="B28" s="3" t="s">
        <v>147</v>
      </c>
      <c r="C28" s="309" t="s">
        <v>380</v>
      </c>
      <c r="D28" s="302" t="s">
        <v>781</v>
      </c>
      <c r="E28" s="325">
        <v>2</v>
      </c>
      <c r="F28" s="303" t="s">
        <v>382</v>
      </c>
      <c r="G28" s="309" t="s">
        <v>380</v>
      </c>
      <c r="H28" s="719" t="s">
        <v>782</v>
      </c>
      <c r="I28" s="431">
        <v>90467556</v>
      </c>
      <c r="J28" s="87" t="s">
        <v>67</v>
      </c>
      <c r="K28" s="861">
        <v>8</v>
      </c>
      <c r="L28" s="326"/>
      <c r="M28" s="331">
        <f>346*12</f>
        <v>4152</v>
      </c>
      <c r="N28" s="331">
        <f>1100*12</f>
        <v>13200</v>
      </c>
      <c r="O28" s="308">
        <f t="shared" si="0"/>
        <v>17352</v>
      </c>
    </row>
    <row r="29" spans="1:15" ht="18">
      <c r="A29" s="593" t="s">
        <v>27</v>
      </c>
      <c r="B29" s="9" t="s">
        <v>866</v>
      </c>
      <c r="C29" s="321" t="s">
        <v>380</v>
      </c>
      <c r="D29" s="313"/>
      <c r="E29" s="309">
        <v>53534093</v>
      </c>
      <c r="F29" s="303" t="s">
        <v>382</v>
      </c>
      <c r="G29" s="309" t="s">
        <v>380</v>
      </c>
      <c r="H29" s="719" t="s">
        <v>865</v>
      </c>
      <c r="I29" s="325">
        <v>70951543</v>
      </c>
      <c r="J29" s="87" t="s">
        <v>67</v>
      </c>
      <c r="K29" s="860">
        <v>3</v>
      </c>
      <c r="L29" s="326"/>
      <c r="M29" s="331">
        <f>109*10</f>
        <v>1090</v>
      </c>
      <c r="N29" s="331">
        <f>252*10</f>
        <v>2520</v>
      </c>
      <c r="O29" s="308">
        <f t="shared" si="0"/>
        <v>3610</v>
      </c>
    </row>
    <row r="30" spans="1:15" ht="18">
      <c r="A30" s="593" t="s">
        <v>27</v>
      </c>
      <c r="B30" s="310"/>
      <c r="C30" s="309" t="s">
        <v>422</v>
      </c>
      <c r="D30" s="302"/>
      <c r="E30" s="309"/>
      <c r="F30" s="303" t="s">
        <v>382</v>
      </c>
      <c r="G30" s="309" t="s">
        <v>380</v>
      </c>
      <c r="H30" s="790" t="s">
        <v>423</v>
      </c>
      <c r="I30" s="309">
        <v>90342591</v>
      </c>
      <c r="J30" s="87" t="s">
        <v>67</v>
      </c>
      <c r="K30" s="860">
        <v>6.6</v>
      </c>
      <c r="L30" s="326"/>
      <c r="M30" s="331">
        <v>5</v>
      </c>
      <c r="N30" s="331">
        <v>10</v>
      </c>
      <c r="O30" s="308">
        <f t="shared" si="0"/>
        <v>15</v>
      </c>
    </row>
    <row r="31" spans="1:15" ht="18">
      <c r="A31" s="593" t="s">
        <v>27</v>
      </c>
      <c r="B31" s="311"/>
      <c r="C31" s="321" t="s">
        <v>422</v>
      </c>
      <c r="D31" s="313"/>
      <c r="E31" s="314" t="s">
        <v>424</v>
      </c>
      <c r="F31" s="322" t="s">
        <v>382</v>
      </c>
      <c r="G31" s="309" t="s">
        <v>380</v>
      </c>
      <c r="H31" s="790" t="s">
        <v>425</v>
      </c>
      <c r="I31" s="309">
        <v>83426552</v>
      </c>
      <c r="J31" s="87" t="s">
        <v>67</v>
      </c>
      <c r="K31" s="860">
        <v>3</v>
      </c>
      <c r="L31" s="326"/>
      <c r="M31" s="331">
        <v>5</v>
      </c>
      <c r="N31" s="331">
        <v>10</v>
      </c>
      <c r="O31" s="308">
        <f t="shared" si="0"/>
        <v>15</v>
      </c>
    </row>
    <row r="32" spans="1:15" ht="29.25">
      <c r="A32" s="593" t="s">
        <v>27</v>
      </c>
      <c r="B32" s="310" t="s">
        <v>443</v>
      </c>
      <c r="C32" s="309" t="s">
        <v>444</v>
      </c>
      <c r="D32" s="302"/>
      <c r="E32" s="309">
        <v>14</v>
      </c>
      <c r="F32" s="303" t="s">
        <v>382</v>
      </c>
      <c r="G32" s="309" t="s">
        <v>380</v>
      </c>
      <c r="H32" s="719" t="s">
        <v>1097</v>
      </c>
      <c r="I32" s="325">
        <v>70846753</v>
      </c>
      <c r="J32" s="87" t="s">
        <v>67</v>
      </c>
      <c r="K32" s="860">
        <v>5</v>
      </c>
      <c r="L32" s="326"/>
      <c r="M32" s="331">
        <f>9*12</f>
        <v>108</v>
      </c>
      <c r="N32" s="331">
        <f>16*12</f>
        <v>192</v>
      </c>
      <c r="O32" s="308">
        <f t="shared" si="0"/>
        <v>300</v>
      </c>
    </row>
    <row r="33" spans="1:15" ht="43.5">
      <c r="A33" s="593" t="s">
        <v>27</v>
      </c>
      <c r="B33" s="311" t="s">
        <v>445</v>
      </c>
      <c r="C33" s="321" t="s">
        <v>446</v>
      </c>
      <c r="D33" s="313"/>
      <c r="E33" s="309"/>
      <c r="F33" s="303" t="s">
        <v>382</v>
      </c>
      <c r="G33" s="309" t="s">
        <v>380</v>
      </c>
      <c r="H33" s="719" t="s">
        <v>447</v>
      </c>
      <c r="I33" s="309">
        <v>4099755</v>
      </c>
      <c r="J33" s="87" t="s">
        <v>67</v>
      </c>
      <c r="K33" s="860">
        <v>32</v>
      </c>
      <c r="L33" s="326"/>
      <c r="M33" s="331">
        <f>((1357.94-500.29)*15)*2</f>
        <v>25729.500000000004</v>
      </c>
      <c r="N33" s="331">
        <f>((3190.11-898.71)*15)*2</f>
        <v>68742</v>
      </c>
      <c r="O33" s="308">
        <f>SUM(M33:N33)</f>
        <v>94471.5</v>
      </c>
    </row>
    <row r="34" spans="1:15" ht="43.5">
      <c r="A34" s="593" t="s">
        <v>27</v>
      </c>
      <c r="B34" s="311" t="s">
        <v>448</v>
      </c>
      <c r="C34" s="321" t="s">
        <v>380</v>
      </c>
      <c r="D34" s="313"/>
      <c r="E34" s="309"/>
      <c r="F34" s="303" t="s">
        <v>382</v>
      </c>
      <c r="G34" s="309" t="s">
        <v>380</v>
      </c>
      <c r="H34" s="790" t="s">
        <v>449</v>
      </c>
      <c r="I34" s="309">
        <v>4143379</v>
      </c>
      <c r="J34" s="392" t="s">
        <v>72</v>
      </c>
      <c r="K34" s="860">
        <v>40</v>
      </c>
      <c r="L34" s="326"/>
      <c r="M34" s="331">
        <f>((1175.63-559.21)*40)*2</f>
        <v>49313.600000000006</v>
      </c>
      <c r="N34" s="331">
        <f>((2616.64-1211.88)*40)*2</f>
        <v>112380.79999999999</v>
      </c>
      <c r="O34" s="308">
        <f>SUM(M34:N34)</f>
        <v>161694.4</v>
      </c>
    </row>
    <row r="35" spans="1:15" ht="29.25">
      <c r="A35" s="593" t="s">
        <v>27</v>
      </c>
      <c r="B35" s="3" t="s">
        <v>147</v>
      </c>
      <c r="C35" s="4" t="s">
        <v>380</v>
      </c>
      <c r="D35" s="4" t="s">
        <v>298</v>
      </c>
      <c r="E35" s="4" t="s">
        <v>1335</v>
      </c>
      <c r="F35" s="4" t="s">
        <v>382</v>
      </c>
      <c r="G35" s="4" t="s">
        <v>380</v>
      </c>
      <c r="H35" s="790" t="s">
        <v>1713</v>
      </c>
      <c r="I35" s="4">
        <v>90025381</v>
      </c>
      <c r="J35" s="31" t="s">
        <v>67</v>
      </c>
      <c r="K35" s="860">
        <v>4</v>
      </c>
      <c r="L35" s="35"/>
      <c r="M35" s="34">
        <f>9*12</f>
        <v>108</v>
      </c>
      <c r="N35" s="34">
        <f>27*12</f>
        <v>324</v>
      </c>
      <c r="O35" s="34">
        <f>SUM(M35:N35)</f>
        <v>432</v>
      </c>
    </row>
    <row r="36" spans="1:15" ht="18.75" thickBot="1">
      <c r="A36" s="593" t="s">
        <v>27</v>
      </c>
      <c r="B36" s="371" t="s">
        <v>1433</v>
      </c>
      <c r="C36" s="372" t="s">
        <v>404</v>
      </c>
      <c r="D36" s="372"/>
      <c r="E36" s="187"/>
      <c r="F36" s="187" t="s">
        <v>382</v>
      </c>
      <c r="G36" s="187" t="s">
        <v>380</v>
      </c>
      <c r="H36" s="790" t="s">
        <v>1714</v>
      </c>
      <c r="I36" s="187">
        <v>1403454</v>
      </c>
      <c r="J36" s="552" t="s">
        <v>747</v>
      </c>
      <c r="K36" s="857">
        <v>2</v>
      </c>
      <c r="L36" s="448">
        <v>10</v>
      </c>
      <c r="M36" s="276"/>
      <c r="N36" s="276"/>
      <c r="O36" s="448">
        <f>L36</f>
        <v>10</v>
      </c>
    </row>
    <row r="37" spans="1:15" ht="15">
      <c r="A37" s="1203"/>
      <c r="B37" s="1451" t="s">
        <v>23</v>
      </c>
      <c r="C37" s="315" t="s">
        <v>450</v>
      </c>
      <c r="D37" s="250"/>
      <c r="E37" s="253"/>
      <c r="G37" s="721" t="s">
        <v>1719</v>
      </c>
      <c r="H37" s="1368" t="s">
        <v>419</v>
      </c>
      <c r="K37" s="546"/>
      <c r="N37" s="307" t="s">
        <v>24</v>
      </c>
      <c r="O37" s="622">
        <f>SUM(O18:O36)</f>
        <v>441077.9</v>
      </c>
    </row>
    <row r="38" spans="1:13" ht="15">
      <c r="A38" s="1203"/>
      <c r="B38" s="624"/>
      <c r="C38" s="318" t="s">
        <v>420</v>
      </c>
      <c r="D38" s="254"/>
      <c r="E38" s="253"/>
      <c r="F38" s="316"/>
      <c r="G38" s="1166"/>
      <c r="H38" s="1350" t="s">
        <v>420</v>
      </c>
      <c r="I38" s="316"/>
      <c r="J38" s="316"/>
      <c r="K38" s="547"/>
      <c r="L38" s="317"/>
      <c r="M38" s="317"/>
    </row>
    <row r="39" spans="1:15" ht="15.75" thickBot="1">
      <c r="A39" s="1203"/>
      <c r="B39" s="624"/>
      <c r="C39" s="318" t="s">
        <v>421</v>
      </c>
      <c r="D39" s="254"/>
      <c r="E39" s="253"/>
      <c r="F39" s="316"/>
      <c r="G39" s="1167"/>
      <c r="H39" s="1354" t="s">
        <v>421</v>
      </c>
      <c r="I39" s="316"/>
      <c r="J39" s="316"/>
      <c r="K39" s="547"/>
      <c r="L39" s="317"/>
      <c r="M39" s="317"/>
      <c r="N39" s="317"/>
      <c r="O39" s="317"/>
    </row>
    <row r="40" spans="1:15" ht="15">
      <c r="A40" s="1203"/>
      <c r="B40" s="624" t="s">
        <v>169</v>
      </c>
      <c r="C40" s="1351">
        <v>8222147162</v>
      </c>
      <c r="D40" s="254"/>
      <c r="E40" s="253"/>
      <c r="F40" s="316"/>
      <c r="G40" s="316"/>
      <c r="H40" s="316"/>
      <c r="I40" s="316"/>
      <c r="J40" s="316"/>
      <c r="K40" s="547"/>
      <c r="L40" s="317"/>
      <c r="M40" s="317"/>
      <c r="N40" s="317"/>
      <c r="O40" s="317"/>
    </row>
    <row r="41" spans="1:15" ht="15.75" thickBot="1">
      <c r="A41" s="295"/>
      <c r="B41" s="447" t="s">
        <v>1112</v>
      </c>
      <c r="C41" s="17" t="s">
        <v>1848</v>
      </c>
      <c r="D41" s="18"/>
      <c r="E41" s="316"/>
      <c r="F41" s="316"/>
      <c r="G41" s="316"/>
      <c r="H41" s="316"/>
      <c r="I41" s="316"/>
      <c r="J41" s="316"/>
      <c r="K41" s="547"/>
      <c r="L41" s="317"/>
      <c r="M41" s="317"/>
      <c r="N41" s="317"/>
      <c r="O41" s="317"/>
    </row>
    <row r="42" spans="1:15" ht="15">
      <c r="A42" s="786"/>
      <c r="B42" s="540"/>
      <c r="C42" s="318"/>
      <c r="D42" s="253"/>
      <c r="E42" s="316"/>
      <c r="F42" s="316"/>
      <c r="G42" s="316"/>
      <c r="H42" s="316"/>
      <c r="I42" s="316"/>
      <c r="J42" s="316"/>
      <c r="K42" s="547"/>
      <c r="L42" s="317"/>
      <c r="M42" s="317"/>
      <c r="N42" s="317"/>
      <c r="O42" s="317"/>
    </row>
    <row r="43" spans="1:15" ht="15.75" thickBot="1">
      <c r="A43" s="786"/>
      <c r="B43" s="540"/>
      <c r="C43" s="318"/>
      <c r="D43" s="253"/>
      <c r="E43" s="316"/>
      <c r="F43" s="316"/>
      <c r="G43" s="316"/>
      <c r="H43" s="316"/>
      <c r="I43" s="316"/>
      <c r="J43" s="316"/>
      <c r="K43" s="547"/>
      <c r="L43" s="317"/>
      <c r="M43" s="317"/>
      <c r="N43" s="317"/>
      <c r="O43" s="317"/>
    </row>
    <row r="44" spans="1:15" ht="39.75" customHeight="1">
      <c r="A44" s="1588" t="s">
        <v>7</v>
      </c>
      <c r="B44" s="1591" t="s">
        <v>664</v>
      </c>
      <c r="C44" s="1594" t="s">
        <v>9</v>
      </c>
      <c r="D44" s="1594" t="s">
        <v>10</v>
      </c>
      <c r="E44" s="1574" t="s">
        <v>665</v>
      </c>
      <c r="F44" s="1574" t="s">
        <v>12</v>
      </c>
      <c r="G44" s="1594" t="s">
        <v>13</v>
      </c>
      <c r="H44" s="1574" t="s">
        <v>14</v>
      </c>
      <c r="I44" s="1574" t="s">
        <v>282</v>
      </c>
      <c r="J44" s="1574" t="s">
        <v>60</v>
      </c>
      <c r="K44" s="1583" t="s">
        <v>666</v>
      </c>
      <c r="L44" s="1640" t="s">
        <v>667</v>
      </c>
      <c r="M44" s="1634"/>
      <c r="N44" s="1634"/>
      <c r="O44" s="1641"/>
    </row>
    <row r="45" spans="1:15" ht="39.75" customHeight="1">
      <c r="A45" s="1589"/>
      <c r="B45" s="1592"/>
      <c r="C45" s="1595"/>
      <c r="D45" s="1595"/>
      <c r="E45" s="1575"/>
      <c r="F45" s="1575"/>
      <c r="G45" s="1595"/>
      <c r="H45" s="1575"/>
      <c r="I45" s="1613"/>
      <c r="J45" s="1575"/>
      <c r="K45" s="1584"/>
      <c r="L45" s="1597" t="s">
        <v>668</v>
      </c>
      <c r="M45" s="1568"/>
      <c r="N45" s="1568"/>
      <c r="O45" s="1598"/>
    </row>
    <row r="46" spans="1:15" ht="39.75" customHeight="1" thickBot="1">
      <c r="A46" s="1590"/>
      <c r="B46" s="1593"/>
      <c r="C46" s="1596"/>
      <c r="D46" s="1596"/>
      <c r="E46" s="1576"/>
      <c r="F46" s="1576"/>
      <c r="G46" s="1596"/>
      <c r="H46" s="1576"/>
      <c r="I46" s="1614"/>
      <c r="J46" s="1576"/>
      <c r="K46" s="1585"/>
      <c r="L46" s="589" t="s">
        <v>669</v>
      </c>
      <c r="M46" s="787" t="s">
        <v>670</v>
      </c>
      <c r="N46" s="787" t="s">
        <v>671</v>
      </c>
      <c r="O46" s="788" t="s">
        <v>17</v>
      </c>
    </row>
    <row r="47" spans="1:15" ht="44.25" thickBot="1">
      <c r="A47" s="593" t="s">
        <v>27</v>
      </c>
      <c r="B47" s="1448" t="s">
        <v>426</v>
      </c>
      <c r="C47" s="1449" t="s">
        <v>427</v>
      </c>
      <c r="D47" s="1450" t="s">
        <v>252</v>
      </c>
      <c r="E47" s="1449">
        <v>11</v>
      </c>
      <c r="F47" s="1207" t="s">
        <v>382</v>
      </c>
      <c r="G47" s="1211" t="s">
        <v>380</v>
      </c>
      <c r="H47" s="794" t="s">
        <v>428</v>
      </c>
      <c r="I47" s="321">
        <v>70507471</v>
      </c>
      <c r="J47" s="87" t="s">
        <v>67</v>
      </c>
      <c r="K47" s="543">
        <v>6</v>
      </c>
      <c r="L47" s="306"/>
      <c r="M47" s="331">
        <v>7000</v>
      </c>
      <c r="N47" s="331">
        <v>9000</v>
      </c>
      <c r="O47" s="308">
        <f>M47+N47</f>
        <v>16000</v>
      </c>
    </row>
    <row r="48" spans="1:15" ht="15">
      <c r="A48" s="1203"/>
      <c r="B48" s="1451" t="s">
        <v>23</v>
      </c>
      <c r="C48" s="315" t="s">
        <v>450</v>
      </c>
      <c r="D48" s="250"/>
      <c r="E48" s="253"/>
      <c r="F48" s="374"/>
      <c r="G48" s="721" t="s">
        <v>1719</v>
      </c>
      <c r="H48" s="315" t="s">
        <v>426</v>
      </c>
      <c r="I48" s="437"/>
      <c r="J48" s="316"/>
      <c r="K48" s="547"/>
      <c r="L48" s="317"/>
      <c r="M48" s="317"/>
      <c r="N48" s="307" t="s">
        <v>24</v>
      </c>
      <c r="O48" s="622">
        <f>SUM(O47)</f>
        <v>16000</v>
      </c>
    </row>
    <row r="49" spans="1:15" ht="15">
      <c r="A49" s="1203"/>
      <c r="B49" s="624"/>
      <c r="C49" s="318" t="s">
        <v>420</v>
      </c>
      <c r="D49" s="254"/>
      <c r="E49" s="253"/>
      <c r="F49" s="374"/>
      <c r="G49" s="1166"/>
      <c r="H49" s="318" t="s">
        <v>1321</v>
      </c>
      <c r="I49" s="438"/>
      <c r="J49" s="316"/>
      <c r="K49" s="547"/>
      <c r="L49" s="317"/>
      <c r="M49" s="317"/>
      <c r="N49" s="317"/>
      <c r="O49" s="317"/>
    </row>
    <row r="50" spans="1:15" ht="15.75" thickBot="1">
      <c r="A50" s="1203"/>
      <c r="B50" s="624"/>
      <c r="C50" s="318" t="s">
        <v>421</v>
      </c>
      <c r="D50" s="254"/>
      <c r="E50" s="253"/>
      <c r="F50" s="374"/>
      <c r="G50" s="1167"/>
      <c r="H50" s="319" t="s">
        <v>421</v>
      </c>
      <c r="I50" s="440"/>
      <c r="J50" s="316"/>
      <c r="K50" s="547"/>
      <c r="L50" s="317"/>
      <c r="M50" s="317"/>
      <c r="N50" s="317"/>
      <c r="O50" s="317"/>
    </row>
    <row r="51" spans="1:15" ht="15">
      <c r="A51" s="1203"/>
      <c r="B51" s="624" t="s">
        <v>169</v>
      </c>
      <c r="C51" s="1351">
        <v>8222147162</v>
      </c>
      <c r="D51" s="254"/>
      <c r="E51" s="253"/>
      <c r="F51" s="374"/>
      <c r="G51" s="374"/>
      <c r="H51" s="374"/>
      <c r="I51" s="316"/>
      <c r="J51" s="316"/>
      <c r="K51" s="547"/>
      <c r="L51" s="317"/>
      <c r="M51" s="317"/>
      <c r="N51" s="317"/>
      <c r="O51" s="317"/>
    </row>
    <row r="52" spans="1:15" ht="15.75" thickBot="1">
      <c r="A52" s="786"/>
      <c r="B52" s="447" t="s">
        <v>1112</v>
      </c>
      <c r="C52" s="17" t="s">
        <v>1848</v>
      </c>
      <c r="D52" s="18"/>
      <c r="E52" s="374"/>
      <c r="F52" s="374"/>
      <c r="G52" s="374"/>
      <c r="H52" s="374"/>
      <c r="I52" s="316"/>
      <c r="J52" s="316"/>
      <c r="K52" s="547"/>
      <c r="L52" s="317"/>
      <c r="M52" s="317"/>
      <c r="N52" s="317"/>
      <c r="O52" s="317"/>
    </row>
    <row r="53" spans="1:15" ht="15">
      <c r="A53" s="786"/>
      <c r="B53" s="540"/>
      <c r="C53" s="318"/>
      <c r="D53" s="253"/>
      <c r="E53" s="316"/>
      <c r="F53" s="316"/>
      <c r="G53" s="316"/>
      <c r="H53" s="316"/>
      <c r="I53" s="316"/>
      <c r="J53" s="316"/>
      <c r="K53" s="547"/>
      <c r="L53" s="317"/>
      <c r="M53" s="317"/>
      <c r="N53" s="317"/>
      <c r="O53" s="317"/>
    </row>
    <row r="54" spans="1:15" ht="15.75" thickBot="1">
      <c r="A54" s="786"/>
      <c r="B54" s="540"/>
      <c r="C54" s="318"/>
      <c r="D54" s="253"/>
      <c r="E54" s="316"/>
      <c r="F54" s="316"/>
      <c r="G54" s="316"/>
      <c r="H54" s="316"/>
      <c r="I54" s="316"/>
      <c r="J54" s="316"/>
      <c r="K54" s="547"/>
      <c r="L54" s="317"/>
      <c r="M54" s="317"/>
      <c r="N54" s="317"/>
      <c r="O54" s="317"/>
    </row>
    <row r="55" spans="1:15" ht="46.5" customHeight="1">
      <c r="A55" s="1588" t="s">
        <v>7</v>
      </c>
      <c r="B55" s="1591" t="s">
        <v>664</v>
      </c>
      <c r="C55" s="1594" t="s">
        <v>9</v>
      </c>
      <c r="D55" s="1594" t="s">
        <v>10</v>
      </c>
      <c r="E55" s="1574" t="s">
        <v>665</v>
      </c>
      <c r="F55" s="1574" t="s">
        <v>12</v>
      </c>
      <c r="G55" s="1594" t="s">
        <v>13</v>
      </c>
      <c r="H55" s="1574" t="s">
        <v>14</v>
      </c>
      <c r="I55" s="1574" t="s">
        <v>282</v>
      </c>
      <c r="J55" s="1574" t="s">
        <v>60</v>
      </c>
      <c r="K55" s="1583" t="s">
        <v>666</v>
      </c>
      <c r="L55" s="1640" t="s">
        <v>667</v>
      </c>
      <c r="M55" s="1634"/>
      <c r="N55" s="1634"/>
      <c r="O55" s="1641"/>
    </row>
    <row r="56" spans="1:15" ht="46.5" customHeight="1">
      <c r="A56" s="1589"/>
      <c r="B56" s="1592"/>
      <c r="C56" s="1595"/>
      <c r="D56" s="1595"/>
      <c r="E56" s="1575"/>
      <c r="F56" s="1575"/>
      <c r="G56" s="1595"/>
      <c r="H56" s="1575"/>
      <c r="I56" s="1613"/>
      <c r="J56" s="1575"/>
      <c r="K56" s="1584"/>
      <c r="L56" s="1597" t="s">
        <v>668</v>
      </c>
      <c r="M56" s="1568"/>
      <c r="N56" s="1568"/>
      <c r="O56" s="1598"/>
    </row>
    <row r="57" spans="1:15" ht="30" customHeight="1" thickBot="1">
      <c r="A57" s="1590"/>
      <c r="B57" s="1593"/>
      <c r="C57" s="1596"/>
      <c r="D57" s="1596"/>
      <c r="E57" s="1576"/>
      <c r="F57" s="1576"/>
      <c r="G57" s="1596"/>
      <c r="H57" s="1576"/>
      <c r="I57" s="1614"/>
      <c r="J57" s="1576"/>
      <c r="K57" s="1585"/>
      <c r="L57" s="589" t="s">
        <v>669</v>
      </c>
      <c r="M57" s="787" t="s">
        <v>670</v>
      </c>
      <c r="N57" s="787" t="s">
        <v>671</v>
      </c>
      <c r="O57" s="788" t="s">
        <v>17</v>
      </c>
    </row>
    <row r="58" spans="1:15" ht="44.25" thickBot="1">
      <c r="A58" s="593" t="s">
        <v>27</v>
      </c>
      <c r="B58" s="1448" t="s">
        <v>439</v>
      </c>
      <c r="C58" s="1449" t="s">
        <v>380</v>
      </c>
      <c r="D58" s="1450" t="s">
        <v>430</v>
      </c>
      <c r="E58" s="1449">
        <v>16</v>
      </c>
      <c r="F58" s="1207" t="s">
        <v>382</v>
      </c>
      <c r="G58" s="1211" t="s">
        <v>380</v>
      </c>
      <c r="H58" s="1455" t="s">
        <v>440</v>
      </c>
      <c r="I58" s="1211">
        <v>70507460</v>
      </c>
      <c r="J58" s="87" t="s">
        <v>67</v>
      </c>
      <c r="K58" s="545">
        <v>24</v>
      </c>
      <c r="L58" s="306"/>
      <c r="M58" s="331">
        <v>20000</v>
      </c>
      <c r="N58" s="331">
        <v>35000</v>
      </c>
      <c r="O58" s="308">
        <f>M58+N58</f>
        <v>55000</v>
      </c>
    </row>
    <row r="59" spans="1:15" ht="15">
      <c r="A59" s="1203"/>
      <c r="B59" s="1451" t="s">
        <v>23</v>
      </c>
      <c r="C59" s="315" t="s">
        <v>450</v>
      </c>
      <c r="D59" s="250"/>
      <c r="E59" s="253"/>
      <c r="F59" s="374"/>
      <c r="G59" s="721" t="s">
        <v>1719</v>
      </c>
      <c r="H59" s="315" t="s">
        <v>1322</v>
      </c>
      <c r="I59" s="437"/>
      <c r="J59" s="316"/>
      <c r="K59" s="547"/>
      <c r="L59" s="317"/>
      <c r="M59" s="317"/>
      <c r="N59" s="307" t="s">
        <v>24</v>
      </c>
      <c r="O59" s="622">
        <f>O58</f>
        <v>55000</v>
      </c>
    </row>
    <row r="60" spans="1:15" ht="15">
      <c r="A60" s="1203"/>
      <c r="B60" s="624"/>
      <c r="C60" s="318" t="s">
        <v>420</v>
      </c>
      <c r="D60" s="254"/>
      <c r="E60" s="253"/>
      <c r="F60" s="374"/>
      <c r="G60" s="1166"/>
      <c r="H60" s="318" t="s">
        <v>1323</v>
      </c>
      <c r="I60" s="438"/>
      <c r="J60" s="316"/>
      <c r="K60" s="547"/>
      <c r="L60" s="317"/>
      <c r="M60" s="317"/>
      <c r="N60" s="317"/>
      <c r="O60" s="317"/>
    </row>
    <row r="61" spans="1:15" ht="15.75" thickBot="1">
      <c r="A61" s="1203"/>
      <c r="B61" s="624"/>
      <c r="C61" s="318" t="s">
        <v>421</v>
      </c>
      <c r="D61" s="254"/>
      <c r="E61" s="253"/>
      <c r="F61" s="374"/>
      <c r="G61" s="1167"/>
      <c r="H61" s="319" t="s">
        <v>421</v>
      </c>
      <c r="I61" s="440"/>
      <c r="J61" s="316"/>
      <c r="K61" s="547"/>
      <c r="L61" s="317"/>
      <c r="M61" s="317"/>
      <c r="N61" s="317"/>
      <c r="O61" s="317"/>
    </row>
    <row r="62" spans="1:15" ht="15">
      <c r="A62" s="1203"/>
      <c r="B62" s="624" t="s">
        <v>169</v>
      </c>
      <c r="C62" s="1351">
        <v>8222147162</v>
      </c>
      <c r="D62" s="254"/>
      <c r="E62" s="253"/>
      <c r="F62" s="374"/>
      <c r="G62" s="374"/>
      <c r="H62" s="374"/>
      <c r="I62" s="374"/>
      <c r="J62" s="316"/>
      <c r="K62" s="547"/>
      <c r="L62" s="317"/>
      <c r="M62" s="317"/>
      <c r="N62" s="317"/>
      <c r="O62" s="317"/>
    </row>
    <row r="63" spans="1:15" ht="15.75" thickBot="1">
      <c r="A63" s="786"/>
      <c r="B63" s="447" t="s">
        <v>1112</v>
      </c>
      <c r="C63" s="17" t="s">
        <v>1848</v>
      </c>
      <c r="D63" s="18"/>
      <c r="E63" s="374"/>
      <c r="F63" s="374"/>
      <c r="G63" s="374"/>
      <c r="H63" s="374"/>
      <c r="I63" s="374"/>
      <c r="J63" s="316"/>
      <c r="K63" s="547"/>
      <c r="L63" s="317"/>
      <c r="M63" s="317"/>
      <c r="N63" s="317"/>
      <c r="O63" s="317"/>
    </row>
    <row r="64" spans="1:15" ht="15">
      <c r="A64" s="786"/>
      <c r="B64" s="540"/>
      <c r="C64" s="318"/>
      <c r="D64" s="253"/>
      <c r="E64" s="316"/>
      <c r="F64" s="316"/>
      <c r="G64" s="316"/>
      <c r="H64" s="316"/>
      <c r="I64" s="316"/>
      <c r="J64" s="316"/>
      <c r="K64" s="547"/>
      <c r="L64" s="317"/>
      <c r="M64" s="317"/>
      <c r="N64" s="317"/>
      <c r="O64" s="317"/>
    </row>
    <row r="65" spans="1:15" ht="15.75" thickBot="1">
      <c r="A65" s="786"/>
      <c r="B65" s="540"/>
      <c r="C65" s="318"/>
      <c r="D65" s="253"/>
      <c r="E65" s="316"/>
      <c r="F65" s="316"/>
      <c r="G65" s="316"/>
      <c r="H65" s="316"/>
      <c r="I65" s="316"/>
      <c r="J65" s="316"/>
      <c r="K65" s="547"/>
      <c r="L65" s="317"/>
      <c r="M65" s="317"/>
      <c r="N65" s="317"/>
      <c r="O65" s="317"/>
    </row>
    <row r="66" spans="1:15" ht="41.25" customHeight="1">
      <c r="A66" s="1588" t="s">
        <v>7</v>
      </c>
      <c r="B66" s="1591" t="s">
        <v>664</v>
      </c>
      <c r="C66" s="1594" t="s">
        <v>9</v>
      </c>
      <c r="D66" s="1594" t="s">
        <v>10</v>
      </c>
      <c r="E66" s="1574" t="s">
        <v>665</v>
      </c>
      <c r="F66" s="1574" t="s">
        <v>12</v>
      </c>
      <c r="G66" s="1594" t="s">
        <v>13</v>
      </c>
      <c r="H66" s="1574" t="s">
        <v>14</v>
      </c>
      <c r="I66" s="1574" t="s">
        <v>282</v>
      </c>
      <c r="J66" s="1574" t="s">
        <v>60</v>
      </c>
      <c r="K66" s="1583" t="s">
        <v>666</v>
      </c>
      <c r="L66" s="1640" t="s">
        <v>667</v>
      </c>
      <c r="M66" s="1634"/>
      <c r="N66" s="1634"/>
      <c r="O66" s="1641"/>
    </row>
    <row r="67" spans="1:15" ht="41.25" customHeight="1">
      <c r="A67" s="1589"/>
      <c r="B67" s="1592"/>
      <c r="C67" s="1595"/>
      <c r="D67" s="1595"/>
      <c r="E67" s="1575"/>
      <c r="F67" s="1575"/>
      <c r="G67" s="1595"/>
      <c r="H67" s="1575"/>
      <c r="I67" s="1613"/>
      <c r="J67" s="1575"/>
      <c r="K67" s="1584"/>
      <c r="L67" s="1597" t="s">
        <v>668</v>
      </c>
      <c r="M67" s="1568"/>
      <c r="N67" s="1568"/>
      <c r="O67" s="1598"/>
    </row>
    <row r="68" spans="1:15" ht="41.25" customHeight="1" thickBot="1">
      <c r="A68" s="1590"/>
      <c r="B68" s="1593"/>
      <c r="C68" s="1596"/>
      <c r="D68" s="1596"/>
      <c r="E68" s="1576"/>
      <c r="F68" s="1576"/>
      <c r="G68" s="1596"/>
      <c r="H68" s="1576"/>
      <c r="I68" s="1614"/>
      <c r="J68" s="1576"/>
      <c r="K68" s="1585"/>
      <c r="L68" s="589" t="s">
        <v>669</v>
      </c>
      <c r="M68" s="787" t="s">
        <v>670</v>
      </c>
      <c r="N68" s="787" t="s">
        <v>671</v>
      </c>
      <c r="O68" s="788" t="s">
        <v>17</v>
      </c>
    </row>
    <row r="69" spans="1:15" ht="57.75">
      <c r="A69" s="593" t="s">
        <v>27</v>
      </c>
      <c r="B69" s="310" t="s">
        <v>441</v>
      </c>
      <c r="C69" s="309" t="s">
        <v>380</v>
      </c>
      <c r="D69" s="302" t="s">
        <v>430</v>
      </c>
      <c r="E69" s="321">
        <v>15</v>
      </c>
      <c r="F69" s="303" t="s">
        <v>382</v>
      </c>
      <c r="G69" s="309" t="s">
        <v>380</v>
      </c>
      <c r="H69" s="790" t="s">
        <v>442</v>
      </c>
      <c r="I69" s="309">
        <v>90342629</v>
      </c>
      <c r="J69" s="395" t="s">
        <v>29</v>
      </c>
      <c r="K69" s="545">
        <v>10</v>
      </c>
      <c r="L69" s="306"/>
      <c r="M69" s="33">
        <f>247*11</f>
        <v>2717</v>
      </c>
      <c r="N69" s="331">
        <f>372*11</f>
        <v>4092</v>
      </c>
      <c r="O69" s="308">
        <f>M69+N69</f>
        <v>6809</v>
      </c>
    </row>
    <row r="70" spans="1:15" ht="58.5" thickBot="1">
      <c r="A70" s="593" t="s">
        <v>27</v>
      </c>
      <c r="B70" s="310" t="s">
        <v>441</v>
      </c>
      <c r="C70" s="309" t="s">
        <v>380</v>
      </c>
      <c r="D70" s="302" t="s">
        <v>430</v>
      </c>
      <c r="E70" s="309">
        <v>15</v>
      </c>
      <c r="F70" s="303" t="s">
        <v>382</v>
      </c>
      <c r="G70" s="321" t="s">
        <v>380</v>
      </c>
      <c r="H70" s="797" t="s">
        <v>864</v>
      </c>
      <c r="I70" s="1456">
        <v>90342580</v>
      </c>
      <c r="J70" s="87" t="s">
        <v>67</v>
      </c>
      <c r="K70" s="543">
        <v>25</v>
      </c>
      <c r="L70" s="306"/>
      <c r="M70" s="331">
        <v>7000</v>
      </c>
      <c r="N70" s="331">
        <v>9000</v>
      </c>
      <c r="O70" s="308">
        <f>M70+N70</f>
        <v>16000</v>
      </c>
    </row>
    <row r="71" spans="1:15" ht="15">
      <c r="A71" s="1203"/>
      <c r="B71" s="1451" t="s">
        <v>23</v>
      </c>
      <c r="C71" s="315" t="s">
        <v>450</v>
      </c>
      <c r="D71" s="250"/>
      <c r="E71" s="253"/>
      <c r="F71" s="374"/>
      <c r="G71" s="721" t="s">
        <v>1719</v>
      </c>
      <c r="H71" s="315" t="s">
        <v>1324</v>
      </c>
      <c r="I71" s="1457"/>
      <c r="J71" s="461"/>
      <c r="K71" s="464"/>
      <c r="L71" s="465"/>
      <c r="M71" s="465"/>
      <c r="N71" s="307" t="s">
        <v>24</v>
      </c>
      <c r="O71" s="702">
        <f>SUM(O69:O70)</f>
        <v>22809</v>
      </c>
    </row>
    <row r="72" spans="1:15" ht="15">
      <c r="A72" s="1203"/>
      <c r="B72" s="624"/>
      <c r="C72" s="318" t="s">
        <v>420</v>
      </c>
      <c r="D72" s="254"/>
      <c r="E72" s="253"/>
      <c r="F72" s="374"/>
      <c r="G72" s="1458"/>
      <c r="H72" s="318" t="s">
        <v>1325</v>
      </c>
      <c r="I72" s="1459"/>
      <c r="J72" s="461"/>
      <c r="K72" s="464"/>
      <c r="L72" s="465"/>
      <c r="M72" s="465"/>
      <c r="N72" s="465"/>
      <c r="O72" s="465"/>
    </row>
    <row r="73" spans="1:15" ht="15.75" thickBot="1">
      <c r="A73" s="1203"/>
      <c r="B73" s="624"/>
      <c r="C73" s="318" t="s">
        <v>421</v>
      </c>
      <c r="D73" s="254"/>
      <c r="E73" s="253"/>
      <c r="F73" s="374"/>
      <c r="G73" s="1460"/>
      <c r="H73" s="319" t="s">
        <v>421</v>
      </c>
      <c r="I73" s="1461"/>
      <c r="J73" s="461"/>
      <c r="K73" s="464"/>
      <c r="L73" s="465"/>
      <c r="M73" s="465"/>
      <c r="N73" s="465"/>
      <c r="O73" s="465"/>
    </row>
    <row r="74" spans="1:15" ht="15">
      <c r="A74" s="1203"/>
      <c r="B74" s="624" t="s">
        <v>169</v>
      </c>
      <c r="C74" s="1351">
        <v>8222147162</v>
      </c>
      <c r="D74" s="254"/>
      <c r="E74" s="253"/>
      <c r="F74" s="374"/>
      <c r="G74" s="462"/>
      <c r="H74" s="461"/>
      <c r="I74" s="463"/>
      <c r="J74" s="461"/>
      <c r="K74" s="464"/>
      <c r="L74" s="465"/>
      <c r="M74" s="465"/>
      <c r="N74" s="465"/>
      <c r="O74" s="465"/>
    </row>
    <row r="75" spans="1:15" ht="15.75" thickBot="1">
      <c r="A75" s="461"/>
      <c r="B75" s="447" t="s">
        <v>1112</v>
      </c>
      <c r="C75" s="17" t="s">
        <v>1848</v>
      </c>
      <c r="D75" s="18"/>
      <c r="E75" s="374"/>
      <c r="F75" s="374"/>
      <c r="G75" s="462"/>
      <c r="H75" s="461"/>
      <c r="I75" s="463"/>
      <c r="J75" s="461"/>
      <c r="K75" s="464"/>
      <c r="L75" s="465"/>
      <c r="M75" s="465"/>
      <c r="N75" s="465"/>
      <c r="O75" s="465"/>
    </row>
    <row r="76" spans="1:15" ht="14.25">
      <c r="A76" s="461"/>
      <c r="B76" s="789"/>
      <c r="C76" s="462"/>
      <c r="D76" s="462"/>
      <c r="E76" s="461"/>
      <c r="F76" s="461"/>
      <c r="G76" s="462"/>
      <c r="H76" s="461"/>
      <c r="I76" s="463"/>
      <c r="J76" s="461"/>
      <c r="K76" s="464"/>
      <c r="L76" s="465"/>
      <c r="M76" s="465"/>
      <c r="N76" s="465"/>
      <c r="O76" s="465"/>
    </row>
    <row r="77" spans="1:15" ht="15" thickBot="1">
      <c r="A77" s="461"/>
      <c r="B77" s="789"/>
      <c r="C77" s="462"/>
      <c r="D77" s="462"/>
      <c r="E77" s="461"/>
      <c r="F77" s="461"/>
      <c r="G77" s="462"/>
      <c r="H77" s="461"/>
      <c r="I77" s="463"/>
      <c r="J77" s="461"/>
      <c r="K77" s="464"/>
      <c r="L77" s="465"/>
      <c r="M77" s="465"/>
      <c r="N77" s="465"/>
      <c r="O77" s="465"/>
    </row>
    <row r="78" spans="1:15" ht="38.25" customHeight="1">
      <c r="A78" s="1588" t="s">
        <v>7</v>
      </c>
      <c r="B78" s="1591" t="s">
        <v>664</v>
      </c>
      <c r="C78" s="1594" t="s">
        <v>9</v>
      </c>
      <c r="D78" s="1594" t="s">
        <v>10</v>
      </c>
      <c r="E78" s="1574" t="s">
        <v>665</v>
      </c>
      <c r="F78" s="1574" t="s">
        <v>12</v>
      </c>
      <c r="G78" s="1594" t="s">
        <v>13</v>
      </c>
      <c r="H78" s="1574" t="s">
        <v>14</v>
      </c>
      <c r="I78" s="1574" t="s">
        <v>282</v>
      </c>
      <c r="J78" s="1574" t="s">
        <v>60</v>
      </c>
      <c r="K78" s="1583" t="s">
        <v>666</v>
      </c>
      <c r="L78" s="1640" t="s">
        <v>667</v>
      </c>
      <c r="M78" s="1634"/>
      <c r="N78" s="1634"/>
      <c r="O78" s="1641"/>
    </row>
    <row r="79" spans="1:15" ht="38.25" customHeight="1">
      <c r="A79" s="1589"/>
      <c r="B79" s="1592"/>
      <c r="C79" s="1595"/>
      <c r="D79" s="1595"/>
      <c r="E79" s="1575"/>
      <c r="F79" s="1575"/>
      <c r="G79" s="1595"/>
      <c r="H79" s="1575"/>
      <c r="I79" s="1613"/>
      <c r="J79" s="1575"/>
      <c r="K79" s="1584"/>
      <c r="L79" s="1597" t="s">
        <v>668</v>
      </c>
      <c r="M79" s="1568"/>
      <c r="N79" s="1568"/>
      <c r="O79" s="1598"/>
    </row>
    <row r="80" spans="1:15" ht="38.25" customHeight="1" thickBot="1">
      <c r="A80" s="1590"/>
      <c r="B80" s="1593"/>
      <c r="C80" s="1596"/>
      <c r="D80" s="1596"/>
      <c r="E80" s="1576"/>
      <c r="F80" s="1576"/>
      <c r="G80" s="1596"/>
      <c r="H80" s="1576"/>
      <c r="I80" s="1614"/>
      <c r="J80" s="1576"/>
      <c r="K80" s="1585"/>
      <c r="L80" s="589" t="s">
        <v>669</v>
      </c>
      <c r="M80" s="787" t="s">
        <v>670</v>
      </c>
      <c r="N80" s="787" t="s">
        <v>671</v>
      </c>
      <c r="O80" s="788" t="s">
        <v>17</v>
      </c>
    </row>
    <row r="81" spans="1:15" ht="44.25" thickBot="1">
      <c r="A81" s="593" t="s">
        <v>27</v>
      </c>
      <c r="B81" s="1208" t="s">
        <v>429</v>
      </c>
      <c r="C81" s="1211" t="s">
        <v>380</v>
      </c>
      <c r="D81" s="1210" t="s">
        <v>430</v>
      </c>
      <c r="E81" s="1211">
        <v>9</v>
      </c>
      <c r="F81" s="1207" t="s">
        <v>382</v>
      </c>
      <c r="G81" s="309" t="s">
        <v>380</v>
      </c>
      <c r="H81" s="790" t="s">
        <v>431</v>
      </c>
      <c r="I81" s="309">
        <v>90342638</v>
      </c>
      <c r="J81" s="87" t="s">
        <v>67</v>
      </c>
      <c r="K81" s="543">
        <v>7</v>
      </c>
      <c r="L81" s="306"/>
      <c r="M81" s="331">
        <v>1000</v>
      </c>
      <c r="N81" s="331">
        <v>1700</v>
      </c>
      <c r="O81" s="308">
        <f>M81+N81</f>
        <v>2700</v>
      </c>
    </row>
    <row r="82" spans="1:15" ht="15">
      <c r="A82" s="461"/>
      <c r="B82" s="482" t="s">
        <v>23</v>
      </c>
      <c r="C82" s="315" t="s">
        <v>1326</v>
      </c>
      <c r="D82" s="249"/>
      <c r="E82" s="437"/>
      <c r="F82" s="374"/>
      <c r="G82" s="721" t="s">
        <v>1719</v>
      </c>
      <c r="H82" s="315" t="s">
        <v>1326</v>
      </c>
      <c r="I82" s="250"/>
      <c r="J82" s="461"/>
      <c r="K82" s="464"/>
      <c r="L82" s="465"/>
      <c r="M82" s="465"/>
      <c r="N82" s="307" t="s">
        <v>24</v>
      </c>
      <c r="O82" s="702">
        <f>SUM(O81)</f>
        <v>2700</v>
      </c>
    </row>
    <row r="83" spans="1:15" ht="15">
      <c r="A83" s="461"/>
      <c r="B83" s="197"/>
      <c r="C83" s="318" t="s">
        <v>1327</v>
      </c>
      <c r="D83" s="253"/>
      <c r="E83" s="438"/>
      <c r="F83" s="374"/>
      <c r="G83" s="1458"/>
      <c r="H83" s="318" t="s">
        <v>1327</v>
      </c>
      <c r="I83" s="254"/>
      <c r="J83" s="461"/>
      <c r="K83" s="464"/>
      <c r="L83" s="465"/>
      <c r="M83" s="465"/>
      <c r="N83" s="465"/>
      <c r="O83" s="465"/>
    </row>
    <row r="84" spans="1:15" ht="15.75" thickBot="1">
      <c r="A84" s="461"/>
      <c r="B84" s="197"/>
      <c r="C84" s="318" t="s">
        <v>421</v>
      </c>
      <c r="D84" s="253"/>
      <c r="E84" s="438"/>
      <c r="F84" s="374"/>
      <c r="G84" s="1460"/>
      <c r="H84" s="319" t="s">
        <v>421</v>
      </c>
      <c r="I84" s="258"/>
      <c r="J84" s="461"/>
      <c r="K84" s="464"/>
      <c r="L84" s="465"/>
      <c r="M84" s="465"/>
      <c r="N84" s="465"/>
      <c r="O84" s="465"/>
    </row>
    <row r="85" spans="1:15" ht="15">
      <c r="A85" s="461"/>
      <c r="B85" s="624" t="s">
        <v>169</v>
      </c>
      <c r="C85" s="318" t="s">
        <v>1328</v>
      </c>
      <c r="D85" s="253"/>
      <c r="E85" s="438"/>
      <c r="F85" s="374"/>
      <c r="G85" s="462"/>
      <c r="H85" s="461"/>
      <c r="I85" s="463"/>
      <c r="J85" s="461"/>
      <c r="K85" s="464"/>
      <c r="L85" s="465"/>
      <c r="M85" s="465"/>
      <c r="N85" s="465"/>
      <c r="O85" s="465"/>
    </row>
    <row r="86" spans="1:15" ht="15.75" thickBot="1">
      <c r="A86" s="461"/>
      <c r="B86" s="483" t="s">
        <v>1112</v>
      </c>
      <c r="C86" s="319" t="s">
        <v>1721</v>
      </c>
      <c r="D86" s="257"/>
      <c r="E86" s="440"/>
      <c r="F86" s="374"/>
      <c r="G86" s="462"/>
      <c r="H86" s="461"/>
      <c r="I86" s="463"/>
      <c r="J86" s="461"/>
      <c r="K86" s="464"/>
      <c r="L86" s="465"/>
      <c r="M86" s="465"/>
      <c r="N86" s="465"/>
      <c r="O86" s="465"/>
    </row>
    <row r="87" spans="1:15" ht="14.25">
      <c r="A87" s="461"/>
      <c r="B87" s="789"/>
      <c r="C87" s="462"/>
      <c r="D87" s="462"/>
      <c r="E87" s="461"/>
      <c r="F87" s="461"/>
      <c r="G87" s="462"/>
      <c r="H87" s="461"/>
      <c r="I87" s="463"/>
      <c r="J87" s="461"/>
      <c r="K87" s="464"/>
      <c r="L87" s="465"/>
      <c r="M87" s="465"/>
      <c r="N87" s="465"/>
      <c r="O87" s="465"/>
    </row>
    <row r="88" spans="1:15" ht="15" thickBot="1">
      <c r="A88" s="461"/>
      <c r="B88" s="789"/>
      <c r="C88" s="462"/>
      <c r="D88" s="462"/>
      <c r="E88" s="461"/>
      <c r="F88" s="461"/>
      <c r="G88" s="462"/>
      <c r="H88" s="461"/>
      <c r="I88" s="463"/>
      <c r="J88" s="461"/>
      <c r="K88" s="464"/>
      <c r="L88" s="465"/>
      <c r="M88" s="465"/>
      <c r="N88" s="465"/>
      <c r="O88" s="465"/>
    </row>
    <row r="89" spans="1:15" ht="36.75" customHeight="1">
      <c r="A89" s="1588" t="s">
        <v>7</v>
      </c>
      <c r="B89" s="1591" t="s">
        <v>664</v>
      </c>
      <c r="C89" s="1594" t="s">
        <v>9</v>
      </c>
      <c r="D89" s="1594" t="s">
        <v>10</v>
      </c>
      <c r="E89" s="1574" t="s">
        <v>665</v>
      </c>
      <c r="F89" s="1574" t="s">
        <v>12</v>
      </c>
      <c r="G89" s="1594" t="s">
        <v>13</v>
      </c>
      <c r="H89" s="1574" t="s">
        <v>14</v>
      </c>
      <c r="I89" s="1574" t="s">
        <v>282</v>
      </c>
      <c r="J89" s="1574" t="s">
        <v>60</v>
      </c>
      <c r="K89" s="1583" t="s">
        <v>666</v>
      </c>
      <c r="L89" s="1640" t="s">
        <v>667</v>
      </c>
      <c r="M89" s="1634"/>
      <c r="N89" s="1634"/>
      <c r="O89" s="1641"/>
    </row>
    <row r="90" spans="1:15" ht="36.75" customHeight="1">
      <c r="A90" s="1589"/>
      <c r="B90" s="1592"/>
      <c r="C90" s="1595"/>
      <c r="D90" s="1595"/>
      <c r="E90" s="1575"/>
      <c r="F90" s="1575"/>
      <c r="G90" s="1595"/>
      <c r="H90" s="1575"/>
      <c r="I90" s="1613"/>
      <c r="J90" s="1575"/>
      <c r="K90" s="1584"/>
      <c r="L90" s="1597" t="s">
        <v>668</v>
      </c>
      <c r="M90" s="1568"/>
      <c r="N90" s="1568"/>
      <c r="O90" s="1598"/>
    </row>
    <row r="91" spans="1:15" ht="36.75" customHeight="1" thickBot="1">
      <c r="A91" s="1590"/>
      <c r="B91" s="1593"/>
      <c r="C91" s="1596"/>
      <c r="D91" s="1596"/>
      <c r="E91" s="1576"/>
      <c r="F91" s="1576"/>
      <c r="G91" s="1596"/>
      <c r="H91" s="1576"/>
      <c r="I91" s="1614"/>
      <c r="J91" s="1576"/>
      <c r="K91" s="1585"/>
      <c r="L91" s="589" t="s">
        <v>669</v>
      </c>
      <c r="M91" s="787" t="s">
        <v>670</v>
      </c>
      <c r="N91" s="787" t="s">
        <v>671</v>
      </c>
      <c r="O91" s="788" t="s">
        <v>17</v>
      </c>
    </row>
    <row r="92" spans="1:15" ht="44.25" thickBot="1">
      <c r="A92" s="593" t="s">
        <v>27</v>
      </c>
      <c r="B92" s="1448" t="s">
        <v>436</v>
      </c>
      <c r="C92" s="1449" t="s">
        <v>422</v>
      </c>
      <c r="D92" s="1452"/>
      <c r="E92" s="1453" t="s">
        <v>437</v>
      </c>
      <c r="F92" s="1207" t="s">
        <v>382</v>
      </c>
      <c r="G92" s="1211" t="s">
        <v>380</v>
      </c>
      <c r="H92" s="794" t="s">
        <v>438</v>
      </c>
      <c r="I92" s="321">
        <v>70995957</v>
      </c>
      <c r="J92" s="87" t="s">
        <v>67</v>
      </c>
      <c r="K92" s="543">
        <v>35</v>
      </c>
      <c r="L92" s="306"/>
      <c r="M92" s="331">
        <v>10000</v>
      </c>
      <c r="N92" s="331">
        <v>18000</v>
      </c>
      <c r="O92" s="308">
        <f>M92+N92</f>
        <v>28000</v>
      </c>
    </row>
    <row r="93" spans="1:15" ht="15">
      <c r="A93" s="1203"/>
      <c r="B93" s="1451" t="s">
        <v>23</v>
      </c>
      <c r="C93" s="315" t="s">
        <v>450</v>
      </c>
      <c r="D93" s="250"/>
      <c r="E93" s="253"/>
      <c r="F93" s="374"/>
      <c r="G93" s="721" t="s">
        <v>1719</v>
      </c>
      <c r="H93" s="315" t="s">
        <v>1329</v>
      </c>
      <c r="I93" s="1457"/>
      <c r="J93" s="461"/>
      <c r="K93" s="464"/>
      <c r="L93" s="465"/>
      <c r="M93" s="465"/>
      <c r="N93" s="307" t="s">
        <v>24</v>
      </c>
      <c r="O93" s="702">
        <f>SUM(O92)</f>
        <v>28000</v>
      </c>
    </row>
    <row r="94" spans="1:15" ht="15">
      <c r="A94" s="1203"/>
      <c r="B94" s="624"/>
      <c r="C94" s="318" t="s">
        <v>420</v>
      </c>
      <c r="D94" s="254"/>
      <c r="E94" s="253"/>
      <c r="F94" s="374"/>
      <c r="G94" s="1458"/>
      <c r="H94" s="318" t="s">
        <v>1330</v>
      </c>
      <c r="I94" s="1459"/>
      <c r="J94" s="461"/>
      <c r="K94" s="464"/>
      <c r="L94" s="465"/>
      <c r="M94" s="465"/>
      <c r="N94" s="465"/>
      <c r="O94" s="465"/>
    </row>
    <row r="95" spans="1:15" ht="15.75" thickBot="1">
      <c r="A95" s="1203"/>
      <c r="B95" s="624"/>
      <c r="C95" s="318" t="s">
        <v>421</v>
      </c>
      <c r="D95" s="254"/>
      <c r="E95" s="253"/>
      <c r="F95" s="374"/>
      <c r="G95" s="1460"/>
      <c r="H95" s="319" t="s">
        <v>421</v>
      </c>
      <c r="I95" s="1461"/>
      <c r="J95" s="461"/>
      <c r="K95" s="464"/>
      <c r="L95" s="465"/>
      <c r="M95" s="465"/>
      <c r="N95" s="465"/>
      <c r="O95" s="465"/>
    </row>
    <row r="96" spans="1:15" ht="15">
      <c r="A96" s="1203"/>
      <c r="B96" s="624" t="s">
        <v>169</v>
      </c>
      <c r="C96" s="1351">
        <v>8222147162</v>
      </c>
      <c r="D96" s="254"/>
      <c r="E96" s="253"/>
      <c r="F96" s="374"/>
      <c r="G96" s="462"/>
      <c r="H96" s="461"/>
      <c r="I96" s="463"/>
      <c r="J96" s="461"/>
      <c r="K96" s="464"/>
      <c r="L96" s="465"/>
      <c r="M96" s="465"/>
      <c r="N96" s="465"/>
      <c r="O96" s="465"/>
    </row>
    <row r="97" spans="1:15" ht="15.75" thickBot="1">
      <c r="A97" s="461"/>
      <c r="B97" s="447" t="s">
        <v>1112</v>
      </c>
      <c r="C97" s="17" t="s">
        <v>1848</v>
      </c>
      <c r="D97" s="18"/>
      <c r="E97" s="374"/>
      <c r="F97" s="374"/>
      <c r="G97" s="462"/>
      <c r="H97" s="461"/>
      <c r="I97" s="463"/>
      <c r="J97" s="461"/>
      <c r="K97" s="464"/>
      <c r="L97" s="465"/>
      <c r="M97" s="465"/>
      <c r="N97" s="465"/>
      <c r="O97" s="465"/>
    </row>
    <row r="98" spans="1:15" ht="14.25">
      <c r="A98" s="461"/>
      <c r="B98" s="789"/>
      <c r="C98" s="462"/>
      <c r="D98" s="462"/>
      <c r="E98" s="461"/>
      <c r="F98" s="461"/>
      <c r="G98" s="462"/>
      <c r="H98" s="461"/>
      <c r="I98" s="463"/>
      <c r="J98" s="461"/>
      <c r="K98" s="464"/>
      <c r="L98" s="465"/>
      <c r="M98" s="465"/>
      <c r="N98" s="465"/>
      <c r="O98" s="465"/>
    </row>
    <row r="99" spans="1:15" ht="15" thickBot="1">
      <c r="A99" s="461"/>
      <c r="B99" s="789"/>
      <c r="C99" s="462"/>
      <c r="D99" s="462"/>
      <c r="E99" s="461"/>
      <c r="F99" s="461"/>
      <c r="G99" s="462"/>
      <c r="H99" s="461"/>
      <c r="I99" s="463"/>
      <c r="J99" s="461"/>
      <c r="K99" s="464"/>
      <c r="L99" s="465"/>
      <c r="M99" s="465"/>
      <c r="N99" s="465"/>
      <c r="O99" s="465"/>
    </row>
    <row r="100" spans="1:15" ht="41.25" customHeight="1">
      <c r="A100" s="1588" t="s">
        <v>7</v>
      </c>
      <c r="B100" s="1591" t="s">
        <v>664</v>
      </c>
      <c r="C100" s="1594" t="s">
        <v>9</v>
      </c>
      <c r="D100" s="1594" t="s">
        <v>10</v>
      </c>
      <c r="E100" s="1574" t="s">
        <v>665</v>
      </c>
      <c r="F100" s="1574" t="s">
        <v>12</v>
      </c>
      <c r="G100" s="1594" t="s">
        <v>13</v>
      </c>
      <c r="H100" s="1574" t="s">
        <v>14</v>
      </c>
      <c r="I100" s="1574" t="s">
        <v>282</v>
      </c>
      <c r="J100" s="1574" t="s">
        <v>60</v>
      </c>
      <c r="K100" s="1583" t="s">
        <v>666</v>
      </c>
      <c r="L100" s="1640" t="s">
        <v>667</v>
      </c>
      <c r="M100" s="1634"/>
      <c r="N100" s="1634"/>
      <c r="O100" s="1641"/>
    </row>
    <row r="101" spans="1:15" ht="41.25" customHeight="1">
      <c r="A101" s="1589"/>
      <c r="B101" s="1592"/>
      <c r="C101" s="1595"/>
      <c r="D101" s="1595"/>
      <c r="E101" s="1575"/>
      <c r="F101" s="1575"/>
      <c r="G101" s="1595"/>
      <c r="H101" s="1575"/>
      <c r="I101" s="1613"/>
      <c r="J101" s="1575"/>
      <c r="K101" s="1584"/>
      <c r="L101" s="1597" t="s">
        <v>668</v>
      </c>
      <c r="M101" s="1568"/>
      <c r="N101" s="1568"/>
      <c r="O101" s="1598"/>
    </row>
    <row r="102" spans="1:15" ht="41.25" customHeight="1" thickBot="1">
      <c r="A102" s="1590"/>
      <c r="B102" s="1593"/>
      <c r="C102" s="1596"/>
      <c r="D102" s="1596"/>
      <c r="E102" s="1576"/>
      <c r="F102" s="1576"/>
      <c r="G102" s="1596"/>
      <c r="H102" s="1576"/>
      <c r="I102" s="1614"/>
      <c r="J102" s="1576"/>
      <c r="K102" s="1585"/>
      <c r="L102" s="589" t="s">
        <v>669</v>
      </c>
      <c r="M102" s="787" t="s">
        <v>670</v>
      </c>
      <c r="N102" s="787" t="s">
        <v>671</v>
      </c>
      <c r="O102" s="788" t="s">
        <v>17</v>
      </c>
    </row>
    <row r="103" spans="1:15" ht="44.25" thickBot="1">
      <c r="A103" s="593" t="s">
        <v>27</v>
      </c>
      <c r="B103" s="1448" t="s">
        <v>432</v>
      </c>
      <c r="C103" s="1449" t="s">
        <v>433</v>
      </c>
      <c r="D103" s="1450"/>
      <c r="E103" s="1453" t="s">
        <v>434</v>
      </c>
      <c r="F103" s="1207" t="s">
        <v>382</v>
      </c>
      <c r="G103" s="1211" t="s">
        <v>380</v>
      </c>
      <c r="H103" s="794" t="s">
        <v>435</v>
      </c>
      <c r="I103" s="321">
        <v>70926467</v>
      </c>
      <c r="J103" s="87" t="s">
        <v>67</v>
      </c>
      <c r="K103" s="543">
        <v>26</v>
      </c>
      <c r="L103" s="306"/>
      <c r="M103" s="331">
        <v>4000</v>
      </c>
      <c r="N103" s="331">
        <v>6000</v>
      </c>
      <c r="O103" s="308">
        <f>M103+N103</f>
        <v>10000</v>
      </c>
    </row>
    <row r="104" spans="1:15" ht="15">
      <c r="A104" s="1203"/>
      <c r="B104" s="1451" t="s">
        <v>23</v>
      </c>
      <c r="C104" s="315" t="s">
        <v>450</v>
      </c>
      <c r="D104" s="250"/>
      <c r="E104" s="253"/>
      <c r="F104" s="374"/>
      <c r="G104" s="721" t="s">
        <v>1719</v>
      </c>
      <c r="H104" s="315" t="s">
        <v>1715</v>
      </c>
      <c r="I104" s="1457"/>
      <c r="J104" s="461"/>
      <c r="K104" s="464"/>
      <c r="L104" s="465"/>
      <c r="M104" s="465"/>
      <c r="N104" s="307" t="s">
        <v>24</v>
      </c>
      <c r="O104" s="702">
        <f>SUM(O103)</f>
        <v>10000</v>
      </c>
    </row>
    <row r="105" spans="1:15" ht="15">
      <c r="A105" s="1203"/>
      <c r="B105" s="624"/>
      <c r="C105" s="318" t="s">
        <v>420</v>
      </c>
      <c r="D105" s="254"/>
      <c r="E105" s="253"/>
      <c r="F105" s="374"/>
      <c r="G105" s="1458"/>
      <c r="H105" s="318" t="s">
        <v>1331</v>
      </c>
      <c r="I105" s="1459"/>
      <c r="J105" s="461"/>
      <c r="K105" s="464"/>
      <c r="L105" s="465"/>
      <c r="M105" s="465"/>
      <c r="N105" s="465"/>
      <c r="O105" s="465"/>
    </row>
    <row r="106" spans="1:15" ht="15.75" thickBot="1">
      <c r="A106" s="1203"/>
      <c r="B106" s="624"/>
      <c r="C106" s="318" t="s">
        <v>421</v>
      </c>
      <c r="D106" s="254"/>
      <c r="E106" s="253"/>
      <c r="F106" s="374"/>
      <c r="G106" s="1460"/>
      <c r="H106" s="319" t="s">
        <v>421</v>
      </c>
      <c r="I106" s="1461"/>
      <c r="J106" s="461"/>
      <c r="K106" s="464"/>
      <c r="L106" s="465"/>
      <c r="M106" s="465"/>
      <c r="N106" s="465"/>
      <c r="O106" s="465"/>
    </row>
    <row r="107" spans="1:15" ht="15">
      <c r="A107" s="1203"/>
      <c r="B107" s="624" t="s">
        <v>169</v>
      </c>
      <c r="C107" s="1351">
        <v>8222147162</v>
      </c>
      <c r="D107" s="254"/>
      <c r="E107" s="253"/>
      <c r="F107" s="374"/>
      <c r="G107" s="329"/>
      <c r="H107" s="791"/>
      <c r="I107" s="791"/>
      <c r="J107" s="791"/>
      <c r="K107" s="792"/>
      <c r="L107" s="793"/>
      <c r="M107" s="793"/>
      <c r="N107" s="793"/>
      <c r="O107" s="793"/>
    </row>
    <row r="108" spans="1:15" ht="15.75" thickBot="1">
      <c r="A108" s="76"/>
      <c r="B108" s="447" t="s">
        <v>1112</v>
      </c>
      <c r="C108" s="17" t="s">
        <v>1848</v>
      </c>
      <c r="D108" s="18"/>
      <c r="E108" s="374"/>
      <c r="F108" s="374"/>
      <c r="G108" s="329"/>
      <c r="H108" s="791"/>
      <c r="I108" s="791"/>
      <c r="J108" s="791"/>
      <c r="K108" s="792"/>
      <c r="L108" s="793"/>
      <c r="M108" s="793"/>
      <c r="N108" s="793"/>
      <c r="O108" s="793"/>
    </row>
    <row r="109" spans="1:15" ht="15">
      <c r="A109" s="786"/>
      <c r="B109" s="540"/>
      <c r="C109" s="318"/>
      <c r="D109" s="253"/>
      <c r="E109" s="316"/>
      <c r="F109" s="316"/>
      <c r="G109" s="316"/>
      <c r="H109" s="316"/>
      <c r="I109" s="316"/>
      <c r="J109" s="316"/>
      <c r="K109" s="547"/>
      <c r="L109" s="317"/>
      <c r="M109" s="317"/>
      <c r="N109" s="317"/>
      <c r="O109" s="317"/>
    </row>
    <row r="110" spans="1:15" ht="15.75" thickBot="1">
      <c r="A110" s="295"/>
      <c r="B110" s="253"/>
      <c r="C110" s="318"/>
      <c r="D110" s="253"/>
      <c r="E110" s="316"/>
      <c r="F110" s="316"/>
      <c r="G110" s="316"/>
      <c r="H110" s="316"/>
      <c r="I110" s="316"/>
      <c r="J110" s="316"/>
      <c r="K110" s="547"/>
      <c r="L110" s="317"/>
      <c r="M110" s="317"/>
      <c r="N110" s="317"/>
      <c r="O110" s="317"/>
    </row>
    <row r="111" spans="1:15" ht="36.75" customHeight="1">
      <c r="A111" s="1588" t="s">
        <v>7</v>
      </c>
      <c r="B111" s="1591" t="s">
        <v>664</v>
      </c>
      <c r="C111" s="1594" t="s">
        <v>9</v>
      </c>
      <c r="D111" s="1594" t="s">
        <v>10</v>
      </c>
      <c r="E111" s="1574" t="s">
        <v>665</v>
      </c>
      <c r="F111" s="1574" t="s">
        <v>12</v>
      </c>
      <c r="G111" s="1594" t="s">
        <v>13</v>
      </c>
      <c r="H111" s="1574" t="s">
        <v>14</v>
      </c>
      <c r="I111" s="1574" t="s">
        <v>282</v>
      </c>
      <c r="J111" s="1574" t="s">
        <v>60</v>
      </c>
      <c r="K111" s="1683" t="s">
        <v>666</v>
      </c>
      <c r="L111" s="1640" t="s">
        <v>667</v>
      </c>
      <c r="M111" s="1634"/>
      <c r="N111" s="1634"/>
      <c r="O111" s="1641"/>
    </row>
    <row r="112" spans="1:15" ht="42" customHeight="1">
      <c r="A112" s="1589"/>
      <c r="B112" s="1592"/>
      <c r="C112" s="1595"/>
      <c r="D112" s="1595"/>
      <c r="E112" s="1575"/>
      <c r="F112" s="1575"/>
      <c r="G112" s="1595"/>
      <c r="H112" s="1575"/>
      <c r="I112" s="1613"/>
      <c r="J112" s="1575"/>
      <c r="K112" s="1684"/>
      <c r="L112" s="1597" t="s">
        <v>668</v>
      </c>
      <c r="M112" s="1568"/>
      <c r="N112" s="1568"/>
      <c r="O112" s="1598"/>
    </row>
    <row r="113" spans="1:15" ht="25.5" customHeight="1" thickBot="1">
      <c r="A113" s="1590"/>
      <c r="B113" s="1593"/>
      <c r="C113" s="1596"/>
      <c r="D113" s="1596"/>
      <c r="E113" s="1576"/>
      <c r="F113" s="1576"/>
      <c r="G113" s="1596"/>
      <c r="H113" s="1576"/>
      <c r="I113" s="1614"/>
      <c r="J113" s="1576"/>
      <c r="K113" s="1685"/>
      <c r="L113" s="270" t="s">
        <v>669</v>
      </c>
      <c r="M113" s="277" t="s">
        <v>670</v>
      </c>
      <c r="N113" s="277" t="s">
        <v>671</v>
      </c>
      <c r="O113" s="272" t="s">
        <v>17</v>
      </c>
    </row>
    <row r="114" spans="1:15" ht="18">
      <c r="A114" s="621" t="s">
        <v>27</v>
      </c>
      <c r="B114" s="432"/>
      <c r="C114" s="795" t="s">
        <v>380</v>
      </c>
      <c r="D114" s="691" t="s">
        <v>785</v>
      </c>
      <c r="E114" s="385">
        <v>36</v>
      </c>
      <c r="F114" s="433" t="s">
        <v>382</v>
      </c>
      <c r="G114" s="434" t="s">
        <v>380</v>
      </c>
      <c r="H114" s="734" t="s">
        <v>786</v>
      </c>
      <c r="I114" s="385">
        <v>234589</v>
      </c>
      <c r="J114" s="541" t="s">
        <v>29</v>
      </c>
      <c r="K114" s="548">
        <v>22</v>
      </c>
      <c r="L114" s="324">
        <f>16694-8580</f>
        <v>8114</v>
      </c>
      <c r="M114" s="441"/>
      <c r="N114" s="441"/>
      <c r="O114" s="324">
        <f>L114</f>
        <v>8114</v>
      </c>
    </row>
    <row r="115" spans="1:15" ht="18.75" thickBot="1">
      <c r="A115" s="593" t="s">
        <v>27</v>
      </c>
      <c r="B115" s="673"/>
      <c r="C115" s="626" t="s">
        <v>380</v>
      </c>
      <c r="D115" s="48" t="s">
        <v>785</v>
      </c>
      <c r="E115" s="304">
        <v>36</v>
      </c>
      <c r="F115" s="303" t="s">
        <v>382</v>
      </c>
      <c r="G115" s="321" t="s">
        <v>380</v>
      </c>
      <c r="H115" s="797" t="s">
        <v>787</v>
      </c>
      <c r="I115" s="323">
        <v>4143422</v>
      </c>
      <c r="J115" s="504" t="s">
        <v>29</v>
      </c>
      <c r="K115" s="545">
        <v>33</v>
      </c>
      <c r="L115" s="307">
        <f>(7727.06-6177.74)*30</f>
        <v>46479.60000000002</v>
      </c>
      <c r="M115" s="306"/>
      <c r="N115" s="306"/>
      <c r="O115" s="307">
        <f>L115</f>
        <v>46479.60000000002</v>
      </c>
    </row>
    <row r="116" spans="1:15" ht="15">
      <c r="A116" s="295"/>
      <c r="B116" s="1451" t="s">
        <v>23</v>
      </c>
      <c r="C116" s="315" t="s">
        <v>450</v>
      </c>
      <c r="D116" s="250"/>
      <c r="E116" s="253"/>
      <c r="F116" s="316"/>
      <c r="G116" s="721" t="s">
        <v>1719</v>
      </c>
      <c r="H116" s="315" t="s">
        <v>783</v>
      </c>
      <c r="I116" s="437"/>
      <c r="J116" s="316"/>
      <c r="K116" s="547"/>
      <c r="L116" s="317"/>
      <c r="M116" s="317"/>
      <c r="N116" s="307" t="s">
        <v>24</v>
      </c>
      <c r="O116" s="622">
        <f>SUM(O114:O115)</f>
        <v>54593.60000000002</v>
      </c>
    </row>
    <row r="117" spans="1:15" ht="15">
      <c r="A117" s="295"/>
      <c r="B117" s="624"/>
      <c r="C117" s="318" t="s">
        <v>420</v>
      </c>
      <c r="D117" s="254"/>
      <c r="E117" s="253"/>
      <c r="F117" s="316"/>
      <c r="G117" s="1166"/>
      <c r="H117" s="318" t="s">
        <v>784</v>
      </c>
      <c r="I117" s="438"/>
      <c r="J117" s="316"/>
      <c r="K117" s="547"/>
      <c r="L117" s="317"/>
      <c r="M117" s="317"/>
      <c r="N117" s="317"/>
      <c r="O117" s="317"/>
    </row>
    <row r="118" spans="1:15" ht="15.75" thickBot="1">
      <c r="A118" s="295"/>
      <c r="B118" s="624"/>
      <c r="C118" s="318" t="s">
        <v>421</v>
      </c>
      <c r="D118" s="254"/>
      <c r="E118" s="253"/>
      <c r="F118" s="316"/>
      <c r="G118" s="1167"/>
      <c r="H118" s="319" t="s">
        <v>421</v>
      </c>
      <c r="I118" s="440"/>
      <c r="J118" s="316"/>
      <c r="K118" s="547"/>
      <c r="L118" s="317"/>
      <c r="M118" s="317"/>
      <c r="N118" s="317"/>
      <c r="O118" s="317"/>
    </row>
    <row r="119" spans="1:15" ht="15">
      <c r="A119" s="295"/>
      <c r="B119" s="624" t="s">
        <v>169</v>
      </c>
      <c r="C119" s="1351">
        <v>8222147162</v>
      </c>
      <c r="D119" s="254"/>
      <c r="E119" s="253"/>
      <c r="F119" s="316"/>
      <c r="G119" s="316"/>
      <c r="H119" s="316"/>
      <c r="I119" s="316"/>
      <c r="J119" s="316"/>
      <c r="K119" s="547"/>
      <c r="L119" s="33"/>
      <c r="M119" s="317"/>
      <c r="N119" s="317"/>
      <c r="O119" s="317"/>
    </row>
    <row r="120" spans="1:15" ht="15.75" thickBot="1">
      <c r="A120" s="295"/>
      <c r="B120" s="447" t="s">
        <v>1112</v>
      </c>
      <c r="C120" s="17" t="s">
        <v>1848</v>
      </c>
      <c r="D120" s="18"/>
      <c r="E120" s="374"/>
      <c r="F120" s="374"/>
      <c r="G120" s="316"/>
      <c r="H120" s="316"/>
      <c r="I120" s="316"/>
      <c r="J120" s="316"/>
      <c r="K120" s="547"/>
      <c r="L120" s="33"/>
      <c r="M120" s="317"/>
      <c r="N120" s="317"/>
      <c r="O120" s="317"/>
    </row>
    <row r="121" spans="1:15" ht="17.25" customHeight="1" thickBot="1">
      <c r="A121" s="295"/>
      <c r="B121" s="253"/>
      <c r="C121" s="318"/>
      <c r="D121" s="253"/>
      <c r="E121" s="374"/>
      <c r="F121" s="374"/>
      <c r="G121" s="316"/>
      <c r="H121" s="316"/>
      <c r="I121" s="316"/>
      <c r="J121" s="316"/>
      <c r="K121" s="547"/>
      <c r="L121" s="33"/>
      <c r="M121" s="317"/>
      <c r="N121" s="317"/>
      <c r="O121" s="317"/>
    </row>
    <row r="122" spans="1:15" ht="42.75" customHeight="1">
      <c r="A122" s="1588" t="s">
        <v>7</v>
      </c>
      <c r="B122" s="1610" t="s">
        <v>664</v>
      </c>
      <c r="C122" s="1599" t="s">
        <v>9</v>
      </c>
      <c r="D122" s="1599" t="s">
        <v>10</v>
      </c>
      <c r="E122" s="1571" t="s">
        <v>665</v>
      </c>
      <c r="F122" s="1571" t="s">
        <v>12</v>
      </c>
      <c r="G122" s="1599" t="s">
        <v>13</v>
      </c>
      <c r="H122" s="1571" t="s">
        <v>14</v>
      </c>
      <c r="I122" s="1571" t="s">
        <v>282</v>
      </c>
      <c r="J122" s="1571" t="s">
        <v>60</v>
      </c>
      <c r="K122" s="1669" t="s">
        <v>666</v>
      </c>
      <c r="L122" s="1672" t="s">
        <v>667</v>
      </c>
      <c r="M122" s="1673"/>
      <c r="N122" s="1673"/>
      <c r="O122" s="1674"/>
    </row>
    <row r="123" spans="1:15" ht="50.25" customHeight="1">
      <c r="A123" s="1589"/>
      <c r="B123" s="1611"/>
      <c r="C123" s="1600"/>
      <c r="D123" s="1600"/>
      <c r="E123" s="1572"/>
      <c r="F123" s="1572"/>
      <c r="G123" s="1600"/>
      <c r="H123" s="1572"/>
      <c r="I123" s="1572"/>
      <c r="J123" s="1572"/>
      <c r="K123" s="1670"/>
      <c r="L123" s="1606" t="s">
        <v>668</v>
      </c>
      <c r="M123" s="1607"/>
      <c r="N123" s="1607"/>
      <c r="O123" s="1608"/>
    </row>
    <row r="124" spans="1:15" ht="27" customHeight="1" thickBot="1">
      <c r="A124" s="1590"/>
      <c r="B124" s="1612"/>
      <c r="C124" s="1601"/>
      <c r="D124" s="1601"/>
      <c r="E124" s="1573"/>
      <c r="F124" s="1573"/>
      <c r="G124" s="1601"/>
      <c r="H124" s="1573"/>
      <c r="I124" s="1573"/>
      <c r="J124" s="1573"/>
      <c r="K124" s="1671"/>
      <c r="L124" s="485" t="s">
        <v>669</v>
      </c>
      <c r="M124" s="486" t="s">
        <v>670</v>
      </c>
      <c r="N124" s="486" t="s">
        <v>671</v>
      </c>
      <c r="O124" s="484" t="s">
        <v>17</v>
      </c>
    </row>
    <row r="125" spans="1:15" ht="28.5" customHeight="1" thickBot="1">
      <c r="A125" s="621" t="s">
        <v>27</v>
      </c>
      <c r="B125" s="371"/>
      <c r="C125" s="1115" t="s">
        <v>427</v>
      </c>
      <c r="D125" s="1454" t="s">
        <v>810</v>
      </c>
      <c r="E125" s="502" t="s">
        <v>862</v>
      </c>
      <c r="F125" s="433" t="s">
        <v>382</v>
      </c>
      <c r="G125" s="434" t="s">
        <v>380</v>
      </c>
      <c r="H125" s="734" t="s">
        <v>863</v>
      </c>
      <c r="I125" s="503">
        <v>39237</v>
      </c>
      <c r="J125" s="1465" t="s">
        <v>457</v>
      </c>
      <c r="K125" s="549">
        <v>26</v>
      </c>
      <c r="L125" s="441"/>
      <c r="M125" s="450">
        <f>7000-3346</f>
        <v>3654</v>
      </c>
      <c r="N125" s="450">
        <f>920-551</f>
        <v>369</v>
      </c>
      <c r="O125" s="449">
        <f>M125+N125</f>
        <v>4023</v>
      </c>
    </row>
    <row r="126" spans="1:15" ht="15">
      <c r="A126" s="295"/>
      <c r="B126" s="1451" t="s">
        <v>23</v>
      </c>
      <c r="C126" s="315" t="s">
        <v>450</v>
      </c>
      <c r="D126" s="250"/>
      <c r="E126" s="253"/>
      <c r="F126" s="316"/>
      <c r="G126" s="721" t="s">
        <v>1719</v>
      </c>
      <c r="H126" s="12" t="s">
        <v>391</v>
      </c>
      <c r="I126" s="316"/>
      <c r="J126" s="316"/>
      <c r="K126" s="547"/>
      <c r="L126" s="317"/>
      <c r="M126" s="317"/>
      <c r="N126" s="307" t="s">
        <v>24</v>
      </c>
      <c r="O126" s="622">
        <f>SUM(O125)</f>
        <v>4023</v>
      </c>
    </row>
    <row r="127" spans="1:15" ht="15">
      <c r="A127" s="295"/>
      <c r="B127" s="624"/>
      <c r="C127" s="318" t="s">
        <v>420</v>
      </c>
      <c r="D127" s="254"/>
      <c r="E127" s="253"/>
      <c r="F127" s="316"/>
      <c r="G127" s="16"/>
      <c r="H127" s="181" t="s">
        <v>420</v>
      </c>
      <c r="I127" s="316"/>
      <c r="J127" s="316"/>
      <c r="K127" s="547"/>
      <c r="L127" s="317"/>
      <c r="M127" s="317"/>
      <c r="N127" s="317"/>
      <c r="O127" s="317"/>
    </row>
    <row r="128" spans="1:15" ht="15.75" thickBot="1">
      <c r="A128" s="295"/>
      <c r="B128" s="624"/>
      <c r="C128" s="318" t="s">
        <v>421</v>
      </c>
      <c r="D128" s="254"/>
      <c r="E128" s="253"/>
      <c r="F128" s="316"/>
      <c r="G128" s="1178"/>
      <c r="H128" s="182" t="s">
        <v>421</v>
      </c>
      <c r="I128" s="316"/>
      <c r="J128" s="316"/>
      <c r="K128" s="547"/>
      <c r="L128" s="317"/>
      <c r="M128" s="317"/>
      <c r="N128" s="317"/>
      <c r="O128" s="317"/>
    </row>
    <row r="129" spans="1:15" ht="15">
      <c r="A129" s="295"/>
      <c r="B129" s="624" t="s">
        <v>169</v>
      </c>
      <c r="C129" s="1351">
        <v>8222147162</v>
      </c>
      <c r="D129" s="254"/>
      <c r="E129" s="253"/>
      <c r="F129" s="316"/>
      <c r="G129" s="316"/>
      <c r="H129" s="316"/>
      <c r="I129" s="316"/>
      <c r="J129" s="316"/>
      <c r="K129" s="547"/>
      <c r="L129" s="317"/>
      <c r="M129" s="317"/>
      <c r="N129" s="317"/>
      <c r="O129" s="317"/>
    </row>
    <row r="130" spans="1:15" ht="15.75" thickBot="1">
      <c r="A130" s="295"/>
      <c r="B130" s="447" t="s">
        <v>1112</v>
      </c>
      <c r="C130" s="17" t="s">
        <v>1848</v>
      </c>
      <c r="D130" s="18"/>
      <c r="E130" s="374"/>
      <c r="F130" s="374"/>
      <c r="G130" s="316"/>
      <c r="H130" s="316"/>
      <c r="I130" s="316"/>
      <c r="J130" s="316"/>
      <c r="K130" s="547"/>
      <c r="L130" s="33"/>
      <c r="M130" s="317"/>
      <c r="N130" s="317"/>
      <c r="O130" s="317"/>
    </row>
    <row r="131" spans="1:15" ht="15.75" thickBot="1">
      <c r="A131" s="295"/>
      <c r="B131" s="253"/>
      <c r="C131" s="318"/>
      <c r="D131" s="253"/>
      <c r="E131" s="374"/>
      <c r="F131" s="374"/>
      <c r="G131" s="316"/>
      <c r="H131" s="316"/>
      <c r="I131" s="316"/>
      <c r="J131" s="316"/>
      <c r="K131" s="547"/>
      <c r="L131" s="33"/>
      <c r="M131" s="317"/>
      <c r="N131" s="317"/>
      <c r="O131" s="317"/>
    </row>
    <row r="132" spans="1:15" ht="43.5" customHeight="1">
      <c r="A132" s="1588" t="s">
        <v>7</v>
      </c>
      <c r="B132" s="1610" t="s">
        <v>664</v>
      </c>
      <c r="C132" s="1599" t="s">
        <v>9</v>
      </c>
      <c r="D132" s="1599" t="s">
        <v>10</v>
      </c>
      <c r="E132" s="1571" t="s">
        <v>665</v>
      </c>
      <c r="F132" s="1571" t="s">
        <v>12</v>
      </c>
      <c r="G132" s="1599" t="s">
        <v>13</v>
      </c>
      <c r="H132" s="1571" t="s">
        <v>14</v>
      </c>
      <c r="I132" s="1571" t="s">
        <v>282</v>
      </c>
      <c r="J132" s="1571" t="s">
        <v>60</v>
      </c>
      <c r="K132" s="1669" t="s">
        <v>666</v>
      </c>
      <c r="L132" s="1672" t="s">
        <v>667</v>
      </c>
      <c r="M132" s="1673"/>
      <c r="N132" s="1673"/>
      <c r="O132" s="1674"/>
    </row>
    <row r="133" spans="1:15" ht="27" customHeight="1">
      <c r="A133" s="1589"/>
      <c r="B133" s="1611"/>
      <c r="C133" s="1600"/>
      <c r="D133" s="1600"/>
      <c r="E133" s="1572"/>
      <c r="F133" s="1572"/>
      <c r="G133" s="1600"/>
      <c r="H133" s="1572"/>
      <c r="I133" s="1572"/>
      <c r="J133" s="1572"/>
      <c r="K133" s="1670"/>
      <c r="L133" s="1606" t="s">
        <v>668</v>
      </c>
      <c r="M133" s="1607"/>
      <c r="N133" s="1607"/>
      <c r="O133" s="1608"/>
    </row>
    <row r="134" spans="1:15" ht="27" customHeight="1" thickBot="1">
      <c r="A134" s="1590"/>
      <c r="B134" s="1612"/>
      <c r="C134" s="1601"/>
      <c r="D134" s="1601"/>
      <c r="E134" s="1573"/>
      <c r="F134" s="1573"/>
      <c r="G134" s="1601"/>
      <c r="H134" s="1573"/>
      <c r="I134" s="1573"/>
      <c r="J134" s="1573"/>
      <c r="K134" s="1671"/>
      <c r="L134" s="589" t="s">
        <v>669</v>
      </c>
      <c r="M134" s="1373" t="s">
        <v>670</v>
      </c>
      <c r="N134" s="1373" t="s">
        <v>671</v>
      </c>
      <c r="O134" s="1374" t="s">
        <v>17</v>
      </c>
    </row>
    <row r="135" spans="1:15" ht="29.25" customHeight="1">
      <c r="A135" s="621" t="s">
        <v>27</v>
      </c>
      <c r="B135" s="691" t="s">
        <v>450</v>
      </c>
      <c r="C135" s="795" t="s">
        <v>380</v>
      </c>
      <c r="D135" s="691" t="s">
        <v>785</v>
      </c>
      <c r="E135" s="385">
        <v>36</v>
      </c>
      <c r="F135" s="433" t="s">
        <v>382</v>
      </c>
      <c r="G135" s="434" t="s">
        <v>380</v>
      </c>
      <c r="H135" s="734" t="s">
        <v>1332</v>
      </c>
      <c r="I135" s="542">
        <v>11001582</v>
      </c>
      <c r="J135" s="552" t="s">
        <v>29</v>
      </c>
      <c r="K135" s="550">
        <v>31</v>
      </c>
      <c r="L135" s="275">
        <f>1048*11</f>
        <v>11528</v>
      </c>
      <c r="M135" s="441"/>
      <c r="N135" s="441"/>
      <c r="O135" s="324">
        <v>10000</v>
      </c>
    </row>
    <row r="136" spans="1:15" ht="29.25" customHeight="1" thickBot="1">
      <c r="A136" s="621" t="s">
        <v>27</v>
      </c>
      <c r="B136" s="625"/>
      <c r="C136" s="626" t="s">
        <v>1154</v>
      </c>
      <c r="D136" s="48"/>
      <c r="E136" s="304">
        <v>14</v>
      </c>
      <c r="F136" s="304" t="s">
        <v>382</v>
      </c>
      <c r="G136" s="304" t="s">
        <v>380</v>
      </c>
      <c r="H136" s="734" t="s">
        <v>1334</v>
      </c>
      <c r="I136" s="304">
        <v>11691</v>
      </c>
      <c r="J136" s="31" t="s">
        <v>1155</v>
      </c>
      <c r="K136" s="545">
        <v>7</v>
      </c>
      <c r="L136" s="306"/>
      <c r="M136" s="307">
        <f>86*10</f>
        <v>860</v>
      </c>
      <c r="N136" s="307">
        <f>74*10</f>
        <v>740</v>
      </c>
      <c r="O136" s="307">
        <f>SUM(M136:N136)</f>
        <v>1600</v>
      </c>
    </row>
    <row r="137" spans="1:15" ht="15">
      <c r="A137" s="295"/>
      <c r="B137" s="1451" t="s">
        <v>23</v>
      </c>
      <c r="C137" s="315" t="s">
        <v>450</v>
      </c>
      <c r="D137" s="250"/>
      <c r="E137" s="374"/>
      <c r="F137" s="374"/>
      <c r="G137" s="721" t="s">
        <v>1719</v>
      </c>
      <c r="H137" s="12" t="s">
        <v>391</v>
      </c>
      <c r="I137" s="316"/>
      <c r="J137" s="316"/>
      <c r="K137" s="316"/>
      <c r="L137" s="33"/>
      <c r="M137" s="317"/>
      <c r="N137" s="307" t="s">
        <v>24</v>
      </c>
      <c r="O137" s="622">
        <f>SUM(O135:O136)</f>
        <v>11600</v>
      </c>
    </row>
    <row r="138" spans="1:15" ht="15">
      <c r="A138" s="295"/>
      <c r="B138" s="624"/>
      <c r="C138" s="318" t="s">
        <v>420</v>
      </c>
      <c r="D138" s="254"/>
      <c r="E138" s="374"/>
      <c r="F138" s="374"/>
      <c r="G138" s="16"/>
      <c r="H138" s="181" t="s">
        <v>420</v>
      </c>
      <c r="I138" s="316"/>
      <c r="J138" s="316"/>
      <c r="K138" s="316"/>
      <c r="L138" s="33"/>
      <c r="M138" s="317"/>
      <c r="N138" s="317"/>
      <c r="O138" s="317"/>
    </row>
    <row r="139" spans="2:15" ht="15.75" thickBot="1">
      <c r="B139" s="624"/>
      <c r="C139" s="318" t="s">
        <v>421</v>
      </c>
      <c r="D139" s="254"/>
      <c r="E139" s="316"/>
      <c r="F139" s="316"/>
      <c r="G139" s="1178"/>
      <c r="H139" s="182" t="s">
        <v>421</v>
      </c>
      <c r="I139" s="316"/>
      <c r="J139" s="316"/>
      <c r="K139" s="316"/>
      <c r="L139" s="317"/>
      <c r="M139" s="317"/>
      <c r="N139" s="317"/>
      <c r="O139" s="317"/>
    </row>
    <row r="140" spans="2:15" ht="15">
      <c r="B140" s="624" t="s">
        <v>169</v>
      </c>
      <c r="C140" s="1351">
        <v>8222147162</v>
      </c>
      <c r="D140" s="254"/>
      <c r="E140" s="316"/>
      <c r="F140" s="316"/>
      <c r="G140" s="316"/>
      <c r="H140" s="316"/>
      <c r="I140" s="316"/>
      <c r="J140" s="316"/>
      <c r="K140" s="316"/>
      <c r="L140" s="317"/>
      <c r="M140" s="317"/>
      <c r="N140" s="317"/>
      <c r="O140" s="317"/>
    </row>
    <row r="141" spans="1:15" ht="15.75" thickBot="1">
      <c r="A141" s="853"/>
      <c r="B141" s="447" t="s">
        <v>1112</v>
      </c>
      <c r="C141" s="17" t="s">
        <v>1848</v>
      </c>
      <c r="D141" s="18"/>
      <c r="E141" s="316"/>
      <c r="F141" s="316"/>
      <c r="G141" s="316"/>
      <c r="H141" s="316"/>
      <c r="I141" s="316"/>
      <c r="J141" s="316"/>
      <c r="K141" s="316"/>
      <c r="L141" s="317"/>
      <c r="M141" s="317"/>
      <c r="N141" s="317"/>
      <c r="O141" s="317"/>
    </row>
    <row r="142" spans="1:15" ht="15.75" thickBot="1">
      <c r="A142" s="853"/>
      <c r="B142" s="540"/>
      <c r="C142" s="318"/>
      <c r="D142" s="253"/>
      <c r="E142" s="316"/>
      <c r="F142" s="316"/>
      <c r="G142" s="316"/>
      <c r="H142" s="316"/>
      <c r="I142" s="316"/>
      <c r="J142" s="316"/>
      <c r="K142" s="316"/>
      <c r="L142" s="317"/>
      <c r="M142" s="317"/>
      <c r="N142" s="317"/>
      <c r="O142" s="317"/>
    </row>
    <row r="143" spans="1:15" ht="42" customHeight="1">
      <c r="A143" s="1588" t="s">
        <v>7</v>
      </c>
      <c r="B143" s="1610" t="s">
        <v>664</v>
      </c>
      <c r="C143" s="1599" t="s">
        <v>9</v>
      </c>
      <c r="D143" s="1599" t="s">
        <v>10</v>
      </c>
      <c r="E143" s="1571" t="s">
        <v>665</v>
      </c>
      <c r="F143" s="1571" t="s">
        <v>12</v>
      </c>
      <c r="G143" s="1599" t="s">
        <v>13</v>
      </c>
      <c r="H143" s="1571" t="s">
        <v>14</v>
      </c>
      <c r="I143" s="1571" t="s">
        <v>282</v>
      </c>
      <c r="J143" s="1571" t="s">
        <v>60</v>
      </c>
      <c r="K143" s="1669" t="s">
        <v>666</v>
      </c>
      <c r="L143" s="1672" t="s">
        <v>667</v>
      </c>
      <c r="M143" s="1673"/>
      <c r="N143" s="1673"/>
      <c r="O143" s="1674"/>
    </row>
    <row r="144" spans="1:15" ht="30.75" customHeight="1">
      <c r="A144" s="1589"/>
      <c r="B144" s="1611"/>
      <c r="C144" s="1600"/>
      <c r="D144" s="1600"/>
      <c r="E144" s="1572"/>
      <c r="F144" s="1572"/>
      <c r="G144" s="1600"/>
      <c r="H144" s="1572"/>
      <c r="I144" s="1572"/>
      <c r="J144" s="1572"/>
      <c r="K144" s="1670"/>
      <c r="L144" s="1606" t="s">
        <v>668</v>
      </c>
      <c r="M144" s="1607"/>
      <c r="N144" s="1607"/>
      <c r="O144" s="1608"/>
    </row>
    <row r="145" spans="1:15" ht="16.5" customHeight="1" thickBot="1">
      <c r="A145" s="1590"/>
      <c r="B145" s="1612"/>
      <c r="C145" s="1601"/>
      <c r="D145" s="1601"/>
      <c r="E145" s="1573"/>
      <c r="F145" s="1573"/>
      <c r="G145" s="1601"/>
      <c r="H145" s="1573"/>
      <c r="I145" s="1573"/>
      <c r="J145" s="1573"/>
      <c r="K145" s="1671"/>
      <c r="L145" s="589" t="s">
        <v>669</v>
      </c>
      <c r="M145" s="1373" t="s">
        <v>670</v>
      </c>
      <c r="N145" s="1373" t="s">
        <v>671</v>
      </c>
      <c r="O145" s="1374" t="s">
        <v>17</v>
      </c>
    </row>
    <row r="146" spans="1:15" ht="30" thickBot="1">
      <c r="A146" s="1206" t="s">
        <v>27</v>
      </c>
      <c r="B146" s="1208" t="s">
        <v>1333</v>
      </c>
      <c r="C146" s="1209" t="s">
        <v>413</v>
      </c>
      <c r="D146" s="1210"/>
      <c r="E146" s="1211">
        <v>27</v>
      </c>
      <c r="F146" s="1207" t="s">
        <v>382</v>
      </c>
      <c r="G146" s="321" t="s">
        <v>380</v>
      </c>
      <c r="H146" s="797" t="s">
        <v>867</v>
      </c>
      <c r="I146" s="321">
        <v>70509145</v>
      </c>
      <c r="J146" s="1212" t="s">
        <v>29</v>
      </c>
      <c r="K146" s="1213">
        <v>10</v>
      </c>
      <c r="L146" s="307">
        <f>(22364-19514)*2</f>
        <v>5700</v>
      </c>
      <c r="M146" s="306"/>
      <c r="N146" s="306"/>
      <c r="O146" s="308">
        <f>L146</f>
        <v>5700</v>
      </c>
    </row>
    <row r="147" spans="1:15" ht="15">
      <c r="A147" s="1"/>
      <c r="B147" s="482" t="s">
        <v>23</v>
      </c>
      <c r="C147" s="315" t="s">
        <v>1766</v>
      </c>
      <c r="D147" s="436"/>
      <c r="E147" s="437"/>
      <c r="F147" s="374"/>
      <c r="G147" s="721" t="s">
        <v>1719</v>
      </c>
      <c r="H147" s="315" t="s">
        <v>1766</v>
      </c>
      <c r="I147" s="250"/>
      <c r="J147" s="374"/>
      <c r="K147" s="374"/>
      <c r="L147" s="317"/>
      <c r="M147" s="317"/>
      <c r="N147" s="307" t="s">
        <v>24</v>
      </c>
      <c r="O147" s="622">
        <f>SUM(O145:O146)</f>
        <v>5700</v>
      </c>
    </row>
    <row r="148" spans="1:15" ht="15">
      <c r="A148" s="1"/>
      <c r="B148" s="197"/>
      <c r="C148" s="318" t="s">
        <v>1765</v>
      </c>
      <c r="D148" s="374"/>
      <c r="E148" s="438"/>
      <c r="F148" s="374"/>
      <c r="G148" s="190"/>
      <c r="H148" s="318" t="s">
        <v>1765</v>
      </c>
      <c r="I148" s="254"/>
      <c r="J148" s="374"/>
      <c r="K148" s="374"/>
      <c r="L148" s="317"/>
      <c r="M148" s="317"/>
      <c r="N148" s="317"/>
      <c r="O148" s="317"/>
    </row>
    <row r="149" spans="1:15" ht="15">
      <c r="A149" s="1"/>
      <c r="B149" s="197"/>
      <c r="C149" s="318" t="s">
        <v>1432</v>
      </c>
      <c r="D149" s="374"/>
      <c r="E149" s="438"/>
      <c r="F149" s="374"/>
      <c r="G149" s="190"/>
      <c r="H149" s="318" t="s">
        <v>1432</v>
      </c>
      <c r="I149" s="254"/>
      <c r="J149" s="374"/>
      <c r="K149" s="374"/>
      <c r="L149" s="317"/>
      <c r="M149" s="317"/>
      <c r="N149" s="317"/>
      <c r="O149" s="317"/>
    </row>
    <row r="150" spans="1:15" ht="15.75" thickBot="1">
      <c r="A150" s="1"/>
      <c r="B150" s="197"/>
      <c r="C150" s="318" t="s">
        <v>26</v>
      </c>
      <c r="D150" s="374"/>
      <c r="E150" s="438"/>
      <c r="F150" s="374"/>
      <c r="G150" s="193"/>
      <c r="H150" s="319" t="s">
        <v>26</v>
      </c>
      <c r="I150" s="258"/>
      <c r="J150" s="374"/>
      <c r="K150" s="374"/>
      <c r="L150" s="317"/>
      <c r="M150" s="317"/>
      <c r="N150" s="317"/>
      <c r="O150" s="317"/>
    </row>
    <row r="151" spans="1:15" ht="15">
      <c r="A151" s="1"/>
      <c r="B151" s="624" t="s">
        <v>851</v>
      </c>
      <c r="C151" s="318">
        <v>8222343495</v>
      </c>
      <c r="D151" s="374"/>
      <c r="E151" s="438"/>
      <c r="F151" s="374"/>
      <c r="H151" s="316"/>
      <c r="I151" s="316"/>
      <c r="J151" s="316"/>
      <c r="K151" s="316"/>
      <c r="L151" s="317"/>
      <c r="M151" s="317"/>
      <c r="N151" s="317"/>
      <c r="O151" s="317"/>
    </row>
    <row r="152" spans="1:15" ht="15.75" thickBot="1">
      <c r="A152" s="1"/>
      <c r="B152" s="483" t="s">
        <v>1112</v>
      </c>
      <c r="C152" s="319" t="s">
        <v>1720</v>
      </c>
      <c r="D152" s="439"/>
      <c r="E152" s="440"/>
      <c r="F152" s="374"/>
      <c r="H152" s="316"/>
      <c r="I152" s="316"/>
      <c r="J152" s="316"/>
      <c r="K152" s="316"/>
      <c r="L152" s="317"/>
      <c r="M152" s="317"/>
      <c r="N152" s="317"/>
      <c r="O152" s="317"/>
    </row>
    <row r="153" spans="1:15" ht="15">
      <c r="A153" s="1158"/>
      <c r="B153" s="540"/>
      <c r="C153" s="318"/>
      <c r="D153" s="253"/>
      <c r="E153" s="374"/>
      <c r="F153" s="374"/>
      <c r="G153" s="374"/>
      <c r="H153" s="316"/>
      <c r="I153" s="316"/>
      <c r="J153" s="316"/>
      <c r="K153" s="316"/>
      <c r="L153" s="317"/>
      <c r="M153" s="317"/>
      <c r="N153" s="317"/>
      <c r="O153" s="317"/>
    </row>
    <row r="154" spans="1:15" ht="15.75" thickBot="1">
      <c r="A154" s="1158"/>
      <c r="B154" s="540"/>
      <c r="C154" s="318"/>
      <c r="D154" s="253"/>
      <c r="E154" s="374"/>
      <c r="F154" s="374"/>
      <c r="G154" s="374"/>
      <c r="H154" s="316"/>
      <c r="I154" s="316"/>
      <c r="J154" s="316"/>
      <c r="K154" s="316"/>
      <c r="L154" s="317"/>
      <c r="M154" s="317"/>
      <c r="N154" s="317"/>
      <c r="O154" s="317"/>
    </row>
    <row r="155" spans="1:15" ht="37.5" customHeight="1">
      <c r="A155" s="1588" t="s">
        <v>7</v>
      </c>
      <c r="B155" s="1610" t="s">
        <v>664</v>
      </c>
      <c r="C155" s="1599" t="s">
        <v>9</v>
      </c>
      <c r="D155" s="1599" t="s">
        <v>10</v>
      </c>
      <c r="E155" s="1571" t="s">
        <v>665</v>
      </c>
      <c r="F155" s="1571" t="s">
        <v>12</v>
      </c>
      <c r="G155" s="1599" t="s">
        <v>13</v>
      </c>
      <c r="H155" s="1571" t="s">
        <v>14</v>
      </c>
      <c r="I155" s="1571" t="s">
        <v>282</v>
      </c>
      <c r="J155" s="1571" t="s">
        <v>60</v>
      </c>
      <c r="K155" s="1669" t="s">
        <v>666</v>
      </c>
      <c r="L155" s="1672" t="s">
        <v>667</v>
      </c>
      <c r="M155" s="1673"/>
      <c r="N155" s="1673"/>
      <c r="O155" s="1674"/>
    </row>
    <row r="156" spans="1:15" ht="37.5" customHeight="1">
      <c r="A156" s="1589"/>
      <c r="B156" s="1611"/>
      <c r="C156" s="1600"/>
      <c r="D156" s="1600"/>
      <c r="E156" s="1572"/>
      <c r="F156" s="1572"/>
      <c r="G156" s="1600"/>
      <c r="H156" s="1572"/>
      <c r="I156" s="1572"/>
      <c r="J156" s="1572"/>
      <c r="K156" s="1670"/>
      <c r="L156" s="1606" t="s">
        <v>668</v>
      </c>
      <c r="M156" s="1607"/>
      <c r="N156" s="1607"/>
      <c r="O156" s="1608"/>
    </row>
    <row r="157" spans="1:15" ht="37.5" customHeight="1" thickBot="1">
      <c r="A157" s="1590"/>
      <c r="B157" s="1612"/>
      <c r="C157" s="1601"/>
      <c r="D157" s="1601"/>
      <c r="E157" s="1573"/>
      <c r="F157" s="1573"/>
      <c r="G157" s="1601"/>
      <c r="H157" s="1573"/>
      <c r="I157" s="1573"/>
      <c r="J157" s="1573"/>
      <c r="K157" s="1671"/>
      <c r="L157" s="589" t="s">
        <v>669</v>
      </c>
      <c r="M157" s="1373" t="s">
        <v>670</v>
      </c>
      <c r="N157" s="1373" t="s">
        <v>671</v>
      </c>
      <c r="O157" s="1374" t="s">
        <v>17</v>
      </c>
    </row>
    <row r="158" spans="1:15" ht="44.25" thickBot="1">
      <c r="A158" s="1206" t="s">
        <v>27</v>
      </c>
      <c r="B158" s="1462" t="s">
        <v>379</v>
      </c>
      <c r="C158" s="1463" t="s">
        <v>380</v>
      </c>
      <c r="D158" s="1210" t="s">
        <v>381</v>
      </c>
      <c r="E158" s="1210">
        <v>2</v>
      </c>
      <c r="F158" s="1207" t="s">
        <v>382</v>
      </c>
      <c r="G158" s="313" t="s">
        <v>380</v>
      </c>
      <c r="H158" s="1174" t="s">
        <v>383</v>
      </c>
      <c r="I158" s="313">
        <v>39634</v>
      </c>
      <c r="J158" s="87" t="s">
        <v>67</v>
      </c>
      <c r="K158" s="543">
        <v>10</v>
      </c>
      <c r="L158" s="306"/>
      <c r="M158" s="307">
        <f>11071-9891</f>
        <v>1180</v>
      </c>
      <c r="N158" s="307">
        <f>30326-27044</f>
        <v>3282</v>
      </c>
      <c r="O158" s="308">
        <f>SUM(M158:N158)</f>
        <v>4462</v>
      </c>
    </row>
    <row r="159" spans="1:15" ht="15">
      <c r="A159" s="5"/>
      <c r="B159" s="721" t="s">
        <v>23</v>
      </c>
      <c r="C159" s="82" t="s">
        <v>379</v>
      </c>
      <c r="D159" s="11"/>
      <c r="E159" s="12"/>
      <c r="F159" s="56"/>
      <c r="G159" s="721" t="s">
        <v>1719</v>
      </c>
      <c r="H159" s="122" t="s">
        <v>379</v>
      </c>
      <c r="I159" s="12"/>
      <c r="N159" s="307" t="s">
        <v>24</v>
      </c>
      <c r="O159" s="574">
        <f>SUM(O158)</f>
        <v>4462</v>
      </c>
    </row>
    <row r="160" spans="1:9" ht="15">
      <c r="A160" s="1"/>
      <c r="B160" s="571"/>
      <c r="C160" s="70" t="s">
        <v>1748</v>
      </c>
      <c r="D160" s="14"/>
      <c r="E160" s="15"/>
      <c r="F160" s="56"/>
      <c r="G160" s="13"/>
      <c r="H160" s="14" t="s">
        <v>1748</v>
      </c>
      <c r="I160" s="15"/>
    </row>
    <row r="161" spans="1:9" ht="15">
      <c r="A161" s="1"/>
      <c r="B161" s="571"/>
      <c r="C161" s="70" t="s">
        <v>421</v>
      </c>
      <c r="D161" s="14"/>
      <c r="E161" s="15"/>
      <c r="F161" s="56"/>
      <c r="G161" s="13"/>
      <c r="H161" s="14" t="s">
        <v>421</v>
      </c>
      <c r="I161" s="15"/>
    </row>
    <row r="162" spans="1:9" ht="15.75" thickBot="1">
      <c r="A162" s="1"/>
      <c r="B162" s="447" t="s">
        <v>169</v>
      </c>
      <c r="C162" s="726">
        <v>8221935041</v>
      </c>
      <c r="D162" s="17"/>
      <c r="E162" s="18"/>
      <c r="F162" s="14"/>
      <c r="G162" s="73"/>
      <c r="H162" s="17"/>
      <c r="I162" s="18"/>
    </row>
    <row r="163" spans="1:3" ht="14.25">
      <c r="A163" s="1"/>
      <c r="C163" s="1"/>
    </row>
    <row r="164" ht="15" thickBot="1"/>
    <row r="165" spans="1:15" ht="32.25" customHeight="1">
      <c r="A165" s="1588" t="s">
        <v>7</v>
      </c>
      <c r="B165" s="1610" t="s">
        <v>664</v>
      </c>
      <c r="C165" s="1599" t="s">
        <v>9</v>
      </c>
      <c r="D165" s="1599" t="s">
        <v>10</v>
      </c>
      <c r="E165" s="1571" t="s">
        <v>665</v>
      </c>
      <c r="F165" s="1571" t="s">
        <v>12</v>
      </c>
      <c r="G165" s="1599" t="s">
        <v>13</v>
      </c>
      <c r="H165" s="1571" t="s">
        <v>14</v>
      </c>
      <c r="I165" s="1571" t="s">
        <v>282</v>
      </c>
      <c r="J165" s="1571" t="s">
        <v>60</v>
      </c>
      <c r="K165" s="1669" t="s">
        <v>666</v>
      </c>
      <c r="L165" s="1672" t="s">
        <v>667</v>
      </c>
      <c r="M165" s="1673"/>
      <c r="N165" s="1673"/>
      <c r="O165" s="1674"/>
    </row>
    <row r="166" spans="1:15" ht="32.25" customHeight="1">
      <c r="A166" s="1589"/>
      <c r="B166" s="1611"/>
      <c r="C166" s="1600"/>
      <c r="D166" s="1600"/>
      <c r="E166" s="1572"/>
      <c r="F166" s="1572"/>
      <c r="G166" s="1600"/>
      <c r="H166" s="1572"/>
      <c r="I166" s="1572"/>
      <c r="J166" s="1572"/>
      <c r="K166" s="1670"/>
      <c r="L166" s="1606" t="s">
        <v>668</v>
      </c>
      <c r="M166" s="1607"/>
      <c r="N166" s="1607"/>
      <c r="O166" s="1608"/>
    </row>
    <row r="167" spans="1:15" ht="32.25" customHeight="1" thickBot="1">
      <c r="A167" s="1590"/>
      <c r="B167" s="1612"/>
      <c r="C167" s="1601"/>
      <c r="D167" s="1601"/>
      <c r="E167" s="1573"/>
      <c r="F167" s="1573"/>
      <c r="G167" s="1601"/>
      <c r="H167" s="1573"/>
      <c r="I167" s="1573"/>
      <c r="J167" s="1573"/>
      <c r="K167" s="1671"/>
      <c r="L167" s="589" t="s">
        <v>669</v>
      </c>
      <c r="M167" s="1373" t="s">
        <v>670</v>
      </c>
      <c r="N167" s="1373" t="s">
        <v>671</v>
      </c>
      <c r="O167" s="1374" t="s">
        <v>17</v>
      </c>
    </row>
    <row r="168" spans="1:15" ht="43.5" thickBot="1">
      <c r="A168" s="1206" t="s">
        <v>27</v>
      </c>
      <c r="B168" s="1175" t="s">
        <v>384</v>
      </c>
      <c r="C168" s="1173" t="s">
        <v>385</v>
      </c>
      <c r="D168" s="313"/>
      <c r="E168" s="321">
        <v>57</v>
      </c>
      <c r="F168" s="1207" t="s">
        <v>382</v>
      </c>
      <c r="G168" s="321" t="s">
        <v>380</v>
      </c>
      <c r="H168" s="794" t="s">
        <v>386</v>
      </c>
      <c r="I168" s="321">
        <v>9402</v>
      </c>
      <c r="J168" s="87" t="s">
        <v>67</v>
      </c>
      <c r="K168" s="543">
        <v>5</v>
      </c>
      <c r="L168" s="306"/>
      <c r="M168" s="307">
        <f>4232-3711</f>
        <v>521</v>
      </c>
      <c r="N168" s="307">
        <f>11251-9513</f>
        <v>1738</v>
      </c>
      <c r="O168" s="308">
        <f>SUM(M168:N168)</f>
        <v>2259</v>
      </c>
    </row>
    <row r="169" spans="1:15" ht="15">
      <c r="A169" s="5"/>
      <c r="B169" s="721" t="s">
        <v>23</v>
      </c>
      <c r="C169" s="1176" t="s">
        <v>384</v>
      </c>
      <c r="D169" s="11"/>
      <c r="E169" s="12"/>
      <c r="F169" s="56"/>
      <c r="G169" s="721" t="s">
        <v>1719</v>
      </c>
      <c r="H169" s="1176" t="s">
        <v>384</v>
      </c>
      <c r="I169" s="28"/>
      <c r="N169" s="307" t="s">
        <v>24</v>
      </c>
      <c r="O169" s="574">
        <f>SUM(O168)</f>
        <v>2259</v>
      </c>
    </row>
    <row r="170" spans="2:9" ht="15">
      <c r="B170" s="571"/>
      <c r="C170" s="724" t="s">
        <v>385</v>
      </c>
      <c r="D170" s="14"/>
      <c r="E170" s="15"/>
      <c r="F170" s="56"/>
      <c r="G170" s="13"/>
      <c r="H170" s="14" t="s">
        <v>385</v>
      </c>
      <c r="I170" s="29"/>
    </row>
    <row r="171" spans="2:9" ht="15.75" thickBot="1">
      <c r="B171" s="571"/>
      <c r="C171" s="724" t="s">
        <v>421</v>
      </c>
      <c r="D171" s="14"/>
      <c r="E171" s="15"/>
      <c r="F171" s="56"/>
      <c r="G171" s="73"/>
      <c r="H171" s="17" t="s">
        <v>421</v>
      </c>
      <c r="I171" s="30"/>
    </row>
    <row r="172" spans="1:9" ht="15.75" thickBot="1">
      <c r="A172" s="5"/>
      <c r="B172" s="447" t="s">
        <v>169</v>
      </c>
      <c r="C172" s="726">
        <v>8222079609</v>
      </c>
      <c r="D172" s="17"/>
      <c r="E172" s="18"/>
      <c r="F172" s="14"/>
      <c r="G172" s="14"/>
      <c r="H172" s="14"/>
      <c r="I172" s="56"/>
    </row>
    <row r="173" ht="14.25"/>
    <row r="174" ht="14.25"/>
    <row r="175" ht="14.25"/>
    <row r="176" ht="15" thickBot="1"/>
    <row r="177" spans="1:15" ht="41.25" customHeight="1">
      <c r="A177" s="1588" t="s">
        <v>7</v>
      </c>
      <c r="B177" s="1610" t="s">
        <v>664</v>
      </c>
      <c r="C177" s="1599" t="s">
        <v>9</v>
      </c>
      <c r="D177" s="1599" t="s">
        <v>10</v>
      </c>
      <c r="E177" s="1571" t="s">
        <v>665</v>
      </c>
      <c r="F177" s="1571" t="s">
        <v>12</v>
      </c>
      <c r="G177" s="1599" t="s">
        <v>13</v>
      </c>
      <c r="H177" s="1571" t="s">
        <v>14</v>
      </c>
      <c r="I177" s="1571" t="s">
        <v>282</v>
      </c>
      <c r="J177" s="1571" t="s">
        <v>60</v>
      </c>
      <c r="K177" s="1669" t="s">
        <v>666</v>
      </c>
      <c r="L177" s="1672" t="s">
        <v>667</v>
      </c>
      <c r="M177" s="1673"/>
      <c r="N177" s="1673"/>
      <c r="O177" s="1674"/>
    </row>
    <row r="178" spans="1:15" ht="41.25" customHeight="1">
      <c r="A178" s="1589"/>
      <c r="B178" s="1611"/>
      <c r="C178" s="1600"/>
      <c r="D178" s="1600"/>
      <c r="E178" s="1572"/>
      <c r="F178" s="1572"/>
      <c r="G178" s="1600"/>
      <c r="H178" s="1572"/>
      <c r="I178" s="1572"/>
      <c r="J178" s="1572"/>
      <c r="K178" s="1670"/>
      <c r="L178" s="1606" t="s">
        <v>668</v>
      </c>
      <c r="M178" s="1607"/>
      <c r="N178" s="1607"/>
      <c r="O178" s="1608"/>
    </row>
    <row r="179" spans="1:15" ht="41.25" customHeight="1" thickBot="1">
      <c r="A179" s="1590"/>
      <c r="B179" s="1612"/>
      <c r="C179" s="1601"/>
      <c r="D179" s="1601"/>
      <c r="E179" s="1573"/>
      <c r="F179" s="1573"/>
      <c r="G179" s="1601"/>
      <c r="H179" s="1573"/>
      <c r="I179" s="1573"/>
      <c r="J179" s="1573"/>
      <c r="K179" s="1671"/>
      <c r="L179" s="589" t="s">
        <v>669</v>
      </c>
      <c r="M179" s="1373" t="s">
        <v>670</v>
      </c>
      <c r="N179" s="1373" t="s">
        <v>671</v>
      </c>
      <c r="O179" s="1374" t="s">
        <v>17</v>
      </c>
    </row>
    <row r="180" spans="1:15" ht="43.5" thickBot="1">
      <c r="A180" s="1206" t="s">
        <v>27</v>
      </c>
      <c r="B180" s="1464" t="s">
        <v>387</v>
      </c>
      <c r="C180" s="1209" t="s">
        <v>388</v>
      </c>
      <c r="D180" s="1209" t="s">
        <v>389</v>
      </c>
      <c r="E180" s="1211">
        <v>1</v>
      </c>
      <c r="F180" s="1207" t="s">
        <v>382</v>
      </c>
      <c r="G180" s="1211" t="s">
        <v>380</v>
      </c>
      <c r="H180" s="1455" t="s">
        <v>390</v>
      </c>
      <c r="I180" s="321">
        <v>39641</v>
      </c>
      <c r="J180" s="87" t="s">
        <v>67</v>
      </c>
      <c r="K180" s="543">
        <v>6</v>
      </c>
      <c r="L180" s="306"/>
      <c r="M180" s="307">
        <f>984-868</f>
        <v>116</v>
      </c>
      <c r="N180" s="307">
        <f>9471-8539</f>
        <v>932</v>
      </c>
      <c r="O180" s="308">
        <f>SUM(M180:N180)</f>
        <v>1048</v>
      </c>
    </row>
    <row r="181" spans="1:15" ht="15">
      <c r="A181" s="5"/>
      <c r="B181" s="721" t="s">
        <v>23</v>
      </c>
      <c r="C181" s="1176" t="s">
        <v>387</v>
      </c>
      <c r="D181" s="11"/>
      <c r="E181" s="28"/>
      <c r="F181" s="56"/>
      <c r="G181" s="721" t="s">
        <v>1719</v>
      </c>
      <c r="H181" s="1176" t="s">
        <v>387</v>
      </c>
      <c r="I181" s="28"/>
      <c r="N181" s="307" t="s">
        <v>24</v>
      </c>
      <c r="O181" s="574">
        <f>SUM(O180)</f>
        <v>1048</v>
      </c>
    </row>
    <row r="182" spans="2:9" ht="15">
      <c r="B182" s="571"/>
      <c r="C182" s="724" t="s">
        <v>1750</v>
      </c>
      <c r="D182" s="14"/>
      <c r="E182" s="29"/>
      <c r="F182" s="56"/>
      <c r="G182" s="190"/>
      <c r="H182" s="14" t="s">
        <v>1750</v>
      </c>
      <c r="I182" s="29"/>
    </row>
    <row r="183" spans="2:9" ht="15">
      <c r="B183" s="571"/>
      <c r="C183" s="724" t="s">
        <v>1749</v>
      </c>
      <c r="D183" s="14"/>
      <c r="E183" s="29"/>
      <c r="F183" s="56"/>
      <c r="G183" s="190"/>
      <c r="H183" s="14" t="s">
        <v>1749</v>
      </c>
      <c r="I183" s="29"/>
    </row>
    <row r="184" spans="2:9" ht="15.75" thickBot="1">
      <c r="B184" s="190"/>
      <c r="C184" s="724" t="s">
        <v>421</v>
      </c>
      <c r="D184" s="14"/>
      <c r="E184" s="29"/>
      <c r="F184" s="56"/>
      <c r="G184" s="193"/>
      <c r="H184" s="17" t="s">
        <v>421</v>
      </c>
      <c r="I184" s="30"/>
    </row>
    <row r="185" spans="1:8" ht="15.75" thickBot="1">
      <c r="A185" s="5"/>
      <c r="B185" s="447" t="s">
        <v>169</v>
      </c>
      <c r="C185" s="726">
        <v>8222059446</v>
      </c>
      <c r="D185" s="17"/>
      <c r="E185" s="30"/>
      <c r="F185" s="56"/>
      <c r="G185" s="56"/>
      <c r="H185" s="56"/>
    </row>
    <row r="186" ht="15" thickBot="1"/>
    <row r="187" spans="1:15" ht="34.5" customHeight="1">
      <c r="A187" s="1588" t="s">
        <v>7</v>
      </c>
      <c r="B187" s="1610" t="s">
        <v>664</v>
      </c>
      <c r="C187" s="1599" t="s">
        <v>9</v>
      </c>
      <c r="D187" s="1599" t="s">
        <v>10</v>
      </c>
      <c r="E187" s="1571" t="s">
        <v>665</v>
      </c>
      <c r="F187" s="1571" t="s">
        <v>12</v>
      </c>
      <c r="G187" s="1599" t="s">
        <v>13</v>
      </c>
      <c r="H187" s="1571" t="s">
        <v>14</v>
      </c>
      <c r="I187" s="1571" t="s">
        <v>282</v>
      </c>
      <c r="J187" s="1571" t="s">
        <v>60</v>
      </c>
      <c r="K187" s="1669" t="s">
        <v>666</v>
      </c>
      <c r="L187" s="1672" t="s">
        <v>667</v>
      </c>
      <c r="M187" s="1673"/>
      <c r="N187" s="1673"/>
      <c r="O187" s="1674"/>
    </row>
    <row r="188" spans="1:15" ht="34.5" customHeight="1">
      <c r="A188" s="1589"/>
      <c r="B188" s="1611"/>
      <c r="C188" s="1600"/>
      <c r="D188" s="1600"/>
      <c r="E188" s="1572"/>
      <c r="F188" s="1572"/>
      <c r="G188" s="1600"/>
      <c r="H188" s="1572"/>
      <c r="I188" s="1572"/>
      <c r="J188" s="1572"/>
      <c r="K188" s="1670"/>
      <c r="L188" s="1606" t="s">
        <v>668</v>
      </c>
      <c r="M188" s="1607"/>
      <c r="N188" s="1607"/>
      <c r="O188" s="1608"/>
    </row>
    <row r="189" spans="1:15" ht="34.5" customHeight="1" thickBot="1">
      <c r="A189" s="1590"/>
      <c r="B189" s="1612"/>
      <c r="C189" s="1601"/>
      <c r="D189" s="1601"/>
      <c r="E189" s="1573"/>
      <c r="F189" s="1573"/>
      <c r="G189" s="1601"/>
      <c r="H189" s="1573"/>
      <c r="I189" s="1573"/>
      <c r="J189" s="1573"/>
      <c r="K189" s="1671"/>
      <c r="L189" s="589" t="s">
        <v>669</v>
      </c>
      <c r="M189" s="1373" t="s">
        <v>670</v>
      </c>
      <c r="N189" s="1373" t="s">
        <v>671</v>
      </c>
      <c r="O189" s="1374" t="s">
        <v>17</v>
      </c>
    </row>
    <row r="190" spans="1:15" ht="44.25" thickBot="1">
      <c r="A190" s="1206" t="s">
        <v>27</v>
      </c>
      <c r="B190" s="1208" t="s">
        <v>403</v>
      </c>
      <c r="C190" s="1209" t="s">
        <v>404</v>
      </c>
      <c r="D190" s="1210"/>
      <c r="E190" s="1211"/>
      <c r="F190" s="1207" t="s">
        <v>382</v>
      </c>
      <c r="G190" s="1211" t="s">
        <v>380</v>
      </c>
      <c r="H190" s="794" t="s">
        <v>405</v>
      </c>
      <c r="I190" s="321">
        <v>70903601</v>
      </c>
      <c r="J190" s="87" t="s">
        <v>67</v>
      </c>
      <c r="K190" s="543">
        <v>6.6</v>
      </c>
      <c r="L190" s="306"/>
      <c r="M190" s="307">
        <v>40</v>
      </c>
      <c r="N190" s="307">
        <v>90</v>
      </c>
      <c r="O190" s="308">
        <f>SUM(M190:N190)</f>
        <v>130</v>
      </c>
    </row>
    <row r="191" spans="2:15" ht="15">
      <c r="B191" s="721" t="s">
        <v>23</v>
      </c>
      <c r="C191" s="122" t="s">
        <v>403</v>
      </c>
      <c r="D191" s="11"/>
      <c r="E191" s="437"/>
      <c r="F191" s="56"/>
      <c r="G191" s="721" t="s">
        <v>1719</v>
      </c>
      <c r="H191" s="82" t="s">
        <v>403</v>
      </c>
      <c r="I191" s="437"/>
      <c r="J191" s="316"/>
      <c r="K191" s="316"/>
      <c r="L191" s="317"/>
      <c r="M191" s="317"/>
      <c r="N191" s="307" t="s">
        <v>24</v>
      </c>
      <c r="O191" s="574">
        <f>SUM(O190)</f>
        <v>130</v>
      </c>
    </row>
    <row r="192" spans="2:15" ht="15">
      <c r="B192" s="571"/>
      <c r="C192" s="724" t="s">
        <v>1751</v>
      </c>
      <c r="D192" s="14"/>
      <c r="E192" s="438"/>
      <c r="F192" s="56"/>
      <c r="G192" s="1166"/>
      <c r="H192" s="595" t="s">
        <v>1751</v>
      </c>
      <c r="I192" s="438"/>
      <c r="J192" s="316"/>
      <c r="K192" s="316"/>
      <c r="L192" s="317"/>
      <c r="M192" s="317"/>
      <c r="N192" s="317"/>
      <c r="O192" s="317"/>
    </row>
    <row r="193" spans="2:15" ht="15.75" thickBot="1">
      <c r="B193" s="571"/>
      <c r="C193" s="724" t="s">
        <v>421</v>
      </c>
      <c r="D193" s="14"/>
      <c r="E193" s="438"/>
      <c r="F193" s="56"/>
      <c r="G193" s="1167"/>
      <c r="H193" s="1168" t="s">
        <v>421</v>
      </c>
      <c r="I193" s="440"/>
      <c r="J193" s="316"/>
      <c r="K193" s="316"/>
      <c r="L193" s="317"/>
      <c r="M193" s="317"/>
      <c r="N193" s="317"/>
      <c r="O193" s="317"/>
    </row>
    <row r="194" spans="2:15" ht="15.75" thickBot="1">
      <c r="B194" s="447" t="s">
        <v>169</v>
      </c>
      <c r="C194" s="726">
        <v>82221153487</v>
      </c>
      <c r="D194" s="17"/>
      <c r="E194" s="440"/>
      <c r="F194" s="374"/>
      <c r="G194" s="374"/>
      <c r="H194" s="374"/>
      <c r="I194" s="316"/>
      <c r="J194" s="316"/>
      <c r="K194" s="316"/>
      <c r="L194" s="317"/>
      <c r="M194" s="317"/>
      <c r="N194" s="317"/>
      <c r="O194" s="317"/>
    </row>
    <row r="195" spans="1:15" ht="15">
      <c r="A195" s="1158"/>
      <c r="B195" s="540"/>
      <c r="C195" s="318"/>
      <c r="D195" s="253"/>
      <c r="E195" s="374"/>
      <c r="F195" s="374"/>
      <c r="G195" s="374"/>
      <c r="H195" s="316"/>
      <c r="I195" s="316"/>
      <c r="J195" s="316"/>
      <c r="K195" s="316"/>
      <c r="L195" s="317"/>
      <c r="M195" s="317"/>
      <c r="N195" s="317"/>
      <c r="O195" s="317"/>
    </row>
    <row r="196" spans="1:15" ht="15">
      <c r="A196" s="1158"/>
      <c r="B196" s="540"/>
      <c r="C196" s="318"/>
      <c r="D196" s="253"/>
      <c r="E196" s="374"/>
      <c r="F196" s="374"/>
      <c r="G196" s="374"/>
      <c r="H196" s="316"/>
      <c r="I196" s="316"/>
      <c r="J196" s="316"/>
      <c r="K196" s="316"/>
      <c r="L196" s="317"/>
      <c r="M196" s="317"/>
      <c r="N196" s="317"/>
      <c r="O196" s="317"/>
    </row>
    <row r="197" spans="1:15" ht="15">
      <c r="A197" s="1158"/>
      <c r="B197" s="540"/>
      <c r="C197" s="318"/>
      <c r="D197" s="253"/>
      <c r="E197" s="374"/>
      <c r="F197" s="374"/>
      <c r="G197" s="374"/>
      <c r="H197" s="316"/>
      <c r="I197" s="316"/>
      <c r="J197" s="316"/>
      <c r="K197" s="316"/>
      <c r="L197" s="317"/>
      <c r="M197" s="317"/>
      <c r="N197" s="317"/>
      <c r="O197" s="317"/>
    </row>
    <row r="198" spans="1:15" ht="15.75" thickBot="1">
      <c r="A198" s="295"/>
      <c r="B198" s="540"/>
      <c r="C198" s="318"/>
      <c r="D198" s="253"/>
      <c r="E198" s="316"/>
      <c r="F198" s="316"/>
      <c r="G198" s="316"/>
      <c r="H198" s="316"/>
      <c r="I198" s="316"/>
      <c r="J198" s="316"/>
      <c r="K198" s="316"/>
      <c r="L198" s="317"/>
      <c r="M198" s="317"/>
      <c r="N198" s="317"/>
      <c r="O198" s="317"/>
    </row>
    <row r="199" spans="1:21" ht="48" customHeight="1">
      <c r="A199" s="1580" t="s">
        <v>7</v>
      </c>
      <c r="B199" s="1574" t="s">
        <v>8</v>
      </c>
      <c r="C199" s="1574" t="s">
        <v>9</v>
      </c>
      <c r="D199" s="1574" t="s">
        <v>10</v>
      </c>
      <c r="E199" s="1574" t="s">
        <v>11</v>
      </c>
      <c r="F199" s="1574" t="s">
        <v>12</v>
      </c>
      <c r="G199" s="1574" t="s">
        <v>13</v>
      </c>
      <c r="H199" s="1574" t="s">
        <v>15</v>
      </c>
      <c r="I199" s="1574" t="s">
        <v>282</v>
      </c>
      <c r="J199" s="1574" t="s">
        <v>60</v>
      </c>
      <c r="K199" s="1577" t="s">
        <v>16</v>
      </c>
      <c r="L199" s="1570" t="s">
        <v>672</v>
      </c>
      <c r="M199" s="1570"/>
      <c r="N199" s="1570"/>
      <c r="O199" s="1570"/>
      <c r="P199" s="1570" t="s">
        <v>673</v>
      </c>
      <c r="Q199" s="1570"/>
      <c r="R199" s="1570"/>
      <c r="S199" s="1570"/>
      <c r="T199" s="1571" t="s">
        <v>1232</v>
      </c>
      <c r="U199" s="1657" t="s">
        <v>1184</v>
      </c>
    </row>
    <row r="200" spans="1:21" ht="14.25" customHeight="1">
      <c r="A200" s="1581"/>
      <c r="B200" s="1575"/>
      <c r="C200" s="1575"/>
      <c r="D200" s="1575"/>
      <c r="E200" s="1575"/>
      <c r="F200" s="1575"/>
      <c r="G200" s="1575"/>
      <c r="H200" s="1575"/>
      <c r="I200" s="1575"/>
      <c r="J200" s="1575"/>
      <c r="K200" s="1578"/>
      <c r="L200" s="1568" t="s">
        <v>669</v>
      </c>
      <c r="M200" s="1568" t="s">
        <v>670</v>
      </c>
      <c r="N200" s="1568" t="s">
        <v>671</v>
      </c>
      <c r="O200" s="1568" t="s">
        <v>674</v>
      </c>
      <c r="P200" s="1568" t="s">
        <v>669</v>
      </c>
      <c r="Q200" s="1568" t="s">
        <v>670</v>
      </c>
      <c r="R200" s="1568" t="s">
        <v>671</v>
      </c>
      <c r="S200" s="1568" t="s">
        <v>674</v>
      </c>
      <c r="T200" s="1572"/>
      <c r="U200" s="1658"/>
    </row>
    <row r="201" spans="1:21" ht="15" thickBot="1">
      <c r="A201" s="1582"/>
      <c r="B201" s="1576"/>
      <c r="C201" s="1576"/>
      <c r="D201" s="1576"/>
      <c r="E201" s="1576"/>
      <c r="F201" s="1576"/>
      <c r="G201" s="1576"/>
      <c r="H201" s="1576"/>
      <c r="I201" s="1576"/>
      <c r="J201" s="1576"/>
      <c r="K201" s="1579"/>
      <c r="L201" s="1569"/>
      <c r="M201" s="1569"/>
      <c r="N201" s="1569"/>
      <c r="O201" s="1569"/>
      <c r="P201" s="1569"/>
      <c r="Q201" s="1569"/>
      <c r="R201" s="1569"/>
      <c r="S201" s="1569"/>
      <c r="T201" s="1573"/>
      <c r="U201" s="1659"/>
    </row>
    <row r="202" spans="1:21" ht="44.25" thickBot="1">
      <c r="A202" s="1206" t="s">
        <v>18</v>
      </c>
      <c r="B202" s="1144" t="s">
        <v>691</v>
      </c>
      <c r="C202" s="1120" t="s">
        <v>422</v>
      </c>
      <c r="D202" s="1120"/>
      <c r="E202" s="1120"/>
      <c r="F202" s="1207" t="s">
        <v>382</v>
      </c>
      <c r="G202" s="1211" t="s">
        <v>380</v>
      </c>
      <c r="H202" s="1141">
        <v>53587008</v>
      </c>
      <c r="I202" s="187">
        <v>4693710</v>
      </c>
      <c r="J202" s="501" t="s">
        <v>67</v>
      </c>
      <c r="K202" s="187">
        <v>6.6</v>
      </c>
      <c r="L202" s="441"/>
      <c r="M202" s="275">
        <f>3027-2678</f>
        <v>349</v>
      </c>
      <c r="N202" s="275">
        <f>18886-17396</f>
        <v>1490</v>
      </c>
      <c r="O202" s="275">
        <f>M202+N202</f>
        <v>1839</v>
      </c>
      <c r="P202" s="276"/>
      <c r="Q202" s="275">
        <f>3027-2678</f>
        <v>349</v>
      </c>
      <c r="R202" s="275">
        <f>18886-17396</f>
        <v>1490</v>
      </c>
      <c r="S202" s="275">
        <f>Q202+R202</f>
        <v>1839</v>
      </c>
      <c r="T202" s="273" t="s">
        <v>1536</v>
      </c>
      <c r="U202" s="187" t="s">
        <v>1496</v>
      </c>
    </row>
    <row r="203" spans="2:19" ht="15">
      <c r="B203" s="1451" t="s">
        <v>23</v>
      </c>
      <c r="C203" s="315" t="s">
        <v>450</v>
      </c>
      <c r="D203" s="250"/>
      <c r="E203" s="14"/>
      <c r="F203" s="56"/>
      <c r="G203" s="721" t="s">
        <v>1719</v>
      </c>
      <c r="H203" s="12" t="s">
        <v>391</v>
      </c>
      <c r="R203" s="307" t="s">
        <v>24</v>
      </c>
      <c r="S203" s="574">
        <f>SUM(S202)</f>
        <v>1839</v>
      </c>
    </row>
    <row r="204" spans="2:21" s="27" customFormat="1" ht="15">
      <c r="B204" s="624"/>
      <c r="C204" s="318" t="s">
        <v>420</v>
      </c>
      <c r="D204" s="254"/>
      <c r="E204" s="45"/>
      <c r="F204" s="59"/>
      <c r="G204" s="16"/>
      <c r="H204" s="181" t="s">
        <v>420</v>
      </c>
      <c r="I204" s="59"/>
      <c r="J204" s="59"/>
      <c r="K204" s="59"/>
      <c r="L204" s="61"/>
      <c r="M204" s="61"/>
      <c r="N204" s="61"/>
      <c r="O204" s="61"/>
      <c r="P204" s="61"/>
      <c r="Q204" s="61"/>
      <c r="R204" s="61"/>
      <c r="S204" s="61"/>
      <c r="T204" s="68"/>
      <c r="U204" s="59"/>
    </row>
    <row r="205" spans="2:21" s="27" customFormat="1" ht="15.75" thickBot="1">
      <c r="B205" s="624"/>
      <c r="C205" s="318" t="s">
        <v>421</v>
      </c>
      <c r="D205" s="254"/>
      <c r="E205" s="45"/>
      <c r="F205" s="59"/>
      <c r="G205" s="1178"/>
      <c r="H205" s="182" t="s">
        <v>421</v>
      </c>
      <c r="I205" s="59"/>
      <c r="J205" s="59"/>
      <c r="K205" s="59"/>
      <c r="L205" s="61"/>
      <c r="M205" s="61"/>
      <c r="N205" s="61"/>
      <c r="O205" s="61"/>
      <c r="P205" s="61"/>
      <c r="Q205" s="61"/>
      <c r="R205" s="61"/>
      <c r="S205" s="61"/>
      <c r="T205" s="68"/>
      <c r="U205" s="59"/>
    </row>
    <row r="206" spans="2:21" s="27" customFormat="1" ht="15">
      <c r="B206" s="624" t="s">
        <v>169</v>
      </c>
      <c r="C206" s="1351">
        <v>8222147162</v>
      </c>
      <c r="D206" s="254"/>
      <c r="E206" s="45"/>
      <c r="F206" s="59"/>
      <c r="G206" s="45"/>
      <c r="H206" s="45"/>
      <c r="I206" s="59"/>
      <c r="J206" s="59"/>
      <c r="K206" s="59"/>
      <c r="L206" s="61"/>
      <c r="M206" s="61"/>
      <c r="N206" s="61"/>
      <c r="O206" s="61"/>
      <c r="P206" s="61"/>
      <c r="Q206" s="61"/>
      <c r="R206" s="61"/>
      <c r="S206" s="61"/>
      <c r="T206" s="68"/>
      <c r="U206" s="59"/>
    </row>
    <row r="207" spans="1:19" ht="15.75" thickBot="1">
      <c r="A207" s="295"/>
      <c r="B207" s="483"/>
      <c r="C207" s="319"/>
      <c r="D207" s="258"/>
      <c r="E207" s="316"/>
      <c r="F207" s="316"/>
      <c r="G207" s="316"/>
      <c r="H207" s="316"/>
      <c r="I207" s="316"/>
      <c r="J207" s="316"/>
      <c r="K207" s="316"/>
      <c r="L207" s="317"/>
      <c r="M207" s="317" t="s">
        <v>63</v>
      </c>
      <c r="N207" s="317">
        <f>O37+O48+O59+O71+O82+O93+O104+O116+O126+O137+O147+O159+O169+O181+O191+S203</f>
        <v>661241.5</v>
      </c>
      <c r="O207" s="317"/>
      <c r="P207" s="33"/>
      <c r="Q207" s="33"/>
      <c r="R207" s="33"/>
      <c r="S207" s="33"/>
    </row>
    <row r="208" spans="1:19" ht="15.75" thickBot="1">
      <c r="A208" s="295"/>
      <c r="B208" s="540"/>
      <c r="C208" s="318"/>
      <c r="D208" s="253"/>
      <c r="E208" s="316"/>
      <c r="F208" s="316"/>
      <c r="G208" s="316"/>
      <c r="H208" s="316"/>
      <c r="I208" s="316"/>
      <c r="J208" s="316"/>
      <c r="K208" s="316"/>
      <c r="L208" s="317"/>
      <c r="M208" s="317"/>
      <c r="N208" s="317"/>
      <c r="O208" s="317"/>
      <c r="P208" s="33"/>
      <c r="Q208" s="33"/>
      <c r="R208" s="33"/>
      <c r="S208" s="33"/>
    </row>
    <row r="209" spans="2:15" ht="48" customHeight="1">
      <c r="B209" s="316"/>
      <c r="C209" s="320"/>
      <c r="D209" s="316"/>
      <c r="E209" s="316"/>
      <c r="J209" s="327"/>
      <c r="K209" s="1678" t="s">
        <v>60</v>
      </c>
      <c r="L209" s="1680" t="s">
        <v>675</v>
      </c>
      <c r="M209" s="1681"/>
      <c r="N209" s="1682"/>
      <c r="O209" s="1686" t="s">
        <v>61</v>
      </c>
    </row>
    <row r="210" spans="2:15" ht="22.5" customHeight="1" thickBot="1">
      <c r="B210" s="316"/>
      <c r="C210" s="320"/>
      <c r="D210" s="316"/>
      <c r="E210" s="316"/>
      <c r="J210" s="327"/>
      <c r="K210" s="1679"/>
      <c r="L210" s="328" t="s">
        <v>62</v>
      </c>
      <c r="M210" s="328" t="s">
        <v>670</v>
      </c>
      <c r="N210" s="328" t="s">
        <v>671</v>
      </c>
      <c r="O210" s="1687"/>
    </row>
    <row r="211" spans="1:15" ht="16.5" customHeight="1">
      <c r="A211" s="853"/>
      <c r="B211" s="316"/>
      <c r="C211" s="320"/>
      <c r="D211" s="316"/>
      <c r="E211" s="316"/>
      <c r="J211" s="327"/>
      <c r="K211" s="1474" t="s">
        <v>747</v>
      </c>
      <c r="L211" s="1475">
        <f>O36</f>
        <v>10</v>
      </c>
      <c r="M211" s="1476"/>
      <c r="N211" s="1477"/>
      <c r="O211" s="1470">
        <v>1</v>
      </c>
    </row>
    <row r="212" spans="1:15" ht="16.5" customHeight="1">
      <c r="A212" s="853"/>
      <c r="B212" s="316"/>
      <c r="C212" s="320"/>
      <c r="D212" s="316"/>
      <c r="E212" s="316"/>
      <c r="J212" s="327"/>
      <c r="K212" s="1478" t="s">
        <v>1155</v>
      </c>
      <c r="L212" s="862"/>
      <c r="M212" s="863">
        <f>M136</f>
        <v>860</v>
      </c>
      <c r="N212" s="1479">
        <f>N136</f>
        <v>740</v>
      </c>
      <c r="O212" s="1470">
        <v>1</v>
      </c>
    </row>
    <row r="213" spans="2:15" ht="14.25">
      <c r="B213" s="316"/>
      <c r="C213" s="320"/>
      <c r="D213" s="316"/>
      <c r="E213" s="316"/>
      <c r="K213" s="1478" t="s">
        <v>29</v>
      </c>
      <c r="L213" s="868">
        <f>O69+O114+O115+O135+O146</f>
        <v>77102.60000000002</v>
      </c>
      <c r="M213" s="864"/>
      <c r="N213" s="1480"/>
      <c r="O213" s="1471">
        <v>5</v>
      </c>
    </row>
    <row r="214" spans="1:15" ht="14.25">
      <c r="A214" s="853"/>
      <c r="B214" s="316"/>
      <c r="C214" s="320"/>
      <c r="D214" s="316"/>
      <c r="E214" s="316"/>
      <c r="J214" s="329"/>
      <c r="K214" s="1481" t="s">
        <v>67</v>
      </c>
      <c r="L214" s="865"/>
      <c r="M214" s="866">
        <f>M18+M19+M20+M21+M22+M23+M24+M25+M26+M27+M28+M29+M30+M31+M32+M33+M35+M47+M58+M70+M81+M92+M103+M158+M168+M180+M190+Q202</f>
        <v>124784.5</v>
      </c>
      <c r="N214" s="1482">
        <f>N18+N19+N20+N21+N22+N23+N24+N25+N26+N27+N28+N29+N30+N31+N32+N33+N35+N47+N58+N70+N81+N92+N103+N158+N168+N180+N190+R202</f>
        <v>292027</v>
      </c>
      <c r="O214" s="1472">
        <v>28</v>
      </c>
    </row>
    <row r="215" spans="2:15" ht="14.25">
      <c r="B215" s="316"/>
      <c r="C215" s="320"/>
      <c r="D215" s="316"/>
      <c r="E215" s="316"/>
      <c r="J215" s="329"/>
      <c r="K215" s="1483" t="s">
        <v>457</v>
      </c>
      <c r="L215" s="32"/>
      <c r="M215" s="34">
        <f>M125</f>
        <v>3654</v>
      </c>
      <c r="N215" s="338">
        <f>N125</f>
        <v>369</v>
      </c>
      <c r="O215" s="1473">
        <v>1</v>
      </c>
    </row>
    <row r="216" spans="1:15" ht="15" thickBot="1">
      <c r="A216" s="1372"/>
      <c r="B216" s="316"/>
      <c r="C216" s="320"/>
      <c r="D216" s="316"/>
      <c r="E216" s="316"/>
      <c r="J216" s="329"/>
      <c r="K216" s="193" t="s">
        <v>72</v>
      </c>
      <c r="L216" s="477"/>
      <c r="M216" s="340">
        <f>M34</f>
        <v>49313.600000000006</v>
      </c>
      <c r="N216" s="341">
        <f>N34</f>
        <v>112380.79999999999</v>
      </c>
      <c r="O216" s="1473">
        <v>1</v>
      </c>
    </row>
    <row r="217" spans="2:15" ht="15" thickBot="1">
      <c r="B217" s="316"/>
      <c r="C217" s="320"/>
      <c r="D217" s="316"/>
      <c r="E217" s="316"/>
      <c r="J217" s="329"/>
      <c r="K217" s="867" t="s">
        <v>63</v>
      </c>
      <c r="L217" s="1466">
        <f>SUM(L211:L216)</f>
        <v>77112.60000000002</v>
      </c>
      <c r="M217" s="1467">
        <f>SUM(M211:M216)</f>
        <v>178612.1</v>
      </c>
      <c r="N217" s="1468">
        <f>SUM(N211:N216)</f>
        <v>405516.8</v>
      </c>
      <c r="O217" s="1469">
        <f>SUM(O211:O216)</f>
        <v>37</v>
      </c>
    </row>
    <row r="218" spans="10:13" ht="18.75" thickBot="1">
      <c r="J218" s="59"/>
      <c r="L218" s="38" t="s">
        <v>64</v>
      </c>
      <c r="M218" s="681">
        <f>SUM(L217:N217)</f>
        <v>661241.5</v>
      </c>
    </row>
    <row r="229" spans="9:12" ht="14.25">
      <c r="I229" s="33"/>
      <c r="K229"/>
      <c r="L229"/>
    </row>
    <row r="230" spans="9:12" ht="14.25">
      <c r="I230"/>
      <c r="J230"/>
      <c r="K230"/>
      <c r="L230"/>
    </row>
    <row r="231" spans="9:12" ht="14.25">
      <c r="I231"/>
      <c r="K231"/>
      <c r="L231"/>
    </row>
  </sheetData>
  <sheetProtection/>
  <mergeCells count="224">
    <mergeCell ref="G187:G189"/>
    <mergeCell ref="H187:H189"/>
    <mergeCell ref="I187:I189"/>
    <mergeCell ref="J187:J189"/>
    <mergeCell ref="K187:K189"/>
    <mergeCell ref="L187:O187"/>
    <mergeCell ref="L188:O188"/>
    <mergeCell ref="A187:A189"/>
    <mergeCell ref="B187:B189"/>
    <mergeCell ref="C187:C189"/>
    <mergeCell ref="D187:D189"/>
    <mergeCell ref="E187:E189"/>
    <mergeCell ref="F187:F189"/>
    <mergeCell ref="G177:G179"/>
    <mergeCell ref="H177:H179"/>
    <mergeCell ref="I177:I179"/>
    <mergeCell ref="J177:J179"/>
    <mergeCell ref="K177:K179"/>
    <mergeCell ref="L177:O177"/>
    <mergeCell ref="L178:O178"/>
    <mergeCell ref="A177:A179"/>
    <mergeCell ref="B177:B179"/>
    <mergeCell ref="C177:C179"/>
    <mergeCell ref="D177:D179"/>
    <mergeCell ref="E177:E179"/>
    <mergeCell ref="F177:F179"/>
    <mergeCell ref="G165:G167"/>
    <mergeCell ref="H165:H167"/>
    <mergeCell ref="I165:I167"/>
    <mergeCell ref="J165:J167"/>
    <mergeCell ref="K165:K167"/>
    <mergeCell ref="L165:O165"/>
    <mergeCell ref="L166:O166"/>
    <mergeCell ref="A165:A167"/>
    <mergeCell ref="B165:B167"/>
    <mergeCell ref="C165:C167"/>
    <mergeCell ref="D165:D167"/>
    <mergeCell ref="E165:E167"/>
    <mergeCell ref="F165:F167"/>
    <mergeCell ref="G155:G157"/>
    <mergeCell ref="H155:H157"/>
    <mergeCell ref="I155:I157"/>
    <mergeCell ref="J155:J157"/>
    <mergeCell ref="K155:K157"/>
    <mergeCell ref="L155:O155"/>
    <mergeCell ref="L156:O156"/>
    <mergeCell ref="A155:A157"/>
    <mergeCell ref="B155:B157"/>
    <mergeCell ref="C155:C157"/>
    <mergeCell ref="D155:D157"/>
    <mergeCell ref="E155:E157"/>
    <mergeCell ref="F155:F157"/>
    <mergeCell ref="G100:G102"/>
    <mergeCell ref="H100:H102"/>
    <mergeCell ref="I100:I102"/>
    <mergeCell ref="J100:J102"/>
    <mergeCell ref="K100:K102"/>
    <mergeCell ref="L100:O100"/>
    <mergeCell ref="L101:O101"/>
    <mergeCell ref="A100:A102"/>
    <mergeCell ref="B100:B102"/>
    <mergeCell ref="C100:C102"/>
    <mergeCell ref="D100:D102"/>
    <mergeCell ref="E100:E102"/>
    <mergeCell ref="F100:F102"/>
    <mergeCell ref="G89:G91"/>
    <mergeCell ref="H89:H91"/>
    <mergeCell ref="I89:I91"/>
    <mergeCell ref="J89:J91"/>
    <mergeCell ref="K89:K91"/>
    <mergeCell ref="L89:O89"/>
    <mergeCell ref="L90:O90"/>
    <mergeCell ref="A89:A91"/>
    <mergeCell ref="B89:B91"/>
    <mergeCell ref="C89:C91"/>
    <mergeCell ref="D89:D91"/>
    <mergeCell ref="E89:E91"/>
    <mergeCell ref="F89:F91"/>
    <mergeCell ref="G78:G80"/>
    <mergeCell ref="H78:H80"/>
    <mergeCell ref="I78:I80"/>
    <mergeCell ref="J78:J80"/>
    <mergeCell ref="K78:K80"/>
    <mergeCell ref="L78:O78"/>
    <mergeCell ref="L79:O79"/>
    <mergeCell ref="A78:A80"/>
    <mergeCell ref="B78:B80"/>
    <mergeCell ref="C78:C80"/>
    <mergeCell ref="D78:D80"/>
    <mergeCell ref="E78:E80"/>
    <mergeCell ref="F78:F80"/>
    <mergeCell ref="G66:G68"/>
    <mergeCell ref="H66:H68"/>
    <mergeCell ref="I66:I68"/>
    <mergeCell ref="J66:J68"/>
    <mergeCell ref="K66:K68"/>
    <mergeCell ref="L66:O66"/>
    <mergeCell ref="L67:O67"/>
    <mergeCell ref="A66:A68"/>
    <mergeCell ref="B66:B68"/>
    <mergeCell ref="C66:C68"/>
    <mergeCell ref="D66:D68"/>
    <mergeCell ref="E66:E68"/>
    <mergeCell ref="F66:F68"/>
    <mergeCell ref="G55:G57"/>
    <mergeCell ref="H55:H57"/>
    <mergeCell ref="I55:I57"/>
    <mergeCell ref="J55:J57"/>
    <mergeCell ref="K55:K57"/>
    <mergeCell ref="L55:O55"/>
    <mergeCell ref="L56:O56"/>
    <mergeCell ref="A55:A57"/>
    <mergeCell ref="B55:B57"/>
    <mergeCell ref="C55:C57"/>
    <mergeCell ref="D55:D57"/>
    <mergeCell ref="E55:E57"/>
    <mergeCell ref="F55:F57"/>
    <mergeCell ref="G44:G46"/>
    <mergeCell ref="H44:H46"/>
    <mergeCell ref="I44:I46"/>
    <mergeCell ref="J44:J46"/>
    <mergeCell ref="K44:K46"/>
    <mergeCell ref="L44:O44"/>
    <mergeCell ref="L45:O45"/>
    <mergeCell ref="A44:A46"/>
    <mergeCell ref="B44:B46"/>
    <mergeCell ref="C44:C46"/>
    <mergeCell ref="D44:D46"/>
    <mergeCell ref="E44:E46"/>
    <mergeCell ref="F44:F46"/>
    <mergeCell ref="G132:G134"/>
    <mergeCell ref="H132:H134"/>
    <mergeCell ref="I132:I134"/>
    <mergeCell ref="J132:J134"/>
    <mergeCell ref="K132:K134"/>
    <mergeCell ref="L132:O132"/>
    <mergeCell ref="L133:O133"/>
    <mergeCell ref="A132:A134"/>
    <mergeCell ref="B132:B134"/>
    <mergeCell ref="C132:C134"/>
    <mergeCell ref="D132:D134"/>
    <mergeCell ref="E132:E134"/>
    <mergeCell ref="F132:F134"/>
    <mergeCell ref="G122:G124"/>
    <mergeCell ref="H122:H124"/>
    <mergeCell ref="I122:I124"/>
    <mergeCell ref="J122:J124"/>
    <mergeCell ref="K122:K124"/>
    <mergeCell ref="L122:O122"/>
    <mergeCell ref="L123:O123"/>
    <mergeCell ref="A122:A124"/>
    <mergeCell ref="B122:B124"/>
    <mergeCell ref="C122:C124"/>
    <mergeCell ref="D122:D124"/>
    <mergeCell ref="E122:E124"/>
    <mergeCell ref="F122:F124"/>
    <mergeCell ref="A111:A113"/>
    <mergeCell ref="B111:B113"/>
    <mergeCell ref="C111:C113"/>
    <mergeCell ref="D111:D113"/>
    <mergeCell ref="E111:E113"/>
    <mergeCell ref="F111:F113"/>
    <mergeCell ref="A15:A17"/>
    <mergeCell ref="B15:B17"/>
    <mergeCell ref="C15:C17"/>
    <mergeCell ref="D15:D17"/>
    <mergeCell ref="E15:E17"/>
    <mergeCell ref="F15:F17"/>
    <mergeCell ref="O209:O210"/>
    <mergeCell ref="L16:O16"/>
    <mergeCell ref="G15:G17"/>
    <mergeCell ref="H15:H17"/>
    <mergeCell ref="I15:I17"/>
    <mergeCell ref="J15:J17"/>
    <mergeCell ref="K15:K17"/>
    <mergeCell ref="L15:O15"/>
    <mergeCell ref="L111:O111"/>
    <mergeCell ref="L112:O112"/>
    <mergeCell ref="B3:I3"/>
    <mergeCell ref="B5:I5"/>
    <mergeCell ref="B1:I1"/>
    <mergeCell ref="K209:K210"/>
    <mergeCell ref="L209:N209"/>
    <mergeCell ref="G111:G113"/>
    <mergeCell ref="H111:H113"/>
    <mergeCell ref="I111:I113"/>
    <mergeCell ref="J111:J113"/>
    <mergeCell ref="K111:K113"/>
    <mergeCell ref="A199:A201"/>
    <mergeCell ref="B199:B201"/>
    <mergeCell ref="C199:C201"/>
    <mergeCell ref="D199:D201"/>
    <mergeCell ref="E199:E201"/>
    <mergeCell ref="F199:F201"/>
    <mergeCell ref="R200:R201"/>
    <mergeCell ref="G199:G201"/>
    <mergeCell ref="H199:H201"/>
    <mergeCell ref="I199:I201"/>
    <mergeCell ref="J199:J201"/>
    <mergeCell ref="K199:K201"/>
    <mergeCell ref="L199:O199"/>
    <mergeCell ref="S200:S201"/>
    <mergeCell ref="P199:S199"/>
    <mergeCell ref="T199:T201"/>
    <mergeCell ref="U199:U201"/>
    <mergeCell ref="L200:L201"/>
    <mergeCell ref="M200:M201"/>
    <mergeCell ref="N200:N201"/>
    <mergeCell ref="O200:O201"/>
    <mergeCell ref="P200:P201"/>
    <mergeCell ref="Q200:Q201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J143:J145"/>
    <mergeCell ref="K143:K145"/>
    <mergeCell ref="L143:O143"/>
    <mergeCell ref="L144:O144"/>
  </mergeCells>
  <printOptions/>
  <pageMargins left="0.7" right="0.7" top="0.75" bottom="0.75" header="0.3" footer="0.3"/>
  <pageSetup horizontalDpi="600" verticalDpi="600" orientation="portrait" paperSize="9" r:id="rId1"/>
  <ignoredErrors>
    <ignoredError sqref="O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124"/>
  <sheetViews>
    <sheetView zoomScale="80" zoomScaleNormal="80" zoomScalePageLayoutView="0" workbookViewId="0" topLeftCell="A103">
      <selection activeCell="B107" sqref="B107:H111"/>
    </sheetView>
  </sheetViews>
  <sheetFormatPr defaultColWidth="8.796875" defaultRowHeight="14.25"/>
  <cols>
    <col min="1" max="1" width="11.5" style="1" customWidth="1"/>
    <col min="2" max="2" width="20.19921875" style="1" customWidth="1"/>
    <col min="3" max="3" width="15.59765625" style="1" customWidth="1"/>
    <col min="4" max="4" width="13.5" style="1" customWidth="1"/>
    <col min="5" max="5" width="11.09765625" style="1" customWidth="1"/>
    <col min="6" max="6" width="11.3984375" style="1" customWidth="1"/>
    <col min="7" max="7" width="17.09765625" style="1" customWidth="1"/>
    <col min="8" max="8" width="26.19921875" style="1" customWidth="1"/>
    <col min="9" max="9" width="15.5" style="1" customWidth="1"/>
    <col min="10" max="10" width="11.69921875" style="1" customWidth="1"/>
    <col min="11" max="11" width="11.19921875" style="5" customWidth="1"/>
    <col min="12" max="12" width="14.3984375" style="1" customWidth="1"/>
    <col min="13" max="13" width="13.8984375" style="1" customWidth="1"/>
    <col min="14" max="14" width="16.8984375" style="1" customWidth="1"/>
    <col min="15" max="15" width="19.19921875" style="1" customWidth="1"/>
    <col min="16" max="16" width="19.09765625" style="1" customWidth="1"/>
    <col min="17" max="17" width="19.69921875" style="1" customWidth="1"/>
    <col min="18" max="18" width="14.5" style="1" customWidth="1"/>
    <col min="19" max="19" width="14.69921875" style="1" customWidth="1"/>
    <col min="20" max="20" width="23.5" style="1" customWidth="1"/>
    <col min="21" max="21" width="22.59765625" style="1" customWidth="1"/>
    <col min="22" max="16384" width="9" style="1" customWidth="1"/>
  </cols>
  <sheetData>
    <row r="1" spans="2:15" ht="18">
      <c r="B1" s="1609" t="s">
        <v>1231</v>
      </c>
      <c r="C1" s="1609"/>
      <c r="D1" s="1609"/>
      <c r="E1" s="1609"/>
      <c r="F1" s="1609"/>
      <c r="G1" s="1609"/>
      <c r="H1" s="1609"/>
      <c r="I1" s="1609"/>
      <c r="L1" s="7"/>
      <c r="N1" s="33"/>
      <c r="O1" s="33"/>
    </row>
    <row r="2" spans="8:15" ht="14.25">
      <c r="H2" s="295"/>
      <c r="K2" s="295"/>
      <c r="L2" s="7"/>
      <c r="N2" s="33"/>
      <c r="O2" s="33"/>
    </row>
    <row r="3" spans="2:15" ht="29.25" customHeight="1">
      <c r="B3" s="1642" t="s">
        <v>730</v>
      </c>
      <c r="C3" s="1643"/>
      <c r="D3" s="1643"/>
      <c r="E3" s="1643"/>
      <c r="F3" s="1643"/>
      <c r="G3" s="1643"/>
      <c r="H3" s="1643"/>
      <c r="I3" s="1644"/>
      <c r="K3" s="295"/>
      <c r="L3" s="7"/>
      <c r="N3" s="33"/>
      <c r="O3" s="33"/>
    </row>
    <row r="4" spans="2:15" ht="15">
      <c r="B4" s="487"/>
      <c r="C4" s="487"/>
      <c r="D4" s="487"/>
      <c r="E4" s="487"/>
      <c r="F4" s="487"/>
      <c r="G4" s="487"/>
      <c r="H4" s="487"/>
      <c r="I4" s="487"/>
      <c r="K4" s="295"/>
      <c r="L4" s="7"/>
      <c r="N4" s="33"/>
      <c r="O4" s="33"/>
    </row>
    <row r="5" spans="2:15" ht="15">
      <c r="B5" s="1605" t="s">
        <v>1103</v>
      </c>
      <c r="C5" s="1605"/>
      <c r="D5" s="1605"/>
      <c r="E5" s="1605"/>
      <c r="F5" s="1605"/>
      <c r="G5" s="1605"/>
      <c r="H5" s="1605"/>
      <c r="I5" s="1605"/>
      <c r="K5" s="295"/>
      <c r="L5" s="7"/>
      <c r="N5" s="33"/>
      <c r="O5" s="33"/>
    </row>
    <row r="6" spans="2:15" ht="20.25">
      <c r="B6" s="487"/>
      <c r="C6" s="487"/>
      <c r="D6" s="487"/>
      <c r="E6" s="487"/>
      <c r="F6" s="487"/>
      <c r="G6" s="487"/>
      <c r="H6" s="490"/>
      <c r="I6" s="489"/>
      <c r="J6" s="64"/>
      <c r="L6" s="7"/>
      <c r="N6" s="33"/>
      <c r="O6" s="33"/>
    </row>
    <row r="7" spans="2:15" ht="15.75">
      <c r="B7" s="488" t="s">
        <v>1</v>
      </c>
      <c r="C7" s="489"/>
      <c r="D7" s="487"/>
      <c r="E7" s="487"/>
      <c r="F7" s="487"/>
      <c r="G7" s="489"/>
      <c r="H7" s="490"/>
      <c r="I7" s="489"/>
      <c r="L7" s="7"/>
      <c r="N7" s="33"/>
      <c r="O7" s="33"/>
    </row>
    <row r="8" spans="2:15" ht="15.75">
      <c r="B8" s="1389" t="s">
        <v>1833</v>
      </c>
      <c r="C8" s="489"/>
      <c r="D8" s="487"/>
      <c r="E8" s="487"/>
      <c r="F8" s="487"/>
      <c r="G8" s="489"/>
      <c r="H8" s="490"/>
      <c r="I8" s="489"/>
      <c r="L8" s="7"/>
      <c r="N8" s="33"/>
      <c r="O8" s="33"/>
    </row>
    <row r="9" spans="2:15" ht="15.75">
      <c r="B9" s="491" t="s">
        <v>1535</v>
      </c>
      <c r="C9" s="489"/>
      <c r="D9" s="492"/>
      <c r="E9" s="487"/>
      <c r="F9" s="487"/>
      <c r="G9" s="489"/>
      <c r="H9" s="490"/>
      <c r="I9" s="489"/>
      <c r="L9" s="7"/>
      <c r="N9" s="33"/>
      <c r="O9" s="33"/>
    </row>
    <row r="10" spans="2:15" ht="15.75">
      <c r="B10" s="491" t="s">
        <v>1096</v>
      </c>
      <c r="C10" s="489"/>
      <c r="D10" s="492"/>
      <c r="E10" s="487"/>
      <c r="F10" s="487"/>
      <c r="G10" s="489"/>
      <c r="H10" s="490"/>
      <c r="I10" s="489"/>
      <c r="L10" s="7"/>
      <c r="N10" s="33"/>
      <c r="O10" s="33"/>
    </row>
    <row r="11" spans="2:15" ht="15">
      <c r="B11" s="489" t="s">
        <v>727</v>
      </c>
      <c r="C11" s="489"/>
      <c r="D11" s="489"/>
      <c r="E11" s="489"/>
      <c r="F11" s="489"/>
      <c r="G11" s="489"/>
      <c r="H11" s="490"/>
      <c r="I11" s="489"/>
      <c r="L11" s="7"/>
      <c r="N11" s="33"/>
      <c r="O11" s="33"/>
    </row>
    <row r="12" spans="2:15" ht="15.75">
      <c r="B12" s="493"/>
      <c r="C12" s="494"/>
      <c r="D12" s="492"/>
      <c r="E12" s="492"/>
      <c r="F12" s="492"/>
      <c r="G12" s="492"/>
      <c r="H12" s="489"/>
      <c r="I12" s="489"/>
      <c r="L12" s="7"/>
      <c r="N12" s="33"/>
      <c r="O12" s="33"/>
    </row>
    <row r="13" spans="2:15" ht="15.75">
      <c r="B13" s="493" t="s">
        <v>5</v>
      </c>
      <c r="C13" s="488" t="s">
        <v>6</v>
      </c>
      <c r="D13" s="492"/>
      <c r="E13" s="492"/>
      <c r="F13" s="492"/>
      <c r="G13" s="492"/>
      <c r="H13" s="489"/>
      <c r="I13" s="489"/>
      <c r="L13" s="7"/>
      <c r="N13" s="33"/>
      <c r="O13" s="33"/>
    </row>
    <row r="14" spans="1:15" ht="15" thickBot="1">
      <c r="A14" s="59"/>
      <c r="B14" s="59"/>
      <c r="C14" s="58"/>
      <c r="D14" s="59"/>
      <c r="E14" s="59"/>
      <c r="F14" s="59"/>
      <c r="G14" s="59"/>
      <c r="L14" s="7"/>
      <c r="N14" s="33"/>
      <c r="O14" s="33"/>
    </row>
    <row r="15" spans="1:15" ht="39.75" customHeight="1">
      <c r="A15" s="1588" t="s">
        <v>7</v>
      </c>
      <c r="B15" s="1591" t="s">
        <v>664</v>
      </c>
      <c r="C15" s="1594" t="s">
        <v>9</v>
      </c>
      <c r="D15" s="1594" t="s">
        <v>10</v>
      </c>
      <c r="E15" s="1574" t="s">
        <v>844</v>
      </c>
      <c r="F15" s="1574" t="s">
        <v>12</v>
      </c>
      <c r="G15" s="1594" t="s">
        <v>13</v>
      </c>
      <c r="H15" s="1574" t="s">
        <v>14</v>
      </c>
      <c r="I15" s="1574" t="s">
        <v>282</v>
      </c>
      <c r="J15" s="1574" t="s">
        <v>60</v>
      </c>
      <c r="K15" s="1583" t="s">
        <v>666</v>
      </c>
      <c r="L15" s="1640" t="s">
        <v>667</v>
      </c>
      <c r="M15" s="1634"/>
      <c r="N15" s="1634"/>
      <c r="O15" s="1641"/>
    </row>
    <row r="16" spans="1:15" ht="40.5" customHeight="1">
      <c r="A16" s="1589"/>
      <c r="B16" s="1592"/>
      <c r="C16" s="1595"/>
      <c r="D16" s="1595"/>
      <c r="E16" s="1575"/>
      <c r="F16" s="1575"/>
      <c r="G16" s="1595"/>
      <c r="H16" s="1575"/>
      <c r="I16" s="1613"/>
      <c r="J16" s="1575"/>
      <c r="K16" s="1584"/>
      <c r="L16" s="1597" t="s">
        <v>668</v>
      </c>
      <c r="M16" s="1568"/>
      <c r="N16" s="1568"/>
      <c r="O16" s="1598"/>
    </row>
    <row r="17" spans="1:15" ht="33.75" customHeight="1" thickBot="1">
      <c r="A17" s="1590"/>
      <c r="B17" s="1593"/>
      <c r="C17" s="1596"/>
      <c r="D17" s="1596"/>
      <c r="E17" s="1576"/>
      <c r="F17" s="1576"/>
      <c r="G17" s="1596"/>
      <c r="H17" s="1576"/>
      <c r="I17" s="1614"/>
      <c r="J17" s="1576"/>
      <c r="K17" s="1585"/>
      <c r="L17" s="270" t="s">
        <v>669</v>
      </c>
      <c r="M17" s="277" t="s">
        <v>670</v>
      </c>
      <c r="N17" s="277" t="s">
        <v>671</v>
      </c>
      <c r="O17" s="272" t="s">
        <v>17</v>
      </c>
    </row>
    <row r="18" spans="1:15" ht="18">
      <c r="A18" s="660" t="s">
        <v>27</v>
      </c>
      <c r="B18" s="3" t="s">
        <v>234</v>
      </c>
      <c r="C18" s="65" t="s">
        <v>451</v>
      </c>
      <c r="D18" s="4" t="s">
        <v>194</v>
      </c>
      <c r="E18" s="205">
        <v>6</v>
      </c>
      <c r="F18" s="205" t="s">
        <v>452</v>
      </c>
      <c r="G18" s="206" t="s">
        <v>451</v>
      </c>
      <c r="H18" s="805" t="s">
        <v>453</v>
      </c>
      <c r="I18" s="260">
        <v>43890</v>
      </c>
      <c r="J18" s="87" t="s">
        <v>67</v>
      </c>
      <c r="K18" s="8">
        <v>2</v>
      </c>
      <c r="L18" s="207"/>
      <c r="M18" s="208">
        <f>965-609</f>
        <v>356</v>
      </c>
      <c r="N18" s="208">
        <f>1917-1212</f>
        <v>705</v>
      </c>
      <c r="O18" s="208">
        <f>SUM(M18:N18)</f>
        <v>1061</v>
      </c>
    </row>
    <row r="19" spans="1:15" ht="18">
      <c r="A19" s="660" t="s">
        <v>27</v>
      </c>
      <c r="B19" s="3" t="s">
        <v>454</v>
      </c>
      <c r="C19" s="65" t="s">
        <v>451</v>
      </c>
      <c r="D19" s="4" t="s">
        <v>455</v>
      </c>
      <c r="E19" s="131"/>
      <c r="F19" s="205" t="s">
        <v>452</v>
      </c>
      <c r="G19" s="206" t="s">
        <v>451</v>
      </c>
      <c r="H19" s="805" t="s">
        <v>456</v>
      </c>
      <c r="I19" s="260">
        <v>70907588</v>
      </c>
      <c r="J19" s="392" t="s">
        <v>457</v>
      </c>
      <c r="K19" s="8">
        <v>6</v>
      </c>
      <c r="L19" s="209"/>
      <c r="M19" s="210">
        <f>20824-17556</f>
        <v>3268</v>
      </c>
      <c r="N19" s="210">
        <f>14301-12168</f>
        <v>2133</v>
      </c>
      <c r="O19" s="210">
        <f>SUM(M19:N19)</f>
        <v>5401</v>
      </c>
    </row>
    <row r="20" spans="1:15" ht="18">
      <c r="A20" s="660" t="s">
        <v>27</v>
      </c>
      <c r="B20" s="3" t="s">
        <v>458</v>
      </c>
      <c r="C20" s="65" t="s">
        <v>459</v>
      </c>
      <c r="D20" s="65" t="s">
        <v>459</v>
      </c>
      <c r="E20" s="4" t="s">
        <v>460</v>
      </c>
      <c r="F20" s="205" t="s">
        <v>452</v>
      </c>
      <c r="G20" s="206" t="s">
        <v>451</v>
      </c>
      <c r="H20" s="805" t="s">
        <v>461</v>
      </c>
      <c r="I20" s="260">
        <v>70907949</v>
      </c>
      <c r="J20" s="392" t="s">
        <v>457</v>
      </c>
      <c r="K20" s="8">
        <v>14</v>
      </c>
      <c r="L20" s="209"/>
      <c r="M20" s="211">
        <f>11909-9576</f>
        <v>2333</v>
      </c>
      <c r="N20" s="211">
        <f>8702-7052</f>
        <v>1650</v>
      </c>
      <c r="O20" s="211">
        <f>SUM(M20:N20)</f>
        <v>3983</v>
      </c>
    </row>
    <row r="21" spans="1:15" ht="29.25">
      <c r="A21" s="660" t="s">
        <v>27</v>
      </c>
      <c r="B21" s="65" t="s">
        <v>147</v>
      </c>
      <c r="C21" s="65" t="s">
        <v>451</v>
      </c>
      <c r="D21" s="206" t="s">
        <v>455</v>
      </c>
      <c r="E21" s="131"/>
      <c r="F21" s="205" t="s">
        <v>452</v>
      </c>
      <c r="G21" s="206" t="s">
        <v>451</v>
      </c>
      <c r="H21" s="805" t="s">
        <v>462</v>
      </c>
      <c r="I21" s="555">
        <v>70542809</v>
      </c>
      <c r="J21" s="395" t="s">
        <v>29</v>
      </c>
      <c r="K21" s="8">
        <v>3.2</v>
      </c>
      <c r="L21" s="210">
        <f>2847-2718</f>
        <v>129</v>
      </c>
      <c r="M21" s="209"/>
      <c r="N21" s="209"/>
      <c r="O21" s="213">
        <f>L21</f>
        <v>129</v>
      </c>
    </row>
    <row r="22" spans="1:15" ht="29.25">
      <c r="A22" s="660" t="s">
        <v>27</v>
      </c>
      <c r="B22" s="65" t="s">
        <v>147</v>
      </c>
      <c r="C22" s="65" t="s">
        <v>451</v>
      </c>
      <c r="D22" s="65" t="s">
        <v>30</v>
      </c>
      <c r="E22" s="131"/>
      <c r="F22" s="205" t="s">
        <v>452</v>
      </c>
      <c r="G22" s="206" t="s">
        <v>451</v>
      </c>
      <c r="H22" s="805" t="s">
        <v>463</v>
      </c>
      <c r="I22" s="555">
        <v>37268</v>
      </c>
      <c r="J22" s="395" t="s">
        <v>29</v>
      </c>
      <c r="K22" s="8">
        <v>7.9</v>
      </c>
      <c r="L22" s="210">
        <f>23110-20154</f>
        <v>2956</v>
      </c>
      <c r="M22" s="209"/>
      <c r="N22" s="209"/>
      <c r="O22" s="213">
        <f aca="true" t="shared" si="0" ref="O22:O29">L22</f>
        <v>2956</v>
      </c>
    </row>
    <row r="23" spans="1:15" ht="29.25">
      <c r="A23" s="660" t="s">
        <v>27</v>
      </c>
      <c r="B23" s="65" t="s">
        <v>147</v>
      </c>
      <c r="C23" s="65" t="s">
        <v>451</v>
      </c>
      <c r="D23" s="206"/>
      <c r="E23" s="131"/>
      <c r="F23" s="205" t="s">
        <v>452</v>
      </c>
      <c r="G23" s="206" t="s">
        <v>451</v>
      </c>
      <c r="H23" s="805" t="s">
        <v>464</v>
      </c>
      <c r="I23" s="555">
        <v>70750549</v>
      </c>
      <c r="J23" s="395" t="s">
        <v>29</v>
      </c>
      <c r="K23" s="8">
        <v>10</v>
      </c>
      <c r="L23" s="210">
        <f>1385-1125</f>
        <v>260</v>
      </c>
      <c r="M23" s="209"/>
      <c r="N23" s="209"/>
      <c r="O23" s="213">
        <f t="shared" si="0"/>
        <v>260</v>
      </c>
    </row>
    <row r="24" spans="1:15" ht="29.25">
      <c r="A24" s="660" t="s">
        <v>27</v>
      </c>
      <c r="B24" s="65" t="s">
        <v>147</v>
      </c>
      <c r="C24" s="65" t="s">
        <v>451</v>
      </c>
      <c r="D24" s="206"/>
      <c r="E24" s="131"/>
      <c r="F24" s="205" t="s">
        <v>452</v>
      </c>
      <c r="G24" s="206" t="s">
        <v>451</v>
      </c>
      <c r="H24" s="805" t="s">
        <v>465</v>
      </c>
      <c r="I24" s="555">
        <v>70529820</v>
      </c>
      <c r="J24" s="395" t="s">
        <v>29</v>
      </c>
      <c r="K24" s="8">
        <v>4</v>
      </c>
      <c r="L24" s="210">
        <f>9869-9528</f>
        <v>341</v>
      </c>
      <c r="M24" s="209"/>
      <c r="N24" s="209"/>
      <c r="O24" s="213">
        <f t="shared" si="0"/>
        <v>341</v>
      </c>
    </row>
    <row r="25" spans="1:15" ht="29.25">
      <c r="A25" s="660" t="s">
        <v>27</v>
      </c>
      <c r="B25" s="65" t="s">
        <v>147</v>
      </c>
      <c r="C25" s="65" t="s">
        <v>451</v>
      </c>
      <c r="D25" s="206"/>
      <c r="E25" s="131"/>
      <c r="F25" s="205" t="s">
        <v>452</v>
      </c>
      <c r="G25" s="206" t="s">
        <v>451</v>
      </c>
      <c r="H25" s="805" t="s">
        <v>466</v>
      </c>
      <c r="I25" s="555">
        <v>70907473</v>
      </c>
      <c r="J25" s="395" t="s">
        <v>29</v>
      </c>
      <c r="K25" s="8">
        <v>4</v>
      </c>
      <c r="L25" s="210">
        <f>1972-1560</f>
        <v>412</v>
      </c>
      <c r="M25" s="209"/>
      <c r="N25" s="209"/>
      <c r="O25" s="213">
        <f t="shared" si="0"/>
        <v>412</v>
      </c>
    </row>
    <row r="26" spans="1:15" ht="29.25">
      <c r="A26" s="660" t="s">
        <v>27</v>
      </c>
      <c r="B26" s="65" t="s">
        <v>147</v>
      </c>
      <c r="C26" s="65" t="s">
        <v>451</v>
      </c>
      <c r="D26" s="206" t="s">
        <v>455</v>
      </c>
      <c r="E26" s="131"/>
      <c r="F26" s="205" t="s">
        <v>452</v>
      </c>
      <c r="G26" s="206" t="s">
        <v>451</v>
      </c>
      <c r="H26" s="805" t="s">
        <v>467</v>
      </c>
      <c r="I26" s="555">
        <v>14114644</v>
      </c>
      <c r="J26" s="395" t="s">
        <v>29</v>
      </c>
      <c r="K26" s="8">
        <v>2.4</v>
      </c>
      <c r="L26" s="210">
        <f>17137-13744</f>
        <v>3393</v>
      </c>
      <c r="M26" s="209"/>
      <c r="N26" s="209"/>
      <c r="O26" s="213">
        <f t="shared" si="0"/>
        <v>3393</v>
      </c>
    </row>
    <row r="27" spans="1:15" ht="29.25">
      <c r="A27" s="660" t="s">
        <v>27</v>
      </c>
      <c r="B27" s="65" t="s">
        <v>147</v>
      </c>
      <c r="C27" s="65" t="s">
        <v>451</v>
      </c>
      <c r="D27" s="206" t="s">
        <v>455</v>
      </c>
      <c r="E27" s="131"/>
      <c r="F27" s="205" t="s">
        <v>452</v>
      </c>
      <c r="G27" s="206" t="s">
        <v>451</v>
      </c>
      <c r="H27" s="805" t="s">
        <v>468</v>
      </c>
      <c r="I27" s="555">
        <v>70541782</v>
      </c>
      <c r="J27" s="395" t="s">
        <v>29</v>
      </c>
      <c r="K27" s="8">
        <v>3.2</v>
      </c>
      <c r="L27" s="210">
        <f>877-709</f>
        <v>168</v>
      </c>
      <c r="M27" s="209"/>
      <c r="N27" s="209"/>
      <c r="O27" s="213">
        <f t="shared" si="0"/>
        <v>168</v>
      </c>
    </row>
    <row r="28" spans="1:15" ht="29.25">
      <c r="A28" s="660" t="s">
        <v>27</v>
      </c>
      <c r="B28" s="65" t="s">
        <v>147</v>
      </c>
      <c r="C28" s="65" t="s">
        <v>451</v>
      </c>
      <c r="D28" s="206"/>
      <c r="E28" s="131"/>
      <c r="F28" s="205" t="s">
        <v>452</v>
      </c>
      <c r="G28" s="206" t="s">
        <v>451</v>
      </c>
      <c r="H28" s="805" t="s">
        <v>469</v>
      </c>
      <c r="I28" s="555">
        <v>70907918</v>
      </c>
      <c r="J28" s="395" t="s">
        <v>29</v>
      </c>
      <c r="K28" s="8">
        <v>4.2</v>
      </c>
      <c r="L28" s="210">
        <f>7987-6774</f>
        <v>1213</v>
      </c>
      <c r="M28" s="209"/>
      <c r="N28" s="209"/>
      <c r="O28" s="213">
        <f t="shared" si="0"/>
        <v>1213</v>
      </c>
    </row>
    <row r="29" spans="1:15" ht="29.25">
      <c r="A29" s="660" t="s">
        <v>27</v>
      </c>
      <c r="B29" s="65" t="s">
        <v>147</v>
      </c>
      <c r="C29" s="65" t="s">
        <v>451</v>
      </c>
      <c r="D29" s="65" t="s">
        <v>872</v>
      </c>
      <c r="E29" s="131"/>
      <c r="F29" s="205" t="s">
        <v>452</v>
      </c>
      <c r="G29" s="206" t="s">
        <v>451</v>
      </c>
      <c r="H29" s="805" t="s">
        <v>470</v>
      </c>
      <c r="I29" s="555">
        <v>70511161</v>
      </c>
      <c r="J29" s="395" t="s">
        <v>29</v>
      </c>
      <c r="K29" s="8">
        <v>2.1</v>
      </c>
      <c r="L29" s="210">
        <f>3136-3033</f>
        <v>103</v>
      </c>
      <c r="M29" s="209"/>
      <c r="N29" s="209"/>
      <c r="O29" s="213">
        <f t="shared" si="0"/>
        <v>103</v>
      </c>
    </row>
    <row r="30" spans="1:15" ht="18">
      <c r="A30" s="660" t="s">
        <v>27</v>
      </c>
      <c r="B30" s="3" t="s">
        <v>471</v>
      </c>
      <c r="C30" s="65" t="s">
        <v>870</v>
      </c>
      <c r="D30" s="4"/>
      <c r="E30" s="131" t="s">
        <v>871</v>
      </c>
      <c r="F30" s="205" t="s">
        <v>452</v>
      </c>
      <c r="G30" s="206" t="s">
        <v>451</v>
      </c>
      <c r="H30" s="805" t="s">
        <v>472</v>
      </c>
      <c r="I30" s="260">
        <v>30640</v>
      </c>
      <c r="J30" s="395" t="s">
        <v>29</v>
      </c>
      <c r="K30" s="115">
        <v>2.2</v>
      </c>
      <c r="L30" s="34">
        <f>533-488</f>
        <v>45</v>
      </c>
      <c r="M30" s="214"/>
      <c r="N30" s="35"/>
      <c r="O30" s="34">
        <f aca="true" t="shared" si="1" ref="O30:O37">L30</f>
        <v>45</v>
      </c>
    </row>
    <row r="31" spans="1:15" ht="29.25">
      <c r="A31" s="660" t="s">
        <v>27</v>
      </c>
      <c r="B31" s="3" t="s">
        <v>147</v>
      </c>
      <c r="C31" s="4" t="s">
        <v>451</v>
      </c>
      <c r="D31" s="4" t="s">
        <v>473</v>
      </c>
      <c r="E31" s="131"/>
      <c r="F31" s="205" t="s">
        <v>452</v>
      </c>
      <c r="G31" s="206" t="s">
        <v>451</v>
      </c>
      <c r="H31" s="805" t="s">
        <v>474</v>
      </c>
      <c r="I31" s="260">
        <v>70830651</v>
      </c>
      <c r="J31" s="395" t="s">
        <v>29</v>
      </c>
      <c r="K31" s="8">
        <v>3</v>
      </c>
      <c r="L31" s="34">
        <f>2814-2413</f>
        <v>401</v>
      </c>
      <c r="M31" s="214"/>
      <c r="N31" s="35"/>
      <c r="O31" s="34">
        <f t="shared" si="1"/>
        <v>401</v>
      </c>
    </row>
    <row r="32" spans="1:15" ht="18">
      <c r="A32" s="660" t="s">
        <v>27</v>
      </c>
      <c r="B32" s="3" t="s">
        <v>234</v>
      </c>
      <c r="C32" s="4" t="s">
        <v>451</v>
      </c>
      <c r="D32" s="4" t="s">
        <v>475</v>
      </c>
      <c r="E32" s="115">
        <v>6</v>
      </c>
      <c r="F32" s="205" t="s">
        <v>452</v>
      </c>
      <c r="G32" s="206" t="s">
        <v>451</v>
      </c>
      <c r="H32" s="805" t="s">
        <v>476</v>
      </c>
      <c r="I32" s="260">
        <v>70853676</v>
      </c>
      <c r="J32" s="395" t="s">
        <v>29</v>
      </c>
      <c r="K32" s="8">
        <v>7</v>
      </c>
      <c r="L32" s="34">
        <f>60417-49076</f>
        <v>11341</v>
      </c>
      <c r="M32" s="214"/>
      <c r="N32" s="35"/>
      <c r="O32" s="34">
        <f t="shared" si="1"/>
        <v>11341</v>
      </c>
    </row>
    <row r="33" spans="1:15" ht="86.25" customHeight="1">
      <c r="A33" s="660" t="s">
        <v>27</v>
      </c>
      <c r="B33" s="811" t="s">
        <v>480</v>
      </c>
      <c r="C33" s="206" t="s">
        <v>459</v>
      </c>
      <c r="D33" s="24"/>
      <c r="E33" s="24">
        <v>44</v>
      </c>
      <c r="F33" s="205" t="s">
        <v>452</v>
      </c>
      <c r="G33" s="212" t="s">
        <v>451</v>
      </c>
      <c r="H33" s="719" t="s">
        <v>868</v>
      </c>
      <c r="I33" s="555">
        <v>31083</v>
      </c>
      <c r="J33" s="397" t="s">
        <v>29</v>
      </c>
      <c r="K33" s="26">
        <v>2.2</v>
      </c>
      <c r="L33" s="34">
        <f>255-202</f>
        <v>53</v>
      </c>
      <c r="M33" s="219"/>
      <c r="N33" s="32"/>
      <c r="O33" s="220">
        <f t="shared" si="1"/>
        <v>53</v>
      </c>
    </row>
    <row r="34" spans="1:15" ht="28.5">
      <c r="A34" s="660" t="s">
        <v>27</v>
      </c>
      <c r="B34" s="811" t="s">
        <v>349</v>
      </c>
      <c r="C34" s="48" t="s">
        <v>451</v>
      </c>
      <c r="D34" s="4" t="s">
        <v>194</v>
      </c>
      <c r="E34" s="4">
        <v>24</v>
      </c>
      <c r="F34" s="4" t="s">
        <v>452</v>
      </c>
      <c r="G34" s="4" t="s">
        <v>451</v>
      </c>
      <c r="H34" s="750" t="s">
        <v>1375</v>
      </c>
      <c r="I34" s="4">
        <v>30637</v>
      </c>
      <c r="J34" s="31" t="s">
        <v>747</v>
      </c>
      <c r="K34" s="178">
        <v>4</v>
      </c>
      <c r="L34" s="34">
        <f>5616-3935</f>
        <v>1681</v>
      </c>
      <c r="M34" s="35"/>
      <c r="N34" s="35"/>
      <c r="O34" s="34">
        <f t="shared" si="1"/>
        <v>1681</v>
      </c>
    </row>
    <row r="35" spans="1:15" ht="18">
      <c r="A35" s="660" t="s">
        <v>27</v>
      </c>
      <c r="B35" s="551"/>
      <c r="C35" s="48" t="s">
        <v>451</v>
      </c>
      <c r="D35" s="4" t="s">
        <v>194</v>
      </c>
      <c r="E35" s="4">
        <v>1</v>
      </c>
      <c r="F35" s="4" t="s">
        <v>452</v>
      </c>
      <c r="G35" s="4" t="s">
        <v>451</v>
      </c>
      <c r="H35" s="750" t="s">
        <v>1376</v>
      </c>
      <c r="I35" s="4">
        <v>13767238</v>
      </c>
      <c r="J35" s="31" t="s">
        <v>747</v>
      </c>
      <c r="K35" s="178">
        <v>2</v>
      </c>
      <c r="L35" s="34">
        <f>14555-14555</f>
        <v>0</v>
      </c>
      <c r="M35" s="35"/>
      <c r="N35" s="35"/>
      <c r="O35" s="34">
        <f t="shared" si="1"/>
        <v>0</v>
      </c>
    </row>
    <row r="36" spans="1:15" ht="18">
      <c r="A36" s="660" t="s">
        <v>27</v>
      </c>
      <c r="B36" s="551"/>
      <c r="C36" s="48" t="s">
        <v>488</v>
      </c>
      <c r="D36" s="4"/>
      <c r="E36" s="4" t="s">
        <v>1197</v>
      </c>
      <c r="F36" s="4" t="s">
        <v>452</v>
      </c>
      <c r="G36" s="4" t="s">
        <v>451</v>
      </c>
      <c r="H36" s="750" t="s">
        <v>1377</v>
      </c>
      <c r="I36" s="4">
        <v>20676704</v>
      </c>
      <c r="J36" s="31" t="s">
        <v>747</v>
      </c>
      <c r="K36" s="178">
        <v>2</v>
      </c>
      <c r="L36" s="34">
        <f>1299-1299</f>
        <v>0</v>
      </c>
      <c r="M36" s="35"/>
      <c r="N36" s="35"/>
      <c r="O36" s="34">
        <f t="shared" si="1"/>
        <v>0</v>
      </c>
    </row>
    <row r="37" spans="1:15" ht="30" thickBot="1">
      <c r="A37" s="660" t="s">
        <v>27</v>
      </c>
      <c r="B37" s="811" t="s">
        <v>1198</v>
      </c>
      <c r="C37" s="47" t="s">
        <v>1199</v>
      </c>
      <c r="D37" s="4"/>
      <c r="E37" s="4"/>
      <c r="F37" s="4" t="s">
        <v>452</v>
      </c>
      <c r="G37" s="4" t="s">
        <v>451</v>
      </c>
      <c r="H37" s="1067" t="s">
        <v>1380</v>
      </c>
      <c r="I37" s="4">
        <v>1356180</v>
      </c>
      <c r="J37" s="389" t="s">
        <v>1200</v>
      </c>
      <c r="K37" s="178">
        <v>36</v>
      </c>
      <c r="L37" s="34">
        <f>(6208.13-2591.49)*15</f>
        <v>54249.600000000006</v>
      </c>
      <c r="M37" s="35"/>
      <c r="N37" s="35"/>
      <c r="O37" s="34">
        <f t="shared" si="1"/>
        <v>54249.600000000006</v>
      </c>
    </row>
    <row r="38" spans="2:15" ht="18.75" customHeight="1">
      <c r="B38" s="662" t="s">
        <v>23</v>
      </c>
      <c r="C38" s="229" t="s">
        <v>477</v>
      </c>
      <c r="D38" s="231"/>
      <c r="G38" s="721" t="s">
        <v>1719</v>
      </c>
      <c r="H38" s="1217" t="s">
        <v>477</v>
      </c>
      <c r="M38" s="33"/>
      <c r="N38" s="34" t="s">
        <v>24</v>
      </c>
      <c r="O38" s="574">
        <f>SUM(O18:O37)</f>
        <v>87190.6</v>
      </c>
    </row>
    <row r="39" spans="2:8" ht="14.25">
      <c r="B39" s="217"/>
      <c r="C39" s="215" t="s">
        <v>478</v>
      </c>
      <c r="D39" s="216"/>
      <c r="G39" s="190"/>
      <c r="H39" s="1218" t="s">
        <v>478</v>
      </c>
    </row>
    <row r="40" spans="2:13" ht="15" thickBot="1">
      <c r="B40" s="217"/>
      <c r="C40" s="215" t="s">
        <v>502</v>
      </c>
      <c r="D40" s="216"/>
      <c r="G40" s="193"/>
      <c r="H40" s="1219" t="s">
        <v>502</v>
      </c>
      <c r="L40" s="33"/>
      <c r="M40" s="33"/>
    </row>
    <row r="41" spans="2:4" ht="14.25">
      <c r="B41" s="217"/>
      <c r="C41" s="215" t="s">
        <v>479</v>
      </c>
      <c r="D41" s="216"/>
    </row>
    <row r="42" spans="2:4" ht="15.75" thickBot="1">
      <c r="B42" s="447" t="s">
        <v>1112</v>
      </c>
      <c r="C42" s="99" t="s">
        <v>1187</v>
      </c>
      <c r="D42" s="30"/>
    </row>
    <row r="43" spans="2:11" ht="15">
      <c r="B43" s="595"/>
      <c r="C43" s="70"/>
      <c r="D43" s="56"/>
      <c r="K43" s="1203"/>
    </row>
    <row r="44" spans="2:11" ht="15.75" thickBot="1">
      <c r="B44" s="595"/>
      <c r="C44" s="70"/>
      <c r="D44" s="56"/>
      <c r="K44" s="1203"/>
    </row>
    <row r="45" spans="1:15" ht="37.5" customHeight="1">
      <c r="A45" s="1588" t="s">
        <v>7</v>
      </c>
      <c r="B45" s="1591" t="s">
        <v>664</v>
      </c>
      <c r="C45" s="1594" t="s">
        <v>9</v>
      </c>
      <c r="D45" s="1594" t="s">
        <v>10</v>
      </c>
      <c r="E45" s="1574" t="s">
        <v>665</v>
      </c>
      <c r="F45" s="1574" t="s">
        <v>12</v>
      </c>
      <c r="G45" s="1594" t="s">
        <v>13</v>
      </c>
      <c r="H45" s="1574" t="s">
        <v>14</v>
      </c>
      <c r="I45" s="1574" t="s">
        <v>282</v>
      </c>
      <c r="J45" s="1574" t="s">
        <v>60</v>
      </c>
      <c r="K45" s="1583" t="s">
        <v>666</v>
      </c>
      <c r="L45" s="1640" t="s">
        <v>667</v>
      </c>
      <c r="M45" s="1634"/>
      <c r="N45" s="1634"/>
      <c r="O45" s="1641"/>
    </row>
    <row r="46" spans="1:15" ht="37.5" customHeight="1">
      <c r="A46" s="1589"/>
      <c r="B46" s="1592"/>
      <c r="C46" s="1595"/>
      <c r="D46" s="1595"/>
      <c r="E46" s="1575"/>
      <c r="F46" s="1575"/>
      <c r="G46" s="1595"/>
      <c r="H46" s="1575"/>
      <c r="I46" s="1613"/>
      <c r="J46" s="1575"/>
      <c r="K46" s="1584"/>
      <c r="L46" s="1597" t="s">
        <v>668</v>
      </c>
      <c r="M46" s="1568"/>
      <c r="N46" s="1568"/>
      <c r="O46" s="1598"/>
    </row>
    <row r="47" spans="1:15" ht="37.5" customHeight="1" thickBot="1">
      <c r="A47" s="1590"/>
      <c r="B47" s="1593"/>
      <c r="C47" s="1596"/>
      <c r="D47" s="1596"/>
      <c r="E47" s="1576"/>
      <c r="F47" s="1576"/>
      <c r="G47" s="1596"/>
      <c r="H47" s="1576"/>
      <c r="I47" s="1614"/>
      <c r="J47" s="1576"/>
      <c r="K47" s="1585"/>
      <c r="L47" s="589" t="s">
        <v>669</v>
      </c>
      <c r="M47" s="1204" t="s">
        <v>670</v>
      </c>
      <c r="N47" s="1204" t="s">
        <v>671</v>
      </c>
      <c r="O47" s="1205" t="s">
        <v>17</v>
      </c>
    </row>
    <row r="48" spans="1:15" ht="44.25" thickBot="1">
      <c r="A48" s="660" t="s">
        <v>27</v>
      </c>
      <c r="B48" s="1228" t="s">
        <v>487</v>
      </c>
      <c r="C48" s="1229" t="s">
        <v>488</v>
      </c>
      <c r="D48" s="804"/>
      <c r="E48" s="800">
        <v>36</v>
      </c>
      <c r="F48" s="1220" t="s">
        <v>452</v>
      </c>
      <c r="G48" s="1222" t="s">
        <v>451</v>
      </c>
      <c r="H48" s="1223" t="s">
        <v>489</v>
      </c>
      <c r="I48" s="1224">
        <v>70921275</v>
      </c>
      <c r="J48" s="1225" t="s">
        <v>29</v>
      </c>
      <c r="K48" s="26">
        <v>40</v>
      </c>
      <c r="L48" s="34">
        <f>211982-169580</f>
        <v>42402</v>
      </c>
      <c r="M48" s="223"/>
      <c r="N48" s="32"/>
      <c r="O48" s="220">
        <f>L48</f>
        <v>42402</v>
      </c>
    </row>
    <row r="49" spans="2:15" ht="15">
      <c r="B49" s="662" t="s">
        <v>23</v>
      </c>
      <c r="C49" s="229" t="s">
        <v>477</v>
      </c>
      <c r="D49" s="231"/>
      <c r="E49" s="253"/>
      <c r="F49" s="253"/>
      <c r="G49" s="721" t="s">
        <v>1719</v>
      </c>
      <c r="H49" s="1226" t="s">
        <v>487</v>
      </c>
      <c r="I49" s="268"/>
      <c r="J49" s="28"/>
      <c r="K49" s="1203"/>
      <c r="N49" s="34" t="s">
        <v>24</v>
      </c>
      <c r="O49" s="574">
        <f>SUM(O48)</f>
        <v>42402</v>
      </c>
    </row>
    <row r="50" spans="2:11" ht="15">
      <c r="B50" s="217"/>
      <c r="C50" s="215" t="s">
        <v>478</v>
      </c>
      <c r="D50" s="216"/>
      <c r="E50" s="253"/>
      <c r="F50" s="253"/>
      <c r="G50" s="197"/>
      <c r="H50" s="253" t="s">
        <v>1768</v>
      </c>
      <c r="I50" s="56"/>
      <c r="J50" s="29"/>
      <c r="K50" s="1203"/>
    </row>
    <row r="51" spans="2:11" ht="15">
      <c r="B51" s="217"/>
      <c r="C51" s="215" t="s">
        <v>502</v>
      </c>
      <c r="D51" s="216"/>
      <c r="E51" s="253"/>
      <c r="F51" s="253"/>
      <c r="G51" s="197"/>
      <c r="H51" s="1221" t="s">
        <v>488</v>
      </c>
      <c r="I51" s="56"/>
      <c r="J51" s="29"/>
      <c r="K51" s="1203"/>
    </row>
    <row r="52" spans="2:11" ht="15.75" thickBot="1">
      <c r="B52" s="217"/>
      <c r="C52" s="215" t="s">
        <v>479</v>
      </c>
      <c r="D52" s="216"/>
      <c r="E52" s="253"/>
      <c r="F52" s="253"/>
      <c r="G52" s="198"/>
      <c r="H52" s="1227" t="s">
        <v>484</v>
      </c>
      <c r="I52" s="233"/>
      <c r="J52" s="30"/>
      <c r="K52" s="1203"/>
    </row>
    <row r="53" spans="2:11" ht="15.75" thickBot="1">
      <c r="B53" s="447" t="s">
        <v>1112</v>
      </c>
      <c r="C53" s="99" t="s">
        <v>1187</v>
      </c>
      <c r="D53" s="258"/>
      <c r="E53" s="253"/>
      <c r="F53" s="253"/>
      <c r="G53" s="253"/>
      <c r="H53" s="253"/>
      <c r="I53" s="56"/>
      <c r="J53" s="56"/>
      <c r="K53" s="1203"/>
    </row>
    <row r="54" spans="2:11" ht="15">
      <c r="B54" s="595"/>
      <c r="C54" s="70"/>
      <c r="D54" s="56"/>
      <c r="K54" s="1203"/>
    </row>
    <row r="55" ht="15" thickBot="1"/>
    <row r="56" spans="1:15" ht="45" customHeight="1">
      <c r="A56" s="1588" t="s">
        <v>7</v>
      </c>
      <c r="B56" s="1591" t="s">
        <v>664</v>
      </c>
      <c r="C56" s="1594" t="s">
        <v>9</v>
      </c>
      <c r="D56" s="1594" t="s">
        <v>10</v>
      </c>
      <c r="E56" s="1574" t="s">
        <v>665</v>
      </c>
      <c r="F56" s="1574" t="s">
        <v>12</v>
      </c>
      <c r="G56" s="1594" t="s">
        <v>13</v>
      </c>
      <c r="H56" s="1574" t="s">
        <v>14</v>
      </c>
      <c r="I56" s="1574" t="s">
        <v>282</v>
      </c>
      <c r="J56" s="1574" t="s">
        <v>60</v>
      </c>
      <c r="K56" s="1583" t="s">
        <v>666</v>
      </c>
      <c r="L56" s="1640" t="s">
        <v>667</v>
      </c>
      <c r="M56" s="1634"/>
      <c r="N56" s="1634"/>
      <c r="O56" s="1641"/>
    </row>
    <row r="57" spans="1:15" ht="40.5" customHeight="1">
      <c r="A57" s="1589"/>
      <c r="B57" s="1592"/>
      <c r="C57" s="1595"/>
      <c r="D57" s="1595"/>
      <c r="E57" s="1575"/>
      <c r="F57" s="1575"/>
      <c r="G57" s="1595"/>
      <c r="H57" s="1575"/>
      <c r="I57" s="1613"/>
      <c r="J57" s="1575"/>
      <c r="K57" s="1584"/>
      <c r="L57" s="1597" t="s">
        <v>668</v>
      </c>
      <c r="M57" s="1568"/>
      <c r="N57" s="1568"/>
      <c r="O57" s="1598"/>
    </row>
    <row r="58" spans="1:15" ht="31.5" customHeight="1" thickBot="1">
      <c r="A58" s="1590"/>
      <c r="B58" s="1593"/>
      <c r="C58" s="1596"/>
      <c r="D58" s="1596"/>
      <c r="E58" s="1576"/>
      <c r="F58" s="1576"/>
      <c r="G58" s="1596"/>
      <c r="H58" s="1576"/>
      <c r="I58" s="1614"/>
      <c r="J58" s="1576"/>
      <c r="K58" s="1585"/>
      <c r="L58" s="270" t="s">
        <v>669</v>
      </c>
      <c r="M58" s="277" t="s">
        <v>670</v>
      </c>
      <c r="N58" s="277" t="s">
        <v>671</v>
      </c>
      <c r="O58" s="272" t="s">
        <v>17</v>
      </c>
    </row>
    <row r="59" spans="1:15" ht="28.5">
      <c r="A59" s="660" t="s">
        <v>27</v>
      </c>
      <c r="B59" s="651" t="s">
        <v>481</v>
      </c>
      <c r="C59" s="226" t="s">
        <v>451</v>
      </c>
      <c r="D59" s="22" t="s">
        <v>194</v>
      </c>
      <c r="E59" s="24">
        <v>24</v>
      </c>
      <c r="F59" s="205" t="s">
        <v>452</v>
      </c>
      <c r="G59" s="212" t="s">
        <v>451</v>
      </c>
      <c r="H59" s="719" t="s">
        <v>482</v>
      </c>
      <c r="I59" s="555">
        <v>4143400</v>
      </c>
      <c r="J59" s="390" t="s">
        <v>22</v>
      </c>
      <c r="K59" s="26">
        <v>21</v>
      </c>
      <c r="L59" s="34">
        <v>25300</v>
      </c>
      <c r="M59" s="223"/>
      <c r="N59" s="32"/>
      <c r="O59" s="1066">
        <f>L59</f>
        <v>25300</v>
      </c>
    </row>
    <row r="60" spans="1:15" ht="29.25" thickBot="1">
      <c r="A60" s="660" t="s">
        <v>27</v>
      </c>
      <c r="B60" s="651" t="s">
        <v>481</v>
      </c>
      <c r="C60" s="206" t="s">
        <v>451</v>
      </c>
      <c r="D60" s="22" t="s">
        <v>194</v>
      </c>
      <c r="E60" s="24">
        <v>24</v>
      </c>
      <c r="F60" s="205" t="s">
        <v>452</v>
      </c>
      <c r="G60" s="212" t="s">
        <v>451</v>
      </c>
      <c r="H60" s="719" t="s">
        <v>869</v>
      </c>
      <c r="I60" s="555">
        <v>70831636</v>
      </c>
      <c r="J60" s="397" t="s">
        <v>29</v>
      </c>
      <c r="K60" s="26">
        <v>20</v>
      </c>
      <c r="L60" s="34">
        <f>120080-96680</f>
        <v>23400</v>
      </c>
      <c r="M60" s="219"/>
      <c r="N60" s="32"/>
      <c r="O60" s="220">
        <f>L60</f>
        <v>23400</v>
      </c>
    </row>
    <row r="61" spans="2:15" ht="15">
      <c r="B61" s="662" t="s">
        <v>23</v>
      </c>
      <c r="C61" s="229" t="s">
        <v>477</v>
      </c>
      <c r="D61" s="231"/>
      <c r="G61" s="721" t="s">
        <v>1719</v>
      </c>
      <c r="H61" s="661" t="s">
        <v>481</v>
      </c>
      <c r="N61" s="4" t="s">
        <v>24</v>
      </c>
      <c r="O61" s="574">
        <f>SUM(O59:O60)</f>
        <v>48700</v>
      </c>
    </row>
    <row r="62" spans="2:8" ht="14.25">
      <c r="B62" s="217"/>
      <c r="C62" s="215" t="s">
        <v>478</v>
      </c>
      <c r="D62" s="216"/>
      <c r="H62" s="224" t="s">
        <v>483</v>
      </c>
    </row>
    <row r="63" spans="2:12" ht="14.25">
      <c r="B63" s="217"/>
      <c r="C63" s="215" t="s">
        <v>502</v>
      </c>
      <c r="D63" s="216"/>
      <c r="H63" s="224" t="s">
        <v>484</v>
      </c>
      <c r="L63" s="33"/>
    </row>
    <row r="64" spans="2:4" ht="14.25">
      <c r="B64" s="217"/>
      <c r="C64" s="215" t="s">
        <v>479</v>
      </c>
      <c r="D64" s="216"/>
    </row>
    <row r="65" spans="2:11" ht="15.75" thickBot="1">
      <c r="B65" s="447" t="s">
        <v>1112</v>
      </c>
      <c r="C65" s="99" t="s">
        <v>1187</v>
      </c>
      <c r="D65" s="30"/>
      <c r="K65" s="295"/>
    </row>
    <row r="66" spans="2:4" ht="15" thickBot="1">
      <c r="B66" s="225"/>
      <c r="C66" s="224"/>
      <c r="D66" s="225"/>
    </row>
    <row r="67" spans="1:15" ht="45" customHeight="1">
      <c r="A67" s="1588" t="s">
        <v>7</v>
      </c>
      <c r="B67" s="1591" t="s">
        <v>664</v>
      </c>
      <c r="C67" s="1594" t="s">
        <v>9</v>
      </c>
      <c r="D67" s="1594" t="s">
        <v>10</v>
      </c>
      <c r="E67" s="1574" t="s">
        <v>665</v>
      </c>
      <c r="F67" s="1574" t="s">
        <v>12</v>
      </c>
      <c r="G67" s="1594" t="s">
        <v>13</v>
      </c>
      <c r="H67" s="1574" t="s">
        <v>14</v>
      </c>
      <c r="I67" s="1574" t="s">
        <v>282</v>
      </c>
      <c r="J67" s="1574" t="s">
        <v>60</v>
      </c>
      <c r="K67" s="1583" t="s">
        <v>666</v>
      </c>
      <c r="L67" s="1640" t="s">
        <v>667</v>
      </c>
      <c r="M67" s="1634"/>
      <c r="N67" s="1634"/>
      <c r="O67" s="1641"/>
    </row>
    <row r="68" spans="1:15" ht="40.5" customHeight="1">
      <c r="A68" s="1589"/>
      <c r="B68" s="1592"/>
      <c r="C68" s="1595"/>
      <c r="D68" s="1595"/>
      <c r="E68" s="1575"/>
      <c r="F68" s="1575"/>
      <c r="G68" s="1595"/>
      <c r="H68" s="1575"/>
      <c r="I68" s="1613"/>
      <c r="J68" s="1575"/>
      <c r="K68" s="1584"/>
      <c r="L68" s="1597" t="s">
        <v>668</v>
      </c>
      <c r="M68" s="1568"/>
      <c r="N68" s="1568"/>
      <c r="O68" s="1598"/>
    </row>
    <row r="69" spans="1:15" ht="33.75" customHeight="1" thickBot="1">
      <c r="A69" s="1590"/>
      <c r="B69" s="1593"/>
      <c r="C69" s="1596"/>
      <c r="D69" s="1596"/>
      <c r="E69" s="1576"/>
      <c r="F69" s="1576"/>
      <c r="G69" s="1596"/>
      <c r="H69" s="1576"/>
      <c r="I69" s="1614"/>
      <c r="J69" s="1576"/>
      <c r="K69" s="1585"/>
      <c r="L69" s="270" t="s">
        <v>669</v>
      </c>
      <c r="M69" s="277" t="s">
        <v>670</v>
      </c>
      <c r="N69" s="277" t="s">
        <v>671</v>
      </c>
      <c r="O69" s="272" t="s">
        <v>17</v>
      </c>
    </row>
    <row r="70" spans="1:15" ht="62.25" customHeight="1" thickBot="1">
      <c r="A70" s="660" t="s">
        <v>27</v>
      </c>
      <c r="B70" s="23" t="s">
        <v>1767</v>
      </c>
      <c r="C70" s="226" t="s">
        <v>485</v>
      </c>
      <c r="D70" s="6"/>
      <c r="E70" s="22">
        <v>68</v>
      </c>
      <c r="F70" s="227" t="s">
        <v>452</v>
      </c>
      <c r="G70" s="228" t="s">
        <v>451</v>
      </c>
      <c r="H70" s="750" t="s">
        <v>486</v>
      </c>
      <c r="I70" s="555">
        <v>70907586</v>
      </c>
      <c r="J70" s="397" t="s">
        <v>29</v>
      </c>
      <c r="K70" s="26">
        <v>6.6</v>
      </c>
      <c r="L70" s="34">
        <f>34855-28814</f>
        <v>6041</v>
      </c>
      <c r="M70" s="223"/>
      <c r="N70" s="32"/>
      <c r="O70" s="220">
        <f>L70</f>
        <v>6041</v>
      </c>
    </row>
    <row r="71" spans="2:15" ht="15">
      <c r="B71" s="662" t="s">
        <v>23</v>
      </c>
      <c r="C71" s="229" t="s">
        <v>477</v>
      </c>
      <c r="D71" s="231"/>
      <c r="E71" s="230"/>
      <c r="F71" s="230"/>
      <c r="G71" s="721" t="s">
        <v>1719</v>
      </c>
      <c r="H71" s="229" t="s">
        <v>1770</v>
      </c>
      <c r="N71" s="4" t="s">
        <v>24</v>
      </c>
      <c r="O71" s="574">
        <f>SUM(O70)</f>
        <v>6041</v>
      </c>
    </row>
    <row r="72" spans="2:15" ht="14.25">
      <c r="B72" s="217"/>
      <c r="C72" s="215" t="s">
        <v>478</v>
      </c>
      <c r="D72" s="216"/>
      <c r="E72" s="225"/>
      <c r="F72" s="225"/>
      <c r="G72" s="216"/>
      <c r="H72" s="1" t="s">
        <v>1769</v>
      </c>
      <c r="K72" s="295"/>
      <c r="N72" s="56"/>
      <c r="O72" s="72"/>
    </row>
    <row r="73" spans="2:8" ht="14.25">
      <c r="B73" s="217"/>
      <c r="C73" s="215" t="s">
        <v>502</v>
      </c>
      <c r="D73" s="216"/>
      <c r="E73" s="225"/>
      <c r="F73" s="225"/>
      <c r="G73" s="216"/>
      <c r="H73" s="1" t="s">
        <v>1768</v>
      </c>
    </row>
    <row r="74" spans="2:11" ht="14.25">
      <c r="B74" s="217"/>
      <c r="C74" s="215" t="s">
        <v>479</v>
      </c>
      <c r="D74" s="216"/>
      <c r="E74" s="225"/>
      <c r="F74" s="225"/>
      <c r="G74" s="216"/>
      <c r="H74" s="215" t="s">
        <v>488</v>
      </c>
      <c r="K74" s="295"/>
    </row>
    <row r="75" spans="2:11" ht="15.75" thickBot="1">
      <c r="B75" s="447" t="s">
        <v>1112</v>
      </c>
      <c r="C75" s="99" t="s">
        <v>1187</v>
      </c>
      <c r="D75" s="30"/>
      <c r="E75" s="232"/>
      <c r="F75" s="232"/>
      <c r="G75" s="218"/>
      <c r="H75" s="14" t="s">
        <v>484</v>
      </c>
      <c r="K75" s="295"/>
    </row>
    <row r="76" spans="2:11" ht="14.25">
      <c r="B76" s="333"/>
      <c r="C76" s="224"/>
      <c r="D76" s="333"/>
      <c r="E76" s="225"/>
      <c r="F76" s="225"/>
      <c r="G76" s="225"/>
      <c r="K76" s="295"/>
    </row>
    <row r="77" spans="2:11" ht="15" thickBot="1">
      <c r="B77" s="225"/>
      <c r="C77" s="224"/>
      <c r="D77" s="225"/>
      <c r="E77" s="56"/>
      <c r="F77" s="56"/>
      <c r="G77" s="56"/>
      <c r="K77" s="295"/>
    </row>
    <row r="78" spans="1:15" ht="45" customHeight="1">
      <c r="A78" s="1588" t="s">
        <v>7</v>
      </c>
      <c r="B78" s="1591" t="s">
        <v>664</v>
      </c>
      <c r="C78" s="1594" t="s">
        <v>9</v>
      </c>
      <c r="D78" s="1594" t="s">
        <v>10</v>
      </c>
      <c r="E78" s="1574" t="s">
        <v>665</v>
      </c>
      <c r="F78" s="1574" t="s">
        <v>12</v>
      </c>
      <c r="G78" s="1594" t="s">
        <v>13</v>
      </c>
      <c r="H78" s="1574" t="s">
        <v>14</v>
      </c>
      <c r="I78" s="1574" t="s">
        <v>282</v>
      </c>
      <c r="J78" s="1574" t="s">
        <v>60</v>
      </c>
      <c r="K78" s="1583" t="s">
        <v>666</v>
      </c>
      <c r="L78" s="1640" t="s">
        <v>667</v>
      </c>
      <c r="M78" s="1634"/>
      <c r="N78" s="1634"/>
      <c r="O78" s="1641"/>
    </row>
    <row r="79" spans="1:15" ht="40.5" customHeight="1">
      <c r="A79" s="1589"/>
      <c r="B79" s="1592"/>
      <c r="C79" s="1595"/>
      <c r="D79" s="1595"/>
      <c r="E79" s="1575"/>
      <c r="F79" s="1575"/>
      <c r="G79" s="1595"/>
      <c r="H79" s="1575"/>
      <c r="I79" s="1613"/>
      <c r="J79" s="1575"/>
      <c r="K79" s="1584"/>
      <c r="L79" s="1597" t="s">
        <v>668</v>
      </c>
      <c r="M79" s="1568"/>
      <c r="N79" s="1568"/>
      <c r="O79" s="1598"/>
    </row>
    <row r="80" spans="1:15" ht="33" customHeight="1" thickBot="1">
      <c r="A80" s="1590"/>
      <c r="B80" s="1593"/>
      <c r="C80" s="1596"/>
      <c r="D80" s="1596"/>
      <c r="E80" s="1576"/>
      <c r="F80" s="1576"/>
      <c r="G80" s="1596"/>
      <c r="H80" s="1576"/>
      <c r="I80" s="1614"/>
      <c r="J80" s="1576"/>
      <c r="K80" s="1585"/>
      <c r="L80" s="270" t="s">
        <v>669</v>
      </c>
      <c r="M80" s="277" t="s">
        <v>670</v>
      </c>
      <c r="N80" s="277" t="s">
        <v>671</v>
      </c>
      <c r="O80" s="272" t="s">
        <v>17</v>
      </c>
    </row>
    <row r="81" spans="1:15" ht="18">
      <c r="A81" s="660" t="s">
        <v>27</v>
      </c>
      <c r="C81" s="234" t="s">
        <v>451</v>
      </c>
      <c r="D81" s="25" t="s">
        <v>475</v>
      </c>
      <c r="E81" s="4">
        <v>6</v>
      </c>
      <c r="F81" s="205" t="s">
        <v>452</v>
      </c>
      <c r="G81" s="212" t="s">
        <v>451</v>
      </c>
      <c r="H81" s="808" t="s">
        <v>873</v>
      </c>
      <c r="I81" s="555">
        <v>70511590</v>
      </c>
      <c r="J81" s="395" t="s">
        <v>29</v>
      </c>
      <c r="K81" s="8">
        <v>5</v>
      </c>
      <c r="L81" s="34">
        <f>7515-7395</f>
        <v>120</v>
      </c>
      <c r="M81" s="222"/>
      <c r="N81" s="32"/>
      <c r="O81" s="210">
        <f>L81</f>
        <v>120</v>
      </c>
    </row>
    <row r="82" spans="1:15" ht="18">
      <c r="A82" s="660" t="s">
        <v>27</v>
      </c>
      <c r="B82" s="25" t="s">
        <v>490</v>
      </c>
      <c r="C82" s="235" t="s">
        <v>451</v>
      </c>
      <c r="D82" s="4"/>
      <c r="E82" s="4" t="s">
        <v>491</v>
      </c>
      <c r="F82" s="205" t="s">
        <v>452</v>
      </c>
      <c r="G82" s="212" t="s">
        <v>451</v>
      </c>
      <c r="H82" s="808" t="s">
        <v>492</v>
      </c>
      <c r="I82" s="555">
        <v>70925527</v>
      </c>
      <c r="J82" s="397" t="s">
        <v>29</v>
      </c>
      <c r="K82" s="26">
        <v>7</v>
      </c>
      <c r="L82" s="34">
        <f>2059-1674</f>
        <v>385</v>
      </c>
      <c r="M82" s="222"/>
      <c r="N82" s="32"/>
      <c r="O82" s="210">
        <f aca="true" t="shared" si="2" ref="O82:O89">L82</f>
        <v>385</v>
      </c>
    </row>
    <row r="83" spans="1:15" ht="29.25">
      <c r="A83" s="660" t="s">
        <v>27</v>
      </c>
      <c r="B83" s="25" t="s">
        <v>273</v>
      </c>
      <c r="C83" s="65" t="s">
        <v>493</v>
      </c>
      <c r="D83" s="4"/>
      <c r="E83" s="4" t="s">
        <v>494</v>
      </c>
      <c r="F83" s="205" t="s">
        <v>452</v>
      </c>
      <c r="G83" s="212" t="s">
        <v>451</v>
      </c>
      <c r="H83" s="719" t="s">
        <v>495</v>
      </c>
      <c r="I83" s="555">
        <v>70925525</v>
      </c>
      <c r="J83" s="397" t="s">
        <v>29</v>
      </c>
      <c r="K83" s="26">
        <v>7</v>
      </c>
      <c r="L83" s="34">
        <f>2004-1580</f>
        <v>424</v>
      </c>
      <c r="M83" s="222"/>
      <c r="N83" s="32"/>
      <c r="O83" s="210">
        <f t="shared" si="2"/>
        <v>424</v>
      </c>
    </row>
    <row r="84" spans="1:15" ht="18">
      <c r="A84" s="660" t="s">
        <v>27</v>
      </c>
      <c r="B84" s="3" t="s">
        <v>273</v>
      </c>
      <c r="C84" s="4" t="s">
        <v>451</v>
      </c>
      <c r="D84" s="4" t="s">
        <v>496</v>
      </c>
      <c r="E84" s="234" t="s">
        <v>497</v>
      </c>
      <c r="F84" s="205" t="s">
        <v>452</v>
      </c>
      <c r="G84" s="212" t="s">
        <v>451</v>
      </c>
      <c r="H84" s="808" t="s">
        <v>498</v>
      </c>
      <c r="I84" s="555">
        <v>70925536</v>
      </c>
      <c r="J84" s="397" t="s">
        <v>29</v>
      </c>
      <c r="K84" s="26">
        <v>7</v>
      </c>
      <c r="L84" s="34">
        <f>772-597</f>
        <v>175</v>
      </c>
      <c r="M84" s="222"/>
      <c r="N84" s="32"/>
      <c r="O84" s="210">
        <f t="shared" si="2"/>
        <v>175</v>
      </c>
    </row>
    <row r="85" spans="1:15" ht="18">
      <c r="A85" s="660" t="s">
        <v>27</v>
      </c>
      <c r="B85" s="3" t="s">
        <v>273</v>
      </c>
      <c r="C85" s="4" t="s">
        <v>451</v>
      </c>
      <c r="D85" s="4" t="s">
        <v>499</v>
      </c>
      <c r="E85" s="4"/>
      <c r="F85" s="205" t="s">
        <v>452</v>
      </c>
      <c r="G85" s="212" t="s">
        <v>451</v>
      </c>
      <c r="H85" s="808" t="s">
        <v>500</v>
      </c>
      <c r="I85" s="555">
        <v>70925530</v>
      </c>
      <c r="J85" s="397" t="s">
        <v>29</v>
      </c>
      <c r="K85" s="26">
        <v>7</v>
      </c>
      <c r="L85" s="34">
        <f>947-754</f>
        <v>193</v>
      </c>
      <c r="M85" s="222"/>
      <c r="N85" s="32"/>
      <c r="O85" s="210">
        <f t="shared" si="2"/>
        <v>193</v>
      </c>
    </row>
    <row r="86" spans="1:15" ht="29.25">
      <c r="A86" s="660" t="s">
        <v>27</v>
      </c>
      <c r="B86" s="9" t="s">
        <v>273</v>
      </c>
      <c r="C86" s="9" t="s">
        <v>493</v>
      </c>
      <c r="D86" s="6"/>
      <c r="E86" s="22" t="s">
        <v>494</v>
      </c>
      <c r="F86" s="227" t="s">
        <v>452</v>
      </c>
      <c r="G86" s="228" t="s">
        <v>451</v>
      </c>
      <c r="H86" s="810" t="s">
        <v>501</v>
      </c>
      <c r="I86" s="663">
        <v>70925521</v>
      </c>
      <c r="J86" s="869" t="s">
        <v>29</v>
      </c>
      <c r="K86" s="664">
        <v>7</v>
      </c>
      <c r="L86" s="118">
        <f>852-673</f>
        <v>179</v>
      </c>
      <c r="M86" s="665"/>
      <c r="N86" s="32"/>
      <c r="O86" s="210">
        <f t="shared" si="2"/>
        <v>179</v>
      </c>
    </row>
    <row r="87" spans="1:15" ht="18">
      <c r="A87" s="660" t="s">
        <v>27</v>
      </c>
      <c r="B87" s="3"/>
      <c r="C87" s="3" t="s">
        <v>451</v>
      </c>
      <c r="D87" s="4" t="s">
        <v>475</v>
      </c>
      <c r="E87" s="24" t="s">
        <v>1194</v>
      </c>
      <c r="F87" s="205" t="s">
        <v>452</v>
      </c>
      <c r="G87" s="212" t="s">
        <v>451</v>
      </c>
      <c r="H87" s="808" t="s">
        <v>1195</v>
      </c>
      <c r="I87" s="555">
        <v>48857</v>
      </c>
      <c r="J87" s="683" t="s">
        <v>747</v>
      </c>
      <c r="K87" s="26"/>
      <c r="L87" s="34">
        <f>5590-2382</f>
        <v>3208</v>
      </c>
      <c r="M87" s="222"/>
      <c r="N87" s="32"/>
      <c r="O87" s="210">
        <f t="shared" si="2"/>
        <v>3208</v>
      </c>
    </row>
    <row r="88" spans="1:15" ht="18">
      <c r="A88" s="666" t="s">
        <v>27</v>
      </c>
      <c r="B88" s="4" t="s">
        <v>504</v>
      </c>
      <c r="C88" s="4" t="s">
        <v>505</v>
      </c>
      <c r="D88" s="3"/>
      <c r="E88" s="4"/>
      <c r="F88" s="115" t="s">
        <v>452</v>
      </c>
      <c r="G88" s="4" t="s">
        <v>451</v>
      </c>
      <c r="H88" s="719" t="s">
        <v>876</v>
      </c>
      <c r="I88" s="24">
        <v>505369</v>
      </c>
      <c r="J88" s="870" t="s">
        <v>22</v>
      </c>
      <c r="K88" s="8">
        <v>30</v>
      </c>
      <c r="L88" s="34">
        <f>(22140.46-18927.17)*30</f>
        <v>96398.70000000003</v>
      </c>
      <c r="M88" s="332"/>
      <c r="N88" s="35"/>
      <c r="O88" s="210">
        <f t="shared" si="2"/>
        <v>96398.70000000003</v>
      </c>
    </row>
    <row r="89" spans="1:15" ht="30" thickBot="1">
      <c r="A89" s="666" t="s">
        <v>27</v>
      </c>
      <c r="B89" s="9" t="s">
        <v>874</v>
      </c>
      <c r="C89" s="9" t="s">
        <v>1196</v>
      </c>
      <c r="D89" s="9"/>
      <c r="E89" s="4" t="s">
        <v>503</v>
      </c>
      <c r="F89" s="115" t="s">
        <v>452</v>
      </c>
      <c r="G89" s="4" t="s">
        <v>451</v>
      </c>
      <c r="H89" s="719" t="s">
        <v>875</v>
      </c>
      <c r="I89" s="24">
        <v>879942</v>
      </c>
      <c r="J89" s="871" t="s">
        <v>29</v>
      </c>
      <c r="K89" s="8">
        <v>40</v>
      </c>
      <c r="L89" s="34">
        <f>8996-8492</f>
        <v>504</v>
      </c>
      <c r="M89" s="332"/>
      <c r="N89" s="35"/>
      <c r="O89" s="210">
        <f t="shared" si="2"/>
        <v>504</v>
      </c>
    </row>
    <row r="90" spans="2:15" ht="15">
      <c r="B90" s="662" t="s">
        <v>23</v>
      </c>
      <c r="C90" s="229" t="s">
        <v>477</v>
      </c>
      <c r="D90" s="231"/>
      <c r="G90" s="721" t="s">
        <v>1719</v>
      </c>
      <c r="H90" s="1217" t="s">
        <v>477</v>
      </c>
      <c r="N90" s="4" t="s">
        <v>24</v>
      </c>
      <c r="O90" s="574">
        <f>SUM(O81:O89)</f>
        <v>101586.70000000003</v>
      </c>
    </row>
    <row r="91" spans="2:8" ht="14.25">
      <c r="B91" s="217"/>
      <c r="C91" s="215" t="s">
        <v>478</v>
      </c>
      <c r="D91" s="216"/>
      <c r="G91" s="190"/>
      <c r="H91" s="1218" t="s">
        <v>478</v>
      </c>
    </row>
    <row r="92" spans="2:8" ht="15" thickBot="1">
      <c r="B92" s="217"/>
      <c r="C92" s="215" t="s">
        <v>502</v>
      </c>
      <c r="D92" s="216"/>
      <c r="G92" s="193"/>
      <c r="H92" s="1219" t="s">
        <v>502</v>
      </c>
    </row>
    <row r="93" spans="2:4" ht="14.25">
      <c r="B93" s="217"/>
      <c r="C93" s="215" t="s">
        <v>479</v>
      </c>
      <c r="D93" s="216"/>
    </row>
    <row r="94" spans="2:11" ht="15.75" thickBot="1">
      <c r="B94" s="447" t="s">
        <v>1112</v>
      </c>
      <c r="C94" s="99" t="s">
        <v>1187</v>
      </c>
      <c r="D94" s="30"/>
      <c r="K94" s="295"/>
    </row>
    <row r="95" spans="2:11" ht="14.25">
      <c r="B95" s="225"/>
      <c r="C95" s="225"/>
      <c r="D95" s="225"/>
      <c r="K95" s="295"/>
    </row>
    <row r="96" ht="15" thickBot="1"/>
    <row r="97" spans="1:17" ht="45" customHeight="1">
      <c r="A97" s="1580" t="s">
        <v>7</v>
      </c>
      <c r="B97" s="1574" t="s">
        <v>8</v>
      </c>
      <c r="C97" s="1574" t="s">
        <v>9</v>
      </c>
      <c r="D97" s="1574" t="s">
        <v>10</v>
      </c>
      <c r="E97" s="1574" t="s">
        <v>919</v>
      </c>
      <c r="F97" s="1574" t="s">
        <v>12</v>
      </c>
      <c r="G97" s="1574" t="s">
        <v>13</v>
      </c>
      <c r="H97" s="1571" t="s">
        <v>14</v>
      </c>
      <c r="I97" s="1571" t="s">
        <v>282</v>
      </c>
      <c r="J97" s="1571" t="s">
        <v>60</v>
      </c>
      <c r="K97" s="1650" t="s">
        <v>16</v>
      </c>
      <c r="L97" s="1568" t="s">
        <v>672</v>
      </c>
      <c r="M97" s="1568"/>
      <c r="N97" s="1568"/>
      <c r="O97" s="1568"/>
      <c r="P97" s="630"/>
      <c r="Q97" s="630"/>
    </row>
    <row r="98" spans="1:17" ht="14.25">
      <c r="A98" s="1581"/>
      <c r="B98" s="1575"/>
      <c r="C98" s="1575"/>
      <c r="D98" s="1575"/>
      <c r="E98" s="1575"/>
      <c r="F98" s="1575"/>
      <c r="G98" s="1575"/>
      <c r="H98" s="1572"/>
      <c r="I98" s="1572"/>
      <c r="J98" s="1572"/>
      <c r="K98" s="1651"/>
      <c r="L98" s="1568" t="s">
        <v>669</v>
      </c>
      <c r="M98" s="1568" t="s">
        <v>670</v>
      </c>
      <c r="N98" s="1568" t="s">
        <v>671</v>
      </c>
      <c r="O98" s="1568" t="s">
        <v>674</v>
      </c>
      <c r="P98" s="630"/>
      <c r="Q98" s="630"/>
    </row>
    <row r="99" spans="1:17" ht="15" thickBot="1">
      <c r="A99" s="1582"/>
      <c r="B99" s="1576"/>
      <c r="C99" s="1576"/>
      <c r="D99" s="1576"/>
      <c r="E99" s="1576"/>
      <c r="F99" s="1576"/>
      <c r="G99" s="1576"/>
      <c r="H99" s="1573"/>
      <c r="I99" s="1573"/>
      <c r="J99" s="1573"/>
      <c r="K99" s="1662"/>
      <c r="L99" s="1568"/>
      <c r="M99" s="1568"/>
      <c r="N99" s="1568"/>
      <c r="O99" s="1568"/>
      <c r="P99" s="630"/>
      <c r="Q99" s="630"/>
    </row>
    <row r="100" spans="1:17" ht="18">
      <c r="A100" s="621" t="s">
        <v>27</v>
      </c>
      <c r="B100" s="187" t="s">
        <v>477</v>
      </c>
      <c r="C100" s="187" t="s">
        <v>451</v>
      </c>
      <c r="D100" s="187" t="s">
        <v>194</v>
      </c>
      <c r="E100" s="187">
        <v>24</v>
      </c>
      <c r="F100" s="187" t="s">
        <v>452</v>
      </c>
      <c r="G100" s="187" t="s">
        <v>451</v>
      </c>
      <c r="H100" s="806" t="s">
        <v>1188</v>
      </c>
      <c r="I100" s="107">
        <v>317516</v>
      </c>
      <c r="J100" s="444" t="s">
        <v>29</v>
      </c>
      <c r="K100" s="694">
        <v>27</v>
      </c>
      <c r="L100" s="36">
        <f>34603-30751</f>
        <v>3852</v>
      </c>
      <c r="M100" s="35"/>
      <c r="N100" s="35"/>
      <c r="O100" s="34">
        <f aca="true" t="shared" si="3" ref="O100:O105">L100</f>
        <v>3852</v>
      </c>
      <c r="P100" s="68"/>
      <c r="Q100" s="59"/>
    </row>
    <row r="101" spans="1:17" ht="18">
      <c r="A101" s="621" t="s">
        <v>27</v>
      </c>
      <c r="B101" s="4" t="s">
        <v>477</v>
      </c>
      <c r="C101" s="4" t="s">
        <v>451</v>
      </c>
      <c r="D101" s="4" t="s">
        <v>194</v>
      </c>
      <c r="E101" s="4">
        <v>1</v>
      </c>
      <c r="F101" s="4" t="s">
        <v>452</v>
      </c>
      <c r="G101" s="4" t="s">
        <v>451</v>
      </c>
      <c r="H101" s="807" t="s">
        <v>1189</v>
      </c>
      <c r="I101" s="24">
        <v>90054561</v>
      </c>
      <c r="J101" s="398" t="s">
        <v>29</v>
      </c>
      <c r="K101" s="695">
        <v>7</v>
      </c>
      <c r="L101" s="36">
        <f>605-422</f>
        <v>183</v>
      </c>
      <c r="M101" s="35"/>
      <c r="N101" s="35"/>
      <c r="O101" s="34">
        <f t="shared" si="3"/>
        <v>183</v>
      </c>
      <c r="P101" s="68"/>
      <c r="Q101" s="59"/>
    </row>
    <row r="102" spans="1:17" ht="18">
      <c r="A102" s="621" t="s">
        <v>27</v>
      </c>
      <c r="B102" s="4" t="s">
        <v>477</v>
      </c>
      <c r="C102" s="4" t="s">
        <v>488</v>
      </c>
      <c r="D102" s="4"/>
      <c r="E102" s="4" t="s">
        <v>979</v>
      </c>
      <c r="F102" s="4" t="s">
        <v>452</v>
      </c>
      <c r="G102" s="4" t="s">
        <v>451</v>
      </c>
      <c r="H102" s="807" t="s">
        <v>1190</v>
      </c>
      <c r="I102" s="24">
        <v>329683</v>
      </c>
      <c r="J102" s="417" t="s">
        <v>29</v>
      </c>
      <c r="K102" s="695">
        <v>7</v>
      </c>
      <c r="L102" s="36">
        <f>1328-855</f>
        <v>473</v>
      </c>
      <c r="M102" s="35"/>
      <c r="N102" s="35"/>
      <c r="O102" s="34">
        <f t="shared" si="3"/>
        <v>473</v>
      </c>
      <c r="P102" s="68"/>
      <c r="Q102" s="59"/>
    </row>
    <row r="103" spans="1:17" ht="18">
      <c r="A103" s="621" t="s">
        <v>27</v>
      </c>
      <c r="B103" s="4" t="s">
        <v>477</v>
      </c>
      <c r="C103" s="4" t="s">
        <v>488</v>
      </c>
      <c r="D103" s="4"/>
      <c r="E103" s="4" t="s">
        <v>980</v>
      </c>
      <c r="F103" s="4" t="s">
        <v>452</v>
      </c>
      <c r="G103" s="4" t="s">
        <v>451</v>
      </c>
      <c r="H103" s="807" t="s">
        <v>1191</v>
      </c>
      <c r="I103" s="24">
        <v>329677</v>
      </c>
      <c r="J103" s="417" t="s">
        <v>29</v>
      </c>
      <c r="K103" s="695">
        <v>7</v>
      </c>
      <c r="L103" s="36">
        <f>7244-4010</f>
        <v>3234</v>
      </c>
      <c r="M103" s="35"/>
      <c r="N103" s="35"/>
      <c r="O103" s="34">
        <f t="shared" si="3"/>
        <v>3234</v>
      </c>
      <c r="P103" s="68"/>
      <c r="Q103" s="59"/>
    </row>
    <row r="104" spans="1:17" ht="18">
      <c r="A104" s="621" t="s">
        <v>27</v>
      </c>
      <c r="B104" s="4" t="s">
        <v>477</v>
      </c>
      <c r="C104" s="4" t="s">
        <v>488</v>
      </c>
      <c r="D104" s="4"/>
      <c r="E104" s="4" t="s">
        <v>981</v>
      </c>
      <c r="F104" s="4" t="s">
        <v>452</v>
      </c>
      <c r="G104" s="4" t="s">
        <v>451</v>
      </c>
      <c r="H104" s="807" t="s">
        <v>1192</v>
      </c>
      <c r="I104" s="24">
        <v>329684</v>
      </c>
      <c r="J104" s="417" t="s">
        <v>29</v>
      </c>
      <c r="K104" s="695">
        <v>7</v>
      </c>
      <c r="L104" s="36">
        <f>3055-2083</f>
        <v>972</v>
      </c>
      <c r="M104" s="35"/>
      <c r="N104" s="35"/>
      <c r="O104" s="34">
        <f t="shared" si="3"/>
        <v>972</v>
      </c>
      <c r="P104" s="68"/>
      <c r="Q104" s="59"/>
    </row>
    <row r="105" spans="1:17" ht="18">
      <c r="A105" s="621" t="s">
        <v>27</v>
      </c>
      <c r="B105" s="6" t="s">
        <v>477</v>
      </c>
      <c r="C105" s="6" t="s">
        <v>488</v>
      </c>
      <c r="D105" s="6"/>
      <c r="E105" s="4" t="s">
        <v>982</v>
      </c>
      <c r="F105" s="4" t="s">
        <v>452</v>
      </c>
      <c r="G105" s="4" t="s">
        <v>451</v>
      </c>
      <c r="H105" s="807" t="s">
        <v>1193</v>
      </c>
      <c r="I105" s="24">
        <v>329680</v>
      </c>
      <c r="J105" s="417" t="s">
        <v>29</v>
      </c>
      <c r="K105" s="695">
        <v>7</v>
      </c>
      <c r="L105" s="36">
        <f>1500-944</f>
        <v>556</v>
      </c>
      <c r="M105" s="35"/>
      <c r="N105" s="35"/>
      <c r="O105" s="34">
        <f t="shared" si="3"/>
        <v>556</v>
      </c>
      <c r="P105" s="68"/>
      <c r="Q105" s="59"/>
    </row>
    <row r="106" spans="1:17" ht="18.75" thickBot="1">
      <c r="A106" s="621" t="s">
        <v>27</v>
      </c>
      <c r="B106" s="1065" t="s">
        <v>308</v>
      </c>
      <c r="C106" s="47" t="s">
        <v>451</v>
      </c>
      <c r="D106" s="4" t="s">
        <v>1378</v>
      </c>
      <c r="E106" s="4" t="s">
        <v>1379</v>
      </c>
      <c r="F106" s="4" t="s">
        <v>452</v>
      </c>
      <c r="G106" s="4" t="s">
        <v>451</v>
      </c>
      <c r="H106" s="807" t="s">
        <v>1538</v>
      </c>
      <c r="I106" s="4">
        <v>90988</v>
      </c>
      <c r="J106" s="31" t="s">
        <v>747</v>
      </c>
      <c r="K106" s="178">
        <v>11</v>
      </c>
      <c r="L106" s="34">
        <f>123-41</f>
        <v>82</v>
      </c>
      <c r="M106" s="35"/>
      <c r="N106" s="35"/>
      <c r="O106" s="34">
        <f>L106</f>
        <v>82</v>
      </c>
      <c r="P106" s="68"/>
      <c r="Q106" s="59"/>
    </row>
    <row r="107" spans="2:15" ht="15">
      <c r="B107" s="1554" t="s">
        <v>23</v>
      </c>
      <c r="C107" s="229" t="s">
        <v>477</v>
      </c>
      <c r="D107" s="231"/>
      <c r="G107" s="721" t="s">
        <v>1719</v>
      </c>
      <c r="H107" s="1217" t="s">
        <v>477</v>
      </c>
      <c r="L107" s="33"/>
      <c r="M107" s="33"/>
      <c r="N107" s="4" t="s">
        <v>24</v>
      </c>
      <c r="O107" s="574">
        <f>SUM(O100:O106)</f>
        <v>9352</v>
      </c>
    </row>
    <row r="108" spans="2:15" ht="14.25">
      <c r="B108" s="1555"/>
      <c r="C108" s="215" t="s">
        <v>478</v>
      </c>
      <c r="D108" s="216"/>
      <c r="G108" s="190"/>
      <c r="H108" s="1218" t="s">
        <v>478</v>
      </c>
      <c r="L108" s="33"/>
      <c r="M108" s="33"/>
      <c r="N108" s="33"/>
      <c r="O108" s="33"/>
    </row>
    <row r="109" spans="2:15" ht="15" thickBot="1">
      <c r="B109" s="1555"/>
      <c r="C109" s="215" t="s">
        <v>502</v>
      </c>
      <c r="D109" s="216"/>
      <c r="G109" s="193"/>
      <c r="H109" s="1219" t="s">
        <v>502</v>
      </c>
      <c r="K109" s="295"/>
      <c r="L109" s="33"/>
      <c r="M109" s="33"/>
      <c r="N109" s="33"/>
      <c r="O109" s="33"/>
    </row>
    <row r="110" spans="2:14" ht="14.25">
      <c r="B110" s="1555" t="s">
        <v>169</v>
      </c>
      <c r="C110" s="215" t="s">
        <v>1849</v>
      </c>
      <c r="D110" s="216"/>
      <c r="N110" s="33"/>
    </row>
    <row r="111" spans="2:4" ht="15.75" thickBot="1">
      <c r="B111" s="447" t="s">
        <v>1112</v>
      </c>
      <c r="C111" s="99" t="s">
        <v>1187</v>
      </c>
      <c r="D111" s="30"/>
    </row>
    <row r="112" spans="2:11" ht="15">
      <c r="B112" s="667"/>
      <c r="C112" s="14"/>
      <c r="D112" s="56"/>
      <c r="K112" s="295"/>
    </row>
    <row r="113" spans="11:19" ht="14.25">
      <c r="K113" s="295"/>
      <c r="L113" s="33" t="s">
        <v>63</v>
      </c>
      <c r="M113" s="33">
        <f>O38+O49+O61+O71+O90+O107</f>
        <v>295272.30000000005</v>
      </c>
      <c r="N113" s="33"/>
      <c r="O113" s="33"/>
      <c r="P113" s="33"/>
      <c r="Q113" s="33"/>
      <c r="R113" s="33"/>
      <c r="S113" s="33"/>
    </row>
    <row r="114" spans="11:19" ht="15" thickBot="1">
      <c r="K114" s="295"/>
      <c r="L114" s="33"/>
      <c r="M114" s="33"/>
      <c r="N114" s="33"/>
      <c r="O114" s="33"/>
      <c r="P114" s="33"/>
      <c r="Q114" s="33"/>
      <c r="R114" s="33"/>
      <c r="S114" s="33"/>
    </row>
    <row r="115" spans="11:15" ht="44.25" customHeight="1">
      <c r="K115" s="1621" t="s">
        <v>60</v>
      </c>
      <c r="L115" s="1623" t="s">
        <v>675</v>
      </c>
      <c r="M115" s="1624"/>
      <c r="N115" s="1625"/>
      <c r="O115" s="1626" t="s">
        <v>61</v>
      </c>
    </row>
    <row r="116" spans="11:15" ht="25.5" customHeight="1" thickBot="1">
      <c r="K116" s="1688"/>
      <c r="L116" s="692" t="s">
        <v>62</v>
      </c>
      <c r="M116" s="692" t="s">
        <v>670</v>
      </c>
      <c r="N116" s="692" t="s">
        <v>671</v>
      </c>
      <c r="O116" s="1689"/>
    </row>
    <row r="117" spans="11:15" ht="22.5" customHeight="1">
      <c r="K117" s="1486" t="s">
        <v>747</v>
      </c>
      <c r="L117" s="1487">
        <f>O34+O35+O36+O87+O106</f>
        <v>4971</v>
      </c>
      <c r="M117" s="1488"/>
      <c r="N117" s="1489"/>
      <c r="O117" s="1484">
        <v>5</v>
      </c>
    </row>
    <row r="118" spans="11:15" ht="22.5" customHeight="1">
      <c r="K118" s="1490" t="s">
        <v>29</v>
      </c>
      <c r="L118" s="213">
        <f>L21+L22+L23+L24+L25+L26+L27+L28+L29+L30+L31+L32+L60+L33+L48+L70+L81+L82+L83+L84+L85+L86+L89+L100+L101+L102+L103+L104+L105</f>
        <v>103908</v>
      </c>
      <c r="M118" s="693"/>
      <c r="N118" s="1035"/>
      <c r="O118" s="1106">
        <v>29</v>
      </c>
    </row>
    <row r="119" spans="11:15" ht="22.5" customHeight="1">
      <c r="K119" s="1490" t="s">
        <v>22</v>
      </c>
      <c r="L119" s="213">
        <f>L59+L88</f>
        <v>121698.70000000003</v>
      </c>
      <c r="M119" s="693"/>
      <c r="N119" s="1035"/>
      <c r="O119" s="1106">
        <v>2</v>
      </c>
    </row>
    <row r="120" spans="11:15" ht="22.5" customHeight="1">
      <c r="K120" s="1490" t="s">
        <v>67</v>
      </c>
      <c r="L120" s="693"/>
      <c r="M120" s="175">
        <f>M18</f>
        <v>356</v>
      </c>
      <c r="N120" s="1008">
        <f>N18</f>
        <v>705</v>
      </c>
      <c r="O120" s="1106">
        <v>1</v>
      </c>
    </row>
    <row r="121" spans="11:15" ht="22.5" customHeight="1">
      <c r="K121" s="1491" t="s">
        <v>457</v>
      </c>
      <c r="L121" s="693"/>
      <c r="M121" s="213">
        <f>M19+M20</f>
        <v>5601</v>
      </c>
      <c r="N121" s="1012">
        <f>N19+N20</f>
        <v>3783</v>
      </c>
      <c r="O121" s="1106">
        <v>2</v>
      </c>
    </row>
    <row r="122" spans="11:15" ht="22.5" customHeight="1" thickBot="1">
      <c r="K122" s="1492" t="s">
        <v>1200</v>
      </c>
      <c r="L122" s="1027">
        <f>O37</f>
        <v>54249.600000000006</v>
      </c>
      <c r="M122" s="1493"/>
      <c r="N122" s="1494"/>
      <c r="O122" s="1485">
        <v>1</v>
      </c>
    </row>
    <row r="123" spans="11:15" ht="22.5" customHeight="1" thickBot="1">
      <c r="K123" s="353" t="s">
        <v>63</v>
      </c>
      <c r="L123" s="1056">
        <f>SUM(L117:L122)</f>
        <v>284827.30000000005</v>
      </c>
      <c r="M123" s="1057">
        <f>SUM(M117:M122)</f>
        <v>5957</v>
      </c>
      <c r="N123" s="1058">
        <f>SUM(N117:N122)</f>
        <v>4488</v>
      </c>
      <c r="O123" s="689">
        <f>SUM(O117:O122)</f>
        <v>40</v>
      </c>
    </row>
    <row r="124" spans="11:15" ht="22.5" customHeight="1" thickBot="1">
      <c r="K124" s="1"/>
      <c r="L124" s="127" t="s">
        <v>64</v>
      </c>
      <c r="M124" s="872">
        <f>SUM(L123:N123)</f>
        <v>295272.30000000005</v>
      </c>
      <c r="N124" s="33"/>
      <c r="O124" s="33"/>
    </row>
  </sheetData>
  <sheetProtection/>
  <mergeCells count="87">
    <mergeCell ref="G45:G47"/>
    <mergeCell ref="H45:H47"/>
    <mergeCell ref="I45:I47"/>
    <mergeCell ref="J45:J47"/>
    <mergeCell ref="K45:K47"/>
    <mergeCell ref="L45:O45"/>
    <mergeCell ref="L46:O46"/>
    <mergeCell ref="A45:A47"/>
    <mergeCell ref="B45:B47"/>
    <mergeCell ref="C45:C47"/>
    <mergeCell ref="D45:D47"/>
    <mergeCell ref="E45:E47"/>
    <mergeCell ref="F45:F47"/>
    <mergeCell ref="L98:L99"/>
    <mergeCell ref="M98:M99"/>
    <mergeCell ref="N98:N99"/>
    <mergeCell ref="O98:O99"/>
    <mergeCell ref="G97:G99"/>
    <mergeCell ref="H97:H99"/>
    <mergeCell ref="I97:I99"/>
    <mergeCell ref="J97:J99"/>
    <mergeCell ref="K97:K99"/>
    <mergeCell ref="L97:O97"/>
    <mergeCell ref="A97:A99"/>
    <mergeCell ref="B97:B99"/>
    <mergeCell ref="C97:C99"/>
    <mergeCell ref="D97:D99"/>
    <mergeCell ref="E97:E99"/>
    <mergeCell ref="F97:F99"/>
    <mergeCell ref="G78:G80"/>
    <mergeCell ref="A78:A80"/>
    <mergeCell ref="B78:B80"/>
    <mergeCell ref="C78:C80"/>
    <mergeCell ref="D78:D80"/>
    <mergeCell ref="E78:E80"/>
    <mergeCell ref="F78:F80"/>
    <mergeCell ref="J67:J69"/>
    <mergeCell ref="J78:J80"/>
    <mergeCell ref="K78:K80"/>
    <mergeCell ref="L78:O78"/>
    <mergeCell ref="H78:H80"/>
    <mergeCell ref="I78:I80"/>
    <mergeCell ref="G15:G17"/>
    <mergeCell ref="A15:A17"/>
    <mergeCell ref="B15:B17"/>
    <mergeCell ref="C15:C17"/>
    <mergeCell ref="D15:D17"/>
    <mergeCell ref="E15:E17"/>
    <mergeCell ref="F15:F17"/>
    <mergeCell ref="H15:H17"/>
    <mergeCell ref="I15:I17"/>
    <mergeCell ref="J15:J17"/>
    <mergeCell ref="K15:K17"/>
    <mergeCell ref="L16:O16"/>
    <mergeCell ref="H56:H58"/>
    <mergeCell ref="G67:G69"/>
    <mergeCell ref="H67:H69"/>
    <mergeCell ref="I67:I69"/>
    <mergeCell ref="L68:O68"/>
    <mergeCell ref="L57:O57"/>
    <mergeCell ref="I56:I58"/>
    <mergeCell ref="J56:J58"/>
    <mergeCell ref="K56:K58"/>
    <mergeCell ref="K67:K69"/>
    <mergeCell ref="L67:O67"/>
    <mergeCell ref="A56:A58"/>
    <mergeCell ref="B56:B58"/>
    <mergeCell ref="C56:C58"/>
    <mergeCell ref="D56:D58"/>
    <mergeCell ref="E56:E58"/>
    <mergeCell ref="F56:F58"/>
    <mergeCell ref="A67:A69"/>
    <mergeCell ref="B67:B69"/>
    <mergeCell ref="C67:C69"/>
    <mergeCell ref="D67:D69"/>
    <mergeCell ref="E67:E69"/>
    <mergeCell ref="F67:F69"/>
    <mergeCell ref="B3:I3"/>
    <mergeCell ref="B5:I5"/>
    <mergeCell ref="B1:I1"/>
    <mergeCell ref="K115:K116"/>
    <mergeCell ref="O115:O116"/>
    <mergeCell ref="L115:N115"/>
    <mergeCell ref="L56:O56"/>
    <mergeCell ref="L79:O79"/>
    <mergeCell ref="L15:O15"/>
    <mergeCell ref="G56:G58"/>
  </mergeCells>
  <printOptions/>
  <pageMargins left="0.7" right="0.7" top="0.75" bottom="0.75" header="0.3" footer="0.3"/>
  <pageSetup orientation="portrait" paperSize="9" r:id="rId1"/>
  <ignoredErrors>
    <ignoredError sqref="E30" numberStoredAsText="1"/>
    <ignoredError sqref="L1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Administrator</cp:lastModifiedBy>
  <cp:lastPrinted>2015-08-05T16:46:37Z</cp:lastPrinted>
  <dcterms:created xsi:type="dcterms:W3CDTF">2012-09-08T10:51:45Z</dcterms:created>
  <dcterms:modified xsi:type="dcterms:W3CDTF">2016-09-19T07:00:49Z</dcterms:modified>
  <cp:category/>
  <cp:version/>
  <cp:contentType/>
  <cp:contentStatus/>
</cp:coreProperties>
</file>